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Звіт\1 півріччя 2024\СМР\Доопрацьовано\"/>
    </mc:Choice>
  </mc:AlternateContent>
  <bookViews>
    <workbookView xWindow="-105" yWindow="-105" windowWidth="23265" windowHeight="12465" tabRatio="322" activeTab="1"/>
  </bookViews>
  <sheets>
    <sheet name="дод 2" sheetId="1" r:id="rId1"/>
    <sheet name="дод 5" sheetId="3" r:id="rId2"/>
  </sheets>
  <definedNames>
    <definedName name="_xlnm.Print_Titles" localSheetId="0">'дод 2'!$12:$15</definedName>
    <definedName name="_xlnm.Print_Titles" localSheetId="1">'дод 5'!$12:$15</definedName>
    <definedName name="_xlnm.Print_Area" localSheetId="0">'дод 2'!$A$1:$AB$430</definedName>
    <definedName name="_xlnm.Print_Area" localSheetId="1">'дод 5'!$A$1:$AA$307</definedName>
  </definedNames>
  <calcPr calcId="162913"/>
</workbook>
</file>

<file path=xl/calcChain.xml><?xml version="1.0" encoding="utf-8"?>
<calcChain xmlns="http://schemas.openxmlformats.org/spreadsheetml/2006/main">
  <c r="J70" i="1" l="1"/>
  <c r="J73" i="1" l="1"/>
  <c r="F73" i="1"/>
  <c r="G73" i="1"/>
  <c r="H73" i="1"/>
  <c r="I73" i="1"/>
  <c r="K73" i="1"/>
  <c r="L73" i="1"/>
  <c r="U84" i="1" l="1"/>
  <c r="Z30" i="3" l="1"/>
  <c r="Z37" i="3"/>
  <c r="Z41" i="3"/>
  <c r="Z42" i="3"/>
  <c r="Z43" i="3"/>
  <c r="Z44" i="3"/>
  <c r="Z45" i="3"/>
  <c r="Z47" i="3"/>
  <c r="Z97" i="3"/>
  <c r="Z231" i="3"/>
  <c r="Z232" i="3"/>
  <c r="L30" i="3"/>
  <c r="L37" i="3"/>
  <c r="L41" i="3"/>
  <c r="L42" i="3"/>
  <c r="L43" i="3"/>
  <c r="L44" i="3"/>
  <c r="L45" i="3"/>
  <c r="L47" i="3"/>
  <c r="L97" i="3"/>
  <c r="L231" i="3"/>
  <c r="L232" i="3"/>
  <c r="M168" i="1"/>
  <c r="U64" i="1" l="1"/>
  <c r="U139" i="1"/>
  <c r="U253" i="1" l="1"/>
  <c r="U254" i="1"/>
  <c r="U255" i="1"/>
  <c r="U256" i="1"/>
  <c r="U257" i="1"/>
  <c r="U258" i="1"/>
  <c r="U259" i="1"/>
  <c r="U260" i="1"/>
  <c r="U419" i="1"/>
  <c r="U409" i="1"/>
  <c r="U410" i="1"/>
  <c r="U411" i="1"/>
  <c r="U412" i="1"/>
  <c r="U413" i="1"/>
  <c r="U414" i="1"/>
  <c r="U415" i="1"/>
  <c r="U416" i="1"/>
  <c r="U408" i="1"/>
  <c r="U398" i="1"/>
  <c r="U399" i="1"/>
  <c r="U400" i="1"/>
  <c r="U401" i="1"/>
  <c r="U402" i="1"/>
  <c r="U403" i="1"/>
  <c r="U404" i="1"/>
  <c r="U405" i="1"/>
  <c r="U397" i="1"/>
  <c r="U390" i="1"/>
  <c r="U391" i="1"/>
  <c r="U392" i="1"/>
  <c r="U393" i="1"/>
  <c r="U394" i="1"/>
  <c r="U389" i="1"/>
  <c r="U378" i="1"/>
  <c r="U377" i="1"/>
  <c r="U37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39" i="1"/>
  <c r="U340" i="1"/>
  <c r="U341" i="1"/>
  <c r="U342" i="1"/>
  <c r="U343" i="1"/>
  <c r="U344" i="1"/>
  <c r="U338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272" i="1"/>
  <c r="U252" i="1"/>
  <c r="U245" i="1"/>
  <c r="U246" i="1"/>
  <c r="U244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00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63" i="1"/>
  <c r="U82" i="1"/>
  <c r="U83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40" i="1"/>
  <c r="U141" i="1"/>
  <c r="U142" i="1"/>
  <c r="U143" i="1"/>
  <c r="U144" i="1"/>
  <c r="U145" i="1"/>
  <c r="U146" i="1"/>
  <c r="U147" i="1"/>
  <c r="U81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5" i="1"/>
  <c r="U66" i="1"/>
  <c r="U67" i="1"/>
  <c r="U22" i="1"/>
  <c r="AA30" i="3" l="1"/>
  <c r="AA37" i="3"/>
  <c r="AA41" i="3"/>
  <c r="AA42" i="3"/>
  <c r="AA43" i="3"/>
  <c r="AA44" i="3"/>
  <c r="AA45" i="3"/>
  <c r="AA47" i="3"/>
  <c r="AA97" i="3"/>
  <c r="AA231" i="3"/>
  <c r="AA232" i="3"/>
  <c r="H18" i="3"/>
  <c r="I18" i="3"/>
  <c r="J18" i="3"/>
  <c r="K18" i="3"/>
  <c r="O18" i="3"/>
  <c r="P18" i="3"/>
  <c r="Q18" i="3"/>
  <c r="T18" i="3"/>
  <c r="U18" i="3"/>
  <c r="V18" i="3"/>
  <c r="W18" i="3"/>
  <c r="X18" i="3"/>
  <c r="Y18" i="3"/>
  <c r="Y16" i="3" s="1"/>
  <c r="E19" i="3"/>
  <c r="F19" i="3"/>
  <c r="G19" i="3"/>
  <c r="H19" i="3"/>
  <c r="I19" i="3"/>
  <c r="J19" i="3"/>
  <c r="K19" i="3"/>
  <c r="N19" i="3"/>
  <c r="O19" i="3"/>
  <c r="P19" i="3"/>
  <c r="Q19" i="3"/>
  <c r="R19" i="3"/>
  <c r="T19" i="3"/>
  <c r="U19" i="3"/>
  <c r="V19" i="3"/>
  <c r="W19" i="3"/>
  <c r="X19" i="3"/>
  <c r="Y19" i="3"/>
  <c r="F20" i="3"/>
  <c r="G20" i="3"/>
  <c r="H20" i="3"/>
  <c r="I20" i="3"/>
  <c r="J20" i="3"/>
  <c r="K20" i="3"/>
  <c r="N20" i="3"/>
  <c r="O20" i="3"/>
  <c r="P20" i="3"/>
  <c r="Q20" i="3"/>
  <c r="R20" i="3"/>
  <c r="T20" i="3"/>
  <c r="U20" i="3"/>
  <c r="V20" i="3"/>
  <c r="W20" i="3"/>
  <c r="X20" i="3"/>
  <c r="Y20" i="3"/>
  <c r="E21" i="3"/>
  <c r="F21" i="3"/>
  <c r="G21" i="3"/>
  <c r="H21" i="3"/>
  <c r="I21" i="3"/>
  <c r="J21" i="3"/>
  <c r="K21" i="3"/>
  <c r="N21" i="3"/>
  <c r="O21" i="3"/>
  <c r="P21" i="3"/>
  <c r="Q21" i="3"/>
  <c r="R21" i="3"/>
  <c r="T21" i="3"/>
  <c r="U21" i="3"/>
  <c r="V21" i="3"/>
  <c r="W21" i="3"/>
  <c r="X21" i="3"/>
  <c r="Y21" i="3"/>
  <c r="E22" i="3"/>
  <c r="E17" i="3" s="1"/>
  <c r="F22" i="3"/>
  <c r="F17" i="3" s="1"/>
  <c r="G22" i="3"/>
  <c r="G17" i="3" s="1"/>
  <c r="H22" i="3"/>
  <c r="H17" i="3" s="1"/>
  <c r="I22" i="3"/>
  <c r="J22" i="3"/>
  <c r="J17" i="3" s="1"/>
  <c r="K22" i="3"/>
  <c r="K17" i="3" s="1"/>
  <c r="N22" i="3"/>
  <c r="N17" i="3" s="1"/>
  <c r="O22" i="3"/>
  <c r="O17" i="3" s="1"/>
  <c r="P22" i="3"/>
  <c r="P17" i="3" s="1"/>
  <c r="Q22" i="3"/>
  <c r="Q17" i="3" s="1"/>
  <c r="R22" i="3"/>
  <c r="R17" i="3" s="1"/>
  <c r="T22" i="3"/>
  <c r="U22" i="3"/>
  <c r="U17" i="3" s="1"/>
  <c r="V22" i="3"/>
  <c r="V17" i="3" s="1"/>
  <c r="W22" i="3"/>
  <c r="W17" i="3" s="1"/>
  <c r="X22" i="3"/>
  <c r="X17" i="3" s="1"/>
  <c r="Y22" i="3"/>
  <c r="Y17" i="3" s="1"/>
  <c r="F36" i="3"/>
  <c r="H36" i="3"/>
  <c r="I36" i="3"/>
  <c r="J36" i="3"/>
  <c r="K36" i="3"/>
  <c r="O36" i="3"/>
  <c r="P36" i="3"/>
  <c r="Q36" i="3"/>
  <c r="T36" i="3"/>
  <c r="U36" i="3"/>
  <c r="V36" i="3"/>
  <c r="W36" i="3"/>
  <c r="X36" i="3"/>
  <c r="Y36" i="3"/>
  <c r="F38" i="3"/>
  <c r="H38" i="3"/>
  <c r="I38" i="3"/>
  <c r="J38" i="3"/>
  <c r="K38" i="3"/>
  <c r="P38" i="3"/>
  <c r="Q38" i="3"/>
  <c r="T38" i="3"/>
  <c r="U38" i="3"/>
  <c r="V38" i="3"/>
  <c r="W38" i="3"/>
  <c r="X38" i="3"/>
  <c r="Y38" i="3"/>
  <c r="E39" i="3"/>
  <c r="E34" i="3" s="1"/>
  <c r="F39" i="3"/>
  <c r="F34" i="3" s="1"/>
  <c r="G39" i="3"/>
  <c r="G34" i="3" s="1"/>
  <c r="H39" i="3"/>
  <c r="H34" i="3" s="1"/>
  <c r="I39" i="3"/>
  <c r="J39" i="3"/>
  <c r="J34" i="3" s="1"/>
  <c r="K39" i="3"/>
  <c r="K34" i="3" s="1"/>
  <c r="N39" i="3"/>
  <c r="N34" i="3" s="1"/>
  <c r="O39" i="3"/>
  <c r="O34" i="3" s="1"/>
  <c r="P39" i="3"/>
  <c r="P34" i="3" s="1"/>
  <c r="Q39" i="3"/>
  <c r="Q34" i="3" s="1"/>
  <c r="R39" i="3"/>
  <c r="R34" i="3" s="1"/>
  <c r="T39" i="3"/>
  <c r="U39" i="3"/>
  <c r="U34" i="3" s="1"/>
  <c r="V39" i="3"/>
  <c r="V34" i="3" s="1"/>
  <c r="W39" i="3"/>
  <c r="W34" i="3" s="1"/>
  <c r="X39" i="3"/>
  <c r="X34" i="3" s="1"/>
  <c r="Y39" i="3"/>
  <c r="Y34" i="3" s="1"/>
  <c r="E40" i="3"/>
  <c r="F40" i="3"/>
  <c r="G40" i="3"/>
  <c r="H40" i="3"/>
  <c r="I40" i="3"/>
  <c r="J40" i="3"/>
  <c r="K40" i="3"/>
  <c r="N40" i="3"/>
  <c r="O40" i="3"/>
  <c r="P40" i="3"/>
  <c r="Q40" i="3"/>
  <c r="R40" i="3"/>
  <c r="T40" i="3"/>
  <c r="U40" i="3"/>
  <c r="V40" i="3"/>
  <c r="W40" i="3"/>
  <c r="X40" i="3"/>
  <c r="Y40" i="3"/>
  <c r="E46" i="3"/>
  <c r="F46" i="3"/>
  <c r="G46" i="3"/>
  <c r="H46" i="3"/>
  <c r="I46" i="3"/>
  <c r="J46" i="3"/>
  <c r="K46" i="3"/>
  <c r="N46" i="3"/>
  <c r="O46" i="3"/>
  <c r="P46" i="3"/>
  <c r="Q46" i="3"/>
  <c r="R46" i="3"/>
  <c r="T46" i="3"/>
  <c r="U46" i="3"/>
  <c r="V46" i="3"/>
  <c r="W46" i="3"/>
  <c r="X46" i="3"/>
  <c r="Y46" i="3"/>
  <c r="E48" i="3"/>
  <c r="F48" i="3"/>
  <c r="G48" i="3"/>
  <c r="H48" i="3"/>
  <c r="I48" i="3"/>
  <c r="J48" i="3"/>
  <c r="K48" i="3"/>
  <c r="N48" i="3"/>
  <c r="O48" i="3"/>
  <c r="P48" i="3"/>
  <c r="Q48" i="3"/>
  <c r="R48" i="3"/>
  <c r="T48" i="3"/>
  <c r="U48" i="3"/>
  <c r="V48" i="3"/>
  <c r="W48" i="3"/>
  <c r="X48" i="3"/>
  <c r="Y48" i="3"/>
  <c r="E49" i="3"/>
  <c r="F49" i="3"/>
  <c r="G49" i="3"/>
  <c r="H49" i="3"/>
  <c r="I49" i="3"/>
  <c r="J49" i="3"/>
  <c r="K49" i="3"/>
  <c r="N49" i="3"/>
  <c r="O49" i="3"/>
  <c r="P49" i="3"/>
  <c r="Q49" i="3"/>
  <c r="R49" i="3"/>
  <c r="T49" i="3"/>
  <c r="U49" i="3"/>
  <c r="V49" i="3"/>
  <c r="W49" i="3"/>
  <c r="X49" i="3"/>
  <c r="Y49" i="3"/>
  <c r="E50" i="3"/>
  <c r="F50" i="3"/>
  <c r="G50" i="3"/>
  <c r="H50" i="3"/>
  <c r="I50" i="3"/>
  <c r="J50" i="3"/>
  <c r="K50" i="3"/>
  <c r="N50" i="3"/>
  <c r="O50" i="3"/>
  <c r="P50" i="3"/>
  <c r="Q50" i="3"/>
  <c r="R50" i="3"/>
  <c r="T50" i="3"/>
  <c r="U50" i="3"/>
  <c r="V50" i="3"/>
  <c r="W50" i="3"/>
  <c r="X50" i="3"/>
  <c r="Y50" i="3"/>
  <c r="E51" i="3"/>
  <c r="F51" i="3"/>
  <c r="G51" i="3"/>
  <c r="H51" i="3"/>
  <c r="I51" i="3"/>
  <c r="J51" i="3"/>
  <c r="K51" i="3"/>
  <c r="N51" i="3"/>
  <c r="O51" i="3"/>
  <c r="P51" i="3"/>
  <c r="Q51" i="3"/>
  <c r="R51" i="3"/>
  <c r="T51" i="3"/>
  <c r="U51" i="3"/>
  <c r="V51" i="3"/>
  <c r="W51" i="3"/>
  <c r="X51" i="3"/>
  <c r="Y51" i="3"/>
  <c r="E52" i="3"/>
  <c r="F52" i="3"/>
  <c r="G52" i="3"/>
  <c r="H52" i="3"/>
  <c r="I52" i="3"/>
  <c r="J52" i="3"/>
  <c r="K52" i="3"/>
  <c r="N52" i="3"/>
  <c r="O52" i="3"/>
  <c r="P52" i="3"/>
  <c r="Q52" i="3"/>
  <c r="R52" i="3"/>
  <c r="T52" i="3"/>
  <c r="U52" i="3"/>
  <c r="V52" i="3"/>
  <c r="W52" i="3"/>
  <c r="X52" i="3"/>
  <c r="Y52" i="3"/>
  <c r="E53" i="3"/>
  <c r="F53" i="3"/>
  <c r="G53" i="3"/>
  <c r="H53" i="3"/>
  <c r="I53" i="3"/>
  <c r="J53" i="3"/>
  <c r="K53" i="3"/>
  <c r="N53" i="3"/>
  <c r="O53" i="3"/>
  <c r="P53" i="3"/>
  <c r="Q53" i="3"/>
  <c r="R53" i="3"/>
  <c r="T53" i="3"/>
  <c r="U53" i="3"/>
  <c r="V53" i="3"/>
  <c r="W53" i="3"/>
  <c r="X53" i="3"/>
  <c r="Y53" i="3"/>
  <c r="E54" i="3"/>
  <c r="F54" i="3"/>
  <c r="G54" i="3"/>
  <c r="H54" i="3"/>
  <c r="I54" i="3"/>
  <c r="J54" i="3"/>
  <c r="K54" i="3"/>
  <c r="N54" i="3"/>
  <c r="O54" i="3"/>
  <c r="P54" i="3"/>
  <c r="Q54" i="3"/>
  <c r="R54" i="3"/>
  <c r="T54" i="3"/>
  <c r="U54" i="3"/>
  <c r="V54" i="3"/>
  <c r="W54" i="3"/>
  <c r="X54" i="3"/>
  <c r="Y54" i="3"/>
  <c r="E55" i="3"/>
  <c r="F55" i="3"/>
  <c r="G55" i="3"/>
  <c r="H55" i="3"/>
  <c r="I55" i="3"/>
  <c r="J55" i="3"/>
  <c r="K55" i="3"/>
  <c r="N55" i="3"/>
  <c r="O55" i="3"/>
  <c r="P55" i="3"/>
  <c r="Q55" i="3"/>
  <c r="R55" i="3"/>
  <c r="T55" i="3"/>
  <c r="U55" i="3"/>
  <c r="V55" i="3"/>
  <c r="W55" i="3"/>
  <c r="X55" i="3"/>
  <c r="Y55" i="3"/>
  <c r="E56" i="3"/>
  <c r="F56" i="3"/>
  <c r="G56" i="3"/>
  <c r="H56" i="3"/>
  <c r="I56" i="3"/>
  <c r="J56" i="3"/>
  <c r="K56" i="3"/>
  <c r="N56" i="3"/>
  <c r="P56" i="3"/>
  <c r="Q56" i="3"/>
  <c r="R56" i="3"/>
  <c r="T56" i="3"/>
  <c r="U56" i="3"/>
  <c r="V56" i="3"/>
  <c r="W56" i="3"/>
  <c r="X56" i="3"/>
  <c r="Y56" i="3"/>
  <c r="E57" i="3"/>
  <c r="F57" i="3"/>
  <c r="G57" i="3"/>
  <c r="H57" i="3"/>
  <c r="I57" i="3"/>
  <c r="J57" i="3"/>
  <c r="K57" i="3"/>
  <c r="N57" i="3"/>
  <c r="P57" i="3"/>
  <c r="Q57" i="3"/>
  <c r="R57" i="3"/>
  <c r="T57" i="3"/>
  <c r="U57" i="3"/>
  <c r="V57" i="3"/>
  <c r="W57" i="3"/>
  <c r="X57" i="3"/>
  <c r="Y57" i="3"/>
  <c r="E58" i="3"/>
  <c r="E25" i="3" s="1"/>
  <c r="F58" i="3"/>
  <c r="F25" i="3" s="1"/>
  <c r="G58" i="3"/>
  <c r="G25" i="3" s="1"/>
  <c r="H58" i="3"/>
  <c r="H25" i="3" s="1"/>
  <c r="I58" i="3"/>
  <c r="J58" i="3"/>
  <c r="J25" i="3" s="1"/>
  <c r="K58" i="3"/>
  <c r="K25" i="3" s="1"/>
  <c r="N58" i="3"/>
  <c r="N25" i="3" s="1"/>
  <c r="O58" i="3"/>
  <c r="O25" i="3" s="1"/>
  <c r="P58" i="3"/>
  <c r="P25" i="3" s="1"/>
  <c r="Q58" i="3"/>
  <c r="Q25" i="3" s="1"/>
  <c r="R58" i="3"/>
  <c r="R25" i="3" s="1"/>
  <c r="T58" i="3"/>
  <c r="U58" i="3"/>
  <c r="U25" i="3" s="1"/>
  <c r="V58" i="3"/>
  <c r="V25" i="3" s="1"/>
  <c r="W58" i="3"/>
  <c r="W25" i="3" s="1"/>
  <c r="X58" i="3"/>
  <c r="X25" i="3" s="1"/>
  <c r="Y58" i="3"/>
  <c r="Y25" i="3" s="1"/>
  <c r="E59" i="3"/>
  <c r="F59" i="3"/>
  <c r="G59" i="3"/>
  <c r="H59" i="3"/>
  <c r="I59" i="3"/>
  <c r="J59" i="3"/>
  <c r="K59" i="3"/>
  <c r="N59" i="3"/>
  <c r="O59" i="3"/>
  <c r="P59" i="3"/>
  <c r="Q59" i="3"/>
  <c r="R59" i="3"/>
  <c r="T59" i="3"/>
  <c r="U59" i="3"/>
  <c r="V59" i="3"/>
  <c r="W59" i="3"/>
  <c r="X59" i="3"/>
  <c r="Y59" i="3"/>
  <c r="E60" i="3"/>
  <c r="F60" i="3"/>
  <c r="G60" i="3"/>
  <c r="H60" i="3"/>
  <c r="I60" i="3"/>
  <c r="J60" i="3"/>
  <c r="K60" i="3"/>
  <c r="N60" i="3"/>
  <c r="O60" i="3"/>
  <c r="P60" i="3"/>
  <c r="Q60" i="3"/>
  <c r="R60" i="3"/>
  <c r="T60" i="3"/>
  <c r="U60" i="3"/>
  <c r="V60" i="3"/>
  <c r="W60" i="3"/>
  <c r="X60" i="3"/>
  <c r="Y60" i="3"/>
  <c r="E61" i="3"/>
  <c r="F61" i="3"/>
  <c r="G61" i="3"/>
  <c r="H61" i="3"/>
  <c r="I61" i="3"/>
  <c r="J61" i="3"/>
  <c r="K61" i="3"/>
  <c r="O61" i="3"/>
  <c r="P61" i="3"/>
  <c r="Q61" i="3"/>
  <c r="T61" i="3"/>
  <c r="U61" i="3"/>
  <c r="V61" i="3"/>
  <c r="W61" i="3"/>
  <c r="X61" i="3"/>
  <c r="Y61" i="3"/>
  <c r="F62" i="3"/>
  <c r="G62" i="3"/>
  <c r="H62" i="3"/>
  <c r="I62" i="3"/>
  <c r="J62" i="3"/>
  <c r="K62" i="3"/>
  <c r="N62" i="3"/>
  <c r="O62" i="3"/>
  <c r="P62" i="3"/>
  <c r="Q62" i="3"/>
  <c r="R62" i="3"/>
  <c r="T62" i="3"/>
  <c r="U62" i="3"/>
  <c r="V62" i="3"/>
  <c r="W62" i="3"/>
  <c r="X62" i="3"/>
  <c r="Y62" i="3"/>
  <c r="G63" i="3"/>
  <c r="H63" i="3"/>
  <c r="I63" i="3"/>
  <c r="J63" i="3"/>
  <c r="K63" i="3"/>
  <c r="N63" i="3"/>
  <c r="O63" i="3"/>
  <c r="P63" i="3"/>
  <c r="Q63" i="3"/>
  <c r="R63" i="3"/>
  <c r="T63" i="3"/>
  <c r="U63" i="3"/>
  <c r="V63" i="3"/>
  <c r="W63" i="3"/>
  <c r="X63" i="3"/>
  <c r="Y63" i="3"/>
  <c r="E64" i="3"/>
  <c r="F64" i="3"/>
  <c r="G64" i="3"/>
  <c r="H64" i="3"/>
  <c r="I64" i="3"/>
  <c r="J64" i="3"/>
  <c r="K64" i="3"/>
  <c r="N64" i="3"/>
  <c r="O64" i="3"/>
  <c r="P64" i="3"/>
  <c r="Q64" i="3"/>
  <c r="R64" i="3"/>
  <c r="T64" i="3"/>
  <c r="U64" i="3"/>
  <c r="V64" i="3"/>
  <c r="W64" i="3"/>
  <c r="X64" i="3"/>
  <c r="Y64" i="3"/>
  <c r="E65" i="3"/>
  <c r="F65" i="3"/>
  <c r="G65" i="3"/>
  <c r="H65" i="3"/>
  <c r="I65" i="3"/>
  <c r="J65" i="3"/>
  <c r="K65" i="3"/>
  <c r="N65" i="3"/>
  <c r="O65" i="3"/>
  <c r="P65" i="3"/>
  <c r="Q65" i="3"/>
  <c r="R65" i="3"/>
  <c r="T65" i="3"/>
  <c r="U65" i="3"/>
  <c r="V65" i="3"/>
  <c r="W65" i="3"/>
  <c r="X65" i="3"/>
  <c r="Y65" i="3"/>
  <c r="E66" i="3"/>
  <c r="F66" i="3"/>
  <c r="G66" i="3"/>
  <c r="H66" i="3"/>
  <c r="I66" i="3"/>
  <c r="J66" i="3"/>
  <c r="K66" i="3"/>
  <c r="N66" i="3"/>
  <c r="O66" i="3"/>
  <c r="P66" i="3"/>
  <c r="Q66" i="3"/>
  <c r="R66" i="3"/>
  <c r="T66" i="3"/>
  <c r="U66" i="3"/>
  <c r="V66" i="3"/>
  <c r="W66" i="3"/>
  <c r="X66" i="3"/>
  <c r="Y66" i="3"/>
  <c r="E67" i="3"/>
  <c r="F67" i="3"/>
  <c r="G67" i="3"/>
  <c r="H67" i="3"/>
  <c r="I67" i="3"/>
  <c r="J67" i="3"/>
  <c r="K67" i="3"/>
  <c r="N67" i="3"/>
  <c r="O67" i="3"/>
  <c r="P67" i="3"/>
  <c r="Q67" i="3"/>
  <c r="R67" i="3"/>
  <c r="T67" i="3"/>
  <c r="U67" i="3"/>
  <c r="V67" i="3"/>
  <c r="W67" i="3"/>
  <c r="X67" i="3"/>
  <c r="Y67" i="3"/>
  <c r="E68" i="3"/>
  <c r="F68" i="3"/>
  <c r="G68" i="3"/>
  <c r="H68" i="3"/>
  <c r="I68" i="3"/>
  <c r="J68" i="3"/>
  <c r="K68" i="3"/>
  <c r="N68" i="3"/>
  <c r="O68" i="3"/>
  <c r="P68" i="3"/>
  <c r="Q68" i="3"/>
  <c r="R68" i="3"/>
  <c r="T68" i="3"/>
  <c r="U68" i="3"/>
  <c r="V68" i="3"/>
  <c r="W68" i="3"/>
  <c r="X68" i="3"/>
  <c r="Y68" i="3"/>
  <c r="E69" i="3"/>
  <c r="F69" i="3"/>
  <c r="G69" i="3"/>
  <c r="H69" i="3"/>
  <c r="I69" i="3"/>
  <c r="J69" i="3"/>
  <c r="K69" i="3"/>
  <c r="N69" i="3"/>
  <c r="O69" i="3"/>
  <c r="P69" i="3"/>
  <c r="Q69" i="3"/>
  <c r="R69" i="3"/>
  <c r="T69" i="3"/>
  <c r="U69" i="3"/>
  <c r="V69" i="3"/>
  <c r="W69" i="3"/>
  <c r="X69" i="3"/>
  <c r="Y69" i="3"/>
  <c r="E70" i="3"/>
  <c r="F70" i="3"/>
  <c r="F27" i="3" s="1"/>
  <c r="G70" i="3"/>
  <c r="H70" i="3"/>
  <c r="I70" i="3"/>
  <c r="J70" i="3"/>
  <c r="K70" i="3"/>
  <c r="N70" i="3"/>
  <c r="O70" i="3"/>
  <c r="P70" i="3"/>
  <c r="Q70" i="3"/>
  <c r="R70" i="3"/>
  <c r="T70" i="3"/>
  <c r="U70" i="3"/>
  <c r="V70" i="3"/>
  <c r="W70" i="3"/>
  <c r="X70" i="3"/>
  <c r="Y70" i="3"/>
  <c r="G71" i="3"/>
  <c r="H71" i="3"/>
  <c r="I71" i="3"/>
  <c r="J71" i="3"/>
  <c r="K71" i="3"/>
  <c r="N71" i="3"/>
  <c r="O71" i="3"/>
  <c r="P71" i="3"/>
  <c r="Q71" i="3"/>
  <c r="R71" i="3"/>
  <c r="T71" i="3"/>
  <c r="U71" i="3"/>
  <c r="V71" i="3"/>
  <c r="W71" i="3"/>
  <c r="X71" i="3"/>
  <c r="Y71" i="3"/>
  <c r="E72" i="3"/>
  <c r="F72" i="3"/>
  <c r="G72" i="3"/>
  <c r="H72" i="3"/>
  <c r="I72" i="3"/>
  <c r="J72" i="3"/>
  <c r="K72" i="3"/>
  <c r="N72" i="3"/>
  <c r="O72" i="3"/>
  <c r="P72" i="3"/>
  <c r="Q72" i="3"/>
  <c r="R72" i="3"/>
  <c r="T72" i="3"/>
  <c r="U72" i="3"/>
  <c r="V72" i="3"/>
  <c r="W72" i="3"/>
  <c r="X72" i="3"/>
  <c r="Y72" i="3"/>
  <c r="E73" i="3"/>
  <c r="F73" i="3"/>
  <c r="G73" i="3"/>
  <c r="H73" i="3"/>
  <c r="I73" i="3"/>
  <c r="J73" i="3"/>
  <c r="K73" i="3"/>
  <c r="N73" i="3"/>
  <c r="O73" i="3"/>
  <c r="P73" i="3"/>
  <c r="Q73" i="3"/>
  <c r="R73" i="3"/>
  <c r="T73" i="3"/>
  <c r="U73" i="3"/>
  <c r="V73" i="3"/>
  <c r="W73" i="3"/>
  <c r="X73" i="3"/>
  <c r="Y73" i="3"/>
  <c r="E74" i="3"/>
  <c r="E32" i="3" s="1"/>
  <c r="F74" i="3"/>
  <c r="F32" i="3" s="1"/>
  <c r="G74" i="3"/>
  <c r="G32" i="3" s="1"/>
  <c r="H74" i="3"/>
  <c r="H32" i="3" s="1"/>
  <c r="I74" i="3"/>
  <c r="J74" i="3"/>
  <c r="J32" i="3" s="1"/>
  <c r="K74" i="3"/>
  <c r="K32" i="3" s="1"/>
  <c r="N74" i="3"/>
  <c r="N32" i="3" s="1"/>
  <c r="O74" i="3"/>
  <c r="O32" i="3" s="1"/>
  <c r="P74" i="3"/>
  <c r="P32" i="3" s="1"/>
  <c r="Q74" i="3"/>
  <c r="Q32" i="3" s="1"/>
  <c r="R74" i="3"/>
  <c r="R32" i="3" s="1"/>
  <c r="T74" i="3"/>
  <c r="U74" i="3"/>
  <c r="U32" i="3" s="1"/>
  <c r="V74" i="3"/>
  <c r="V32" i="3" s="1"/>
  <c r="W74" i="3"/>
  <c r="W32" i="3" s="1"/>
  <c r="X74" i="3"/>
  <c r="X32" i="3" s="1"/>
  <c r="Y74" i="3"/>
  <c r="Y32" i="3" s="1"/>
  <c r="E75" i="3"/>
  <c r="F75" i="3"/>
  <c r="G75" i="3"/>
  <c r="H75" i="3"/>
  <c r="I75" i="3"/>
  <c r="J75" i="3"/>
  <c r="K75" i="3"/>
  <c r="N75" i="3"/>
  <c r="O75" i="3"/>
  <c r="P75" i="3"/>
  <c r="Q75" i="3"/>
  <c r="R75" i="3"/>
  <c r="T75" i="3"/>
  <c r="U75" i="3"/>
  <c r="V75" i="3"/>
  <c r="W75" i="3"/>
  <c r="X75" i="3"/>
  <c r="Y75" i="3"/>
  <c r="E76" i="3"/>
  <c r="F76" i="3"/>
  <c r="G76" i="3"/>
  <c r="H76" i="3"/>
  <c r="I76" i="3"/>
  <c r="J76" i="3"/>
  <c r="K76" i="3"/>
  <c r="N76" i="3"/>
  <c r="O76" i="3"/>
  <c r="P76" i="3"/>
  <c r="Q76" i="3"/>
  <c r="R76" i="3"/>
  <c r="T76" i="3"/>
  <c r="U76" i="3"/>
  <c r="V76" i="3"/>
  <c r="W76" i="3"/>
  <c r="X76" i="3"/>
  <c r="Y76" i="3"/>
  <c r="E77" i="3"/>
  <c r="F77" i="3"/>
  <c r="G77" i="3"/>
  <c r="H77" i="3"/>
  <c r="I77" i="3"/>
  <c r="J77" i="3"/>
  <c r="K77" i="3"/>
  <c r="N77" i="3"/>
  <c r="O77" i="3"/>
  <c r="P77" i="3"/>
  <c r="Q77" i="3"/>
  <c r="R77" i="3"/>
  <c r="T77" i="3"/>
  <c r="U77" i="3"/>
  <c r="V77" i="3"/>
  <c r="W77" i="3"/>
  <c r="X77" i="3"/>
  <c r="Y77" i="3"/>
  <c r="E78" i="3"/>
  <c r="E33" i="3" s="1"/>
  <c r="F78" i="3"/>
  <c r="F33" i="3" s="1"/>
  <c r="G78" i="3"/>
  <c r="G33" i="3" s="1"/>
  <c r="H78" i="3"/>
  <c r="H33" i="3" s="1"/>
  <c r="I78" i="3"/>
  <c r="J78" i="3"/>
  <c r="J33" i="3" s="1"/>
  <c r="K78" i="3"/>
  <c r="K33" i="3" s="1"/>
  <c r="N78" i="3"/>
  <c r="N33" i="3" s="1"/>
  <c r="O78" i="3"/>
  <c r="O33" i="3" s="1"/>
  <c r="P78" i="3"/>
  <c r="P33" i="3" s="1"/>
  <c r="Q78" i="3"/>
  <c r="Q33" i="3" s="1"/>
  <c r="R78" i="3"/>
  <c r="R33" i="3" s="1"/>
  <c r="T78" i="3"/>
  <c r="U78" i="3"/>
  <c r="U33" i="3" s="1"/>
  <c r="V78" i="3"/>
  <c r="V33" i="3" s="1"/>
  <c r="W78" i="3"/>
  <c r="W33" i="3" s="1"/>
  <c r="X78" i="3"/>
  <c r="X33" i="3" s="1"/>
  <c r="Y78" i="3"/>
  <c r="Y33" i="3" s="1"/>
  <c r="E79" i="3"/>
  <c r="F79" i="3"/>
  <c r="G79" i="3"/>
  <c r="H79" i="3"/>
  <c r="I79" i="3"/>
  <c r="J79" i="3"/>
  <c r="K79" i="3"/>
  <c r="N79" i="3"/>
  <c r="O79" i="3"/>
  <c r="P79" i="3"/>
  <c r="Q79" i="3"/>
  <c r="R79" i="3"/>
  <c r="T79" i="3"/>
  <c r="U79" i="3"/>
  <c r="V79" i="3"/>
  <c r="W79" i="3"/>
  <c r="X79" i="3"/>
  <c r="Y79" i="3"/>
  <c r="E80" i="3"/>
  <c r="E29" i="3" s="1"/>
  <c r="F80" i="3"/>
  <c r="F29" i="3" s="1"/>
  <c r="G80" i="3"/>
  <c r="G29" i="3" s="1"/>
  <c r="H80" i="3"/>
  <c r="H29" i="3" s="1"/>
  <c r="I80" i="3"/>
  <c r="J80" i="3"/>
  <c r="J29" i="3" s="1"/>
  <c r="K80" i="3"/>
  <c r="K29" i="3" s="1"/>
  <c r="N80" i="3"/>
  <c r="N29" i="3" s="1"/>
  <c r="O80" i="3"/>
  <c r="O29" i="3" s="1"/>
  <c r="P80" i="3"/>
  <c r="P29" i="3" s="1"/>
  <c r="Q80" i="3"/>
  <c r="Q29" i="3" s="1"/>
  <c r="R80" i="3"/>
  <c r="R29" i="3" s="1"/>
  <c r="T80" i="3"/>
  <c r="U80" i="3"/>
  <c r="U29" i="3" s="1"/>
  <c r="V80" i="3"/>
  <c r="V29" i="3" s="1"/>
  <c r="W80" i="3"/>
  <c r="W29" i="3" s="1"/>
  <c r="X80" i="3"/>
  <c r="X29" i="3" s="1"/>
  <c r="Y80" i="3"/>
  <c r="Y29" i="3" s="1"/>
  <c r="E81" i="3"/>
  <c r="F81" i="3"/>
  <c r="G81" i="3"/>
  <c r="H81" i="3"/>
  <c r="I81" i="3"/>
  <c r="J81" i="3"/>
  <c r="K81" i="3"/>
  <c r="N81" i="3"/>
  <c r="O81" i="3"/>
  <c r="P81" i="3"/>
  <c r="Q81" i="3"/>
  <c r="R81" i="3"/>
  <c r="T81" i="3"/>
  <c r="U81" i="3"/>
  <c r="V81" i="3"/>
  <c r="W81" i="3"/>
  <c r="X81" i="3"/>
  <c r="Y81" i="3"/>
  <c r="E82" i="3"/>
  <c r="E31" i="3" s="1"/>
  <c r="F82" i="3"/>
  <c r="F31" i="3" s="1"/>
  <c r="G82" i="3"/>
  <c r="G31" i="3" s="1"/>
  <c r="H82" i="3"/>
  <c r="H31" i="3" s="1"/>
  <c r="I82" i="3"/>
  <c r="I31" i="3" s="1"/>
  <c r="J82" i="3"/>
  <c r="J31" i="3" s="1"/>
  <c r="K82" i="3"/>
  <c r="K31" i="3" s="1"/>
  <c r="N82" i="3"/>
  <c r="N31" i="3" s="1"/>
  <c r="O82" i="3"/>
  <c r="O31" i="3" s="1"/>
  <c r="P82" i="3"/>
  <c r="P31" i="3" s="1"/>
  <c r="Q82" i="3"/>
  <c r="Q31" i="3" s="1"/>
  <c r="R82" i="3"/>
  <c r="R31" i="3" s="1"/>
  <c r="T82" i="3"/>
  <c r="U82" i="3"/>
  <c r="U31" i="3" s="1"/>
  <c r="V82" i="3"/>
  <c r="V31" i="3" s="1"/>
  <c r="W82" i="3"/>
  <c r="W31" i="3" s="1"/>
  <c r="X82" i="3"/>
  <c r="X31" i="3" s="1"/>
  <c r="Y82" i="3"/>
  <c r="Y31" i="3" s="1"/>
  <c r="E83" i="3"/>
  <c r="F83" i="3"/>
  <c r="G83" i="3"/>
  <c r="H83" i="3"/>
  <c r="I83" i="3"/>
  <c r="J83" i="3"/>
  <c r="K83" i="3"/>
  <c r="N83" i="3"/>
  <c r="O83" i="3"/>
  <c r="P83" i="3"/>
  <c r="Q83" i="3"/>
  <c r="R83" i="3"/>
  <c r="T83" i="3"/>
  <c r="U83" i="3"/>
  <c r="V83" i="3"/>
  <c r="W83" i="3"/>
  <c r="X83" i="3"/>
  <c r="Y83" i="3"/>
  <c r="F84" i="3"/>
  <c r="G84" i="3"/>
  <c r="H84" i="3"/>
  <c r="I84" i="3"/>
  <c r="J84" i="3"/>
  <c r="K84" i="3"/>
  <c r="N84" i="3"/>
  <c r="O84" i="3"/>
  <c r="P84" i="3"/>
  <c r="Q84" i="3"/>
  <c r="R84" i="3"/>
  <c r="T84" i="3"/>
  <c r="U84" i="3"/>
  <c r="V84" i="3"/>
  <c r="W84" i="3"/>
  <c r="X84" i="3"/>
  <c r="Y84" i="3"/>
  <c r="E85" i="3"/>
  <c r="E26" i="3" s="1"/>
  <c r="F85" i="3"/>
  <c r="F26" i="3" s="1"/>
  <c r="G85" i="3"/>
  <c r="G26" i="3" s="1"/>
  <c r="H85" i="3"/>
  <c r="H26" i="3" s="1"/>
  <c r="I85" i="3"/>
  <c r="J85" i="3"/>
  <c r="J26" i="3" s="1"/>
  <c r="K85" i="3"/>
  <c r="K26" i="3" s="1"/>
  <c r="N85" i="3"/>
  <c r="N26" i="3" s="1"/>
  <c r="O85" i="3"/>
  <c r="O26" i="3" s="1"/>
  <c r="P85" i="3"/>
  <c r="P26" i="3" s="1"/>
  <c r="Q85" i="3"/>
  <c r="Q26" i="3" s="1"/>
  <c r="R85" i="3"/>
  <c r="R26" i="3" s="1"/>
  <c r="T85" i="3"/>
  <c r="U85" i="3"/>
  <c r="U26" i="3" s="1"/>
  <c r="V85" i="3"/>
  <c r="V26" i="3" s="1"/>
  <c r="W85" i="3"/>
  <c r="W26" i="3" s="1"/>
  <c r="X85" i="3"/>
  <c r="X26" i="3" s="1"/>
  <c r="Y85" i="3"/>
  <c r="Y26" i="3" s="1"/>
  <c r="E86" i="3"/>
  <c r="F86" i="3"/>
  <c r="G86" i="3"/>
  <c r="H86" i="3"/>
  <c r="I86" i="3"/>
  <c r="J86" i="3"/>
  <c r="K86" i="3"/>
  <c r="O86" i="3"/>
  <c r="P86" i="3"/>
  <c r="Q86" i="3"/>
  <c r="T86" i="3"/>
  <c r="U86" i="3"/>
  <c r="V86" i="3"/>
  <c r="W86" i="3"/>
  <c r="X86" i="3"/>
  <c r="Y86" i="3"/>
  <c r="E87" i="3"/>
  <c r="F87" i="3"/>
  <c r="G87" i="3"/>
  <c r="H87" i="3"/>
  <c r="I87" i="3"/>
  <c r="J87" i="3"/>
  <c r="K87" i="3"/>
  <c r="N87" i="3"/>
  <c r="O87" i="3"/>
  <c r="P87" i="3"/>
  <c r="Q87" i="3"/>
  <c r="R87" i="3"/>
  <c r="T87" i="3"/>
  <c r="U87" i="3"/>
  <c r="V87" i="3"/>
  <c r="W87" i="3"/>
  <c r="X87" i="3"/>
  <c r="Y87" i="3"/>
  <c r="E88" i="3"/>
  <c r="E35" i="3" s="1"/>
  <c r="F88" i="3"/>
  <c r="F35" i="3" s="1"/>
  <c r="G88" i="3"/>
  <c r="G35" i="3" s="1"/>
  <c r="H88" i="3"/>
  <c r="H35" i="3" s="1"/>
  <c r="I88" i="3"/>
  <c r="I35" i="3" s="1"/>
  <c r="J88" i="3"/>
  <c r="J35" i="3" s="1"/>
  <c r="K88" i="3"/>
  <c r="K35" i="3" s="1"/>
  <c r="N88" i="3"/>
  <c r="N35" i="3" s="1"/>
  <c r="O88" i="3"/>
  <c r="O35" i="3" s="1"/>
  <c r="P88" i="3"/>
  <c r="P35" i="3" s="1"/>
  <c r="Q88" i="3"/>
  <c r="Q35" i="3" s="1"/>
  <c r="R88" i="3"/>
  <c r="R35" i="3" s="1"/>
  <c r="T88" i="3"/>
  <c r="U88" i="3"/>
  <c r="U35" i="3" s="1"/>
  <c r="V88" i="3"/>
  <c r="V35" i="3" s="1"/>
  <c r="W88" i="3"/>
  <c r="W35" i="3" s="1"/>
  <c r="X88" i="3"/>
  <c r="X35" i="3" s="1"/>
  <c r="Y88" i="3"/>
  <c r="Y35" i="3" s="1"/>
  <c r="E89" i="3"/>
  <c r="F89" i="3"/>
  <c r="G89" i="3"/>
  <c r="H89" i="3"/>
  <c r="I89" i="3"/>
  <c r="J89" i="3"/>
  <c r="K89" i="3"/>
  <c r="N89" i="3"/>
  <c r="O89" i="3"/>
  <c r="P89" i="3"/>
  <c r="Q89" i="3"/>
  <c r="R89" i="3"/>
  <c r="T89" i="3"/>
  <c r="U89" i="3"/>
  <c r="V89" i="3"/>
  <c r="W89" i="3"/>
  <c r="X89" i="3"/>
  <c r="Y89" i="3"/>
  <c r="E90" i="3"/>
  <c r="F90" i="3"/>
  <c r="G90" i="3"/>
  <c r="H90" i="3"/>
  <c r="I90" i="3"/>
  <c r="J90" i="3"/>
  <c r="K90" i="3"/>
  <c r="N90" i="3"/>
  <c r="O90" i="3"/>
  <c r="P90" i="3"/>
  <c r="Q90" i="3"/>
  <c r="T90" i="3"/>
  <c r="U90" i="3"/>
  <c r="V90" i="3"/>
  <c r="W90" i="3"/>
  <c r="X90" i="3"/>
  <c r="Y90" i="3"/>
  <c r="E91" i="3"/>
  <c r="F91" i="3"/>
  <c r="G91" i="3"/>
  <c r="H91" i="3"/>
  <c r="I91" i="3"/>
  <c r="J91" i="3"/>
  <c r="K91" i="3"/>
  <c r="N91" i="3"/>
  <c r="O91" i="3"/>
  <c r="P91" i="3"/>
  <c r="Q91" i="3"/>
  <c r="T91" i="3"/>
  <c r="U91" i="3"/>
  <c r="V91" i="3"/>
  <c r="W91" i="3"/>
  <c r="X91" i="3"/>
  <c r="Y91" i="3"/>
  <c r="F99" i="3"/>
  <c r="G99" i="3"/>
  <c r="H99" i="3"/>
  <c r="I99" i="3"/>
  <c r="J99" i="3"/>
  <c r="K99" i="3"/>
  <c r="O99" i="3"/>
  <c r="P99" i="3"/>
  <c r="Q99" i="3"/>
  <c r="T99" i="3"/>
  <c r="U99" i="3"/>
  <c r="V99" i="3"/>
  <c r="W99" i="3"/>
  <c r="X99" i="3"/>
  <c r="Y99" i="3"/>
  <c r="E100" i="3"/>
  <c r="F100" i="3"/>
  <c r="G100" i="3"/>
  <c r="H100" i="3"/>
  <c r="I100" i="3"/>
  <c r="J100" i="3"/>
  <c r="K100" i="3"/>
  <c r="N100" i="3"/>
  <c r="O100" i="3"/>
  <c r="P100" i="3"/>
  <c r="Q100" i="3"/>
  <c r="R100" i="3"/>
  <c r="T100" i="3"/>
  <c r="U100" i="3"/>
  <c r="V100" i="3"/>
  <c r="W100" i="3"/>
  <c r="X100" i="3"/>
  <c r="Y100" i="3"/>
  <c r="E101" i="3"/>
  <c r="F101" i="3"/>
  <c r="G101" i="3"/>
  <c r="H101" i="3"/>
  <c r="I101" i="3"/>
  <c r="J101" i="3"/>
  <c r="K101" i="3"/>
  <c r="N101" i="3"/>
  <c r="O101" i="3"/>
  <c r="P101" i="3"/>
  <c r="Q101" i="3"/>
  <c r="R101" i="3"/>
  <c r="T101" i="3"/>
  <c r="U101" i="3"/>
  <c r="V101" i="3"/>
  <c r="W101" i="3"/>
  <c r="X101" i="3"/>
  <c r="Y101" i="3"/>
  <c r="E102" i="3"/>
  <c r="E96" i="3" s="1"/>
  <c r="F102" i="3"/>
  <c r="F96" i="3" s="1"/>
  <c r="G102" i="3"/>
  <c r="G96" i="3" s="1"/>
  <c r="H102" i="3"/>
  <c r="H96" i="3" s="1"/>
  <c r="I102" i="3"/>
  <c r="J102" i="3"/>
  <c r="J96" i="3" s="1"/>
  <c r="K102" i="3"/>
  <c r="K96" i="3" s="1"/>
  <c r="N102" i="3"/>
  <c r="N96" i="3" s="1"/>
  <c r="O102" i="3"/>
  <c r="O96" i="3" s="1"/>
  <c r="P102" i="3"/>
  <c r="P96" i="3" s="1"/>
  <c r="Q102" i="3"/>
  <c r="Q96" i="3" s="1"/>
  <c r="R102" i="3"/>
  <c r="R96" i="3" s="1"/>
  <c r="T102" i="3"/>
  <c r="U102" i="3"/>
  <c r="U96" i="3" s="1"/>
  <c r="V102" i="3"/>
  <c r="V96" i="3" s="1"/>
  <c r="W102" i="3"/>
  <c r="W96" i="3" s="1"/>
  <c r="X102" i="3"/>
  <c r="X96" i="3" s="1"/>
  <c r="Y102" i="3"/>
  <c r="Y96" i="3" s="1"/>
  <c r="E103" i="3"/>
  <c r="F103" i="3"/>
  <c r="G103" i="3"/>
  <c r="H103" i="3"/>
  <c r="I103" i="3"/>
  <c r="J103" i="3"/>
  <c r="K103" i="3"/>
  <c r="N103" i="3"/>
  <c r="O103" i="3"/>
  <c r="P103" i="3"/>
  <c r="Q103" i="3"/>
  <c r="R103" i="3"/>
  <c r="T103" i="3"/>
  <c r="U103" i="3"/>
  <c r="V103" i="3"/>
  <c r="W103" i="3"/>
  <c r="X103" i="3"/>
  <c r="Y103" i="3"/>
  <c r="E104" i="3"/>
  <c r="E98" i="3" s="1"/>
  <c r="F104" i="3"/>
  <c r="F98" i="3" s="1"/>
  <c r="G104" i="3"/>
  <c r="G98" i="3" s="1"/>
  <c r="H104" i="3"/>
  <c r="H98" i="3" s="1"/>
  <c r="I104" i="3"/>
  <c r="I98" i="3" s="1"/>
  <c r="J104" i="3"/>
  <c r="J98" i="3" s="1"/>
  <c r="K104" i="3"/>
  <c r="K98" i="3" s="1"/>
  <c r="N104" i="3"/>
  <c r="N98" i="3" s="1"/>
  <c r="O104" i="3"/>
  <c r="O98" i="3" s="1"/>
  <c r="P104" i="3"/>
  <c r="P98" i="3" s="1"/>
  <c r="Q104" i="3"/>
  <c r="Q98" i="3" s="1"/>
  <c r="R104" i="3"/>
  <c r="R98" i="3" s="1"/>
  <c r="T104" i="3"/>
  <c r="U104" i="3"/>
  <c r="U98" i="3" s="1"/>
  <c r="V104" i="3"/>
  <c r="V98" i="3" s="1"/>
  <c r="W104" i="3"/>
  <c r="W98" i="3" s="1"/>
  <c r="X104" i="3"/>
  <c r="X98" i="3" s="1"/>
  <c r="Y104" i="3"/>
  <c r="Y98" i="3" s="1"/>
  <c r="E105" i="3"/>
  <c r="F105" i="3"/>
  <c r="G105" i="3"/>
  <c r="H105" i="3"/>
  <c r="I105" i="3"/>
  <c r="J105" i="3"/>
  <c r="K105" i="3"/>
  <c r="N105" i="3"/>
  <c r="O105" i="3"/>
  <c r="P105" i="3"/>
  <c r="Q105" i="3"/>
  <c r="R105" i="3"/>
  <c r="T105" i="3"/>
  <c r="U105" i="3"/>
  <c r="V105" i="3"/>
  <c r="W105" i="3"/>
  <c r="X105" i="3"/>
  <c r="Y105" i="3"/>
  <c r="E106" i="3"/>
  <c r="F106" i="3"/>
  <c r="G106" i="3"/>
  <c r="H106" i="3"/>
  <c r="I106" i="3"/>
  <c r="J106" i="3"/>
  <c r="K106" i="3"/>
  <c r="M106" i="3"/>
  <c r="N106" i="3"/>
  <c r="O106" i="3"/>
  <c r="P106" i="3"/>
  <c r="Q106" i="3"/>
  <c r="R106" i="3"/>
  <c r="T106" i="3"/>
  <c r="U106" i="3"/>
  <c r="V106" i="3"/>
  <c r="W106" i="3"/>
  <c r="X106" i="3"/>
  <c r="Y106" i="3"/>
  <c r="E107" i="3"/>
  <c r="F107" i="3"/>
  <c r="G107" i="3"/>
  <c r="H107" i="3"/>
  <c r="I107" i="3"/>
  <c r="J107" i="3"/>
  <c r="K107" i="3"/>
  <c r="N107" i="3"/>
  <c r="O107" i="3"/>
  <c r="P107" i="3"/>
  <c r="Q107" i="3"/>
  <c r="R107" i="3"/>
  <c r="T107" i="3"/>
  <c r="U107" i="3"/>
  <c r="V107" i="3"/>
  <c r="W107" i="3"/>
  <c r="X107" i="3"/>
  <c r="Y107" i="3"/>
  <c r="E108" i="3"/>
  <c r="F108" i="3"/>
  <c r="G108" i="3"/>
  <c r="H108" i="3"/>
  <c r="I108" i="3"/>
  <c r="J108" i="3"/>
  <c r="K108" i="3"/>
  <c r="N108" i="3"/>
  <c r="O108" i="3"/>
  <c r="P108" i="3"/>
  <c r="Q108" i="3"/>
  <c r="R108" i="3"/>
  <c r="T108" i="3"/>
  <c r="U108" i="3"/>
  <c r="V108" i="3"/>
  <c r="W108" i="3"/>
  <c r="X108" i="3"/>
  <c r="Y108" i="3"/>
  <c r="E109" i="3"/>
  <c r="F109" i="3"/>
  <c r="G109" i="3"/>
  <c r="H109" i="3"/>
  <c r="I109" i="3"/>
  <c r="J109" i="3"/>
  <c r="K109" i="3"/>
  <c r="N109" i="3"/>
  <c r="O109" i="3"/>
  <c r="P109" i="3"/>
  <c r="Q109" i="3"/>
  <c r="R109" i="3"/>
  <c r="T109" i="3"/>
  <c r="U109" i="3"/>
  <c r="V109" i="3"/>
  <c r="W109" i="3"/>
  <c r="X109" i="3"/>
  <c r="Y109" i="3"/>
  <c r="E110" i="3"/>
  <c r="F110" i="3"/>
  <c r="G110" i="3"/>
  <c r="H110" i="3"/>
  <c r="I110" i="3"/>
  <c r="J110" i="3"/>
  <c r="K110" i="3"/>
  <c r="O110" i="3"/>
  <c r="P110" i="3"/>
  <c r="Q110" i="3"/>
  <c r="T110" i="3"/>
  <c r="U110" i="3"/>
  <c r="V110" i="3"/>
  <c r="W110" i="3"/>
  <c r="X110" i="3"/>
  <c r="Y110" i="3"/>
  <c r="E111" i="3"/>
  <c r="F111" i="3"/>
  <c r="G111" i="3"/>
  <c r="H111" i="3"/>
  <c r="I111" i="3"/>
  <c r="J111" i="3"/>
  <c r="K111" i="3"/>
  <c r="N111" i="3"/>
  <c r="O111" i="3"/>
  <c r="P111" i="3"/>
  <c r="Q111" i="3"/>
  <c r="R111" i="3"/>
  <c r="T111" i="3"/>
  <c r="U111" i="3"/>
  <c r="V111" i="3"/>
  <c r="W111" i="3"/>
  <c r="X111" i="3"/>
  <c r="Y111" i="3"/>
  <c r="E112" i="3"/>
  <c r="F112" i="3"/>
  <c r="G112" i="3"/>
  <c r="H112" i="3"/>
  <c r="I112" i="3"/>
  <c r="J112" i="3"/>
  <c r="K112" i="3"/>
  <c r="N112" i="3"/>
  <c r="O112" i="3"/>
  <c r="P112" i="3"/>
  <c r="Q112" i="3"/>
  <c r="R112" i="3"/>
  <c r="T112" i="3"/>
  <c r="U112" i="3"/>
  <c r="V112" i="3"/>
  <c r="W112" i="3"/>
  <c r="X112" i="3"/>
  <c r="Y112" i="3"/>
  <c r="E113" i="3"/>
  <c r="F113" i="3"/>
  <c r="G113" i="3"/>
  <c r="H113" i="3"/>
  <c r="I113" i="3"/>
  <c r="J113" i="3"/>
  <c r="K113" i="3"/>
  <c r="N113" i="3"/>
  <c r="O113" i="3"/>
  <c r="P113" i="3"/>
  <c r="Q113" i="3"/>
  <c r="R113" i="3"/>
  <c r="T113" i="3"/>
  <c r="U113" i="3"/>
  <c r="V113" i="3"/>
  <c r="W113" i="3"/>
  <c r="X113" i="3"/>
  <c r="Y113" i="3"/>
  <c r="E114" i="3"/>
  <c r="F114" i="3"/>
  <c r="G114" i="3"/>
  <c r="H114" i="3"/>
  <c r="I114" i="3"/>
  <c r="J114" i="3"/>
  <c r="K114" i="3"/>
  <c r="N114" i="3"/>
  <c r="O114" i="3"/>
  <c r="P114" i="3"/>
  <c r="Q114" i="3"/>
  <c r="R114" i="3"/>
  <c r="T114" i="3"/>
  <c r="U114" i="3"/>
  <c r="V114" i="3"/>
  <c r="W114" i="3"/>
  <c r="X114" i="3"/>
  <c r="Y114" i="3"/>
  <c r="E115" i="3"/>
  <c r="F115" i="3"/>
  <c r="G115" i="3"/>
  <c r="H115" i="3"/>
  <c r="I115" i="3"/>
  <c r="J115" i="3"/>
  <c r="K115" i="3"/>
  <c r="N115" i="3"/>
  <c r="O115" i="3"/>
  <c r="P115" i="3"/>
  <c r="Q115" i="3"/>
  <c r="R115" i="3"/>
  <c r="T115" i="3"/>
  <c r="U115" i="3"/>
  <c r="V115" i="3"/>
  <c r="W115" i="3"/>
  <c r="X115" i="3"/>
  <c r="Y115" i="3"/>
  <c r="F116" i="3"/>
  <c r="G116" i="3"/>
  <c r="H116" i="3"/>
  <c r="I116" i="3"/>
  <c r="J116" i="3"/>
  <c r="K116" i="3"/>
  <c r="N116" i="3"/>
  <c r="O116" i="3"/>
  <c r="P116" i="3"/>
  <c r="Q116" i="3"/>
  <c r="R116" i="3"/>
  <c r="T116" i="3"/>
  <c r="U116" i="3"/>
  <c r="V116" i="3"/>
  <c r="W116" i="3"/>
  <c r="X116" i="3"/>
  <c r="Y116" i="3"/>
  <c r="E123" i="3"/>
  <c r="F123" i="3"/>
  <c r="G123" i="3"/>
  <c r="H123" i="3"/>
  <c r="I123" i="3"/>
  <c r="J123" i="3"/>
  <c r="K123" i="3"/>
  <c r="N123" i="3"/>
  <c r="O123" i="3"/>
  <c r="P123" i="3"/>
  <c r="Q123" i="3"/>
  <c r="R123" i="3"/>
  <c r="T123" i="3"/>
  <c r="U123" i="3"/>
  <c r="V123" i="3"/>
  <c r="W123" i="3"/>
  <c r="X123" i="3"/>
  <c r="Y123" i="3"/>
  <c r="F124" i="3"/>
  <c r="G124" i="3"/>
  <c r="H124" i="3"/>
  <c r="I124" i="3"/>
  <c r="J124" i="3"/>
  <c r="K124" i="3"/>
  <c r="N124" i="3"/>
  <c r="O124" i="3"/>
  <c r="P124" i="3"/>
  <c r="Q124" i="3"/>
  <c r="R124" i="3"/>
  <c r="T124" i="3"/>
  <c r="U124" i="3"/>
  <c r="V124" i="3"/>
  <c r="W124" i="3"/>
  <c r="X124" i="3"/>
  <c r="Y124" i="3"/>
  <c r="F125" i="3"/>
  <c r="G125" i="3"/>
  <c r="H125" i="3"/>
  <c r="I125" i="3"/>
  <c r="J125" i="3"/>
  <c r="K125" i="3"/>
  <c r="N125" i="3"/>
  <c r="O125" i="3"/>
  <c r="P125" i="3"/>
  <c r="Q125" i="3"/>
  <c r="R125" i="3"/>
  <c r="T125" i="3"/>
  <c r="U125" i="3"/>
  <c r="V125" i="3"/>
  <c r="W125" i="3"/>
  <c r="X125" i="3"/>
  <c r="Y125" i="3"/>
  <c r="F126" i="3"/>
  <c r="G126" i="3"/>
  <c r="H126" i="3"/>
  <c r="I126" i="3"/>
  <c r="J126" i="3"/>
  <c r="K126" i="3"/>
  <c r="N126" i="3"/>
  <c r="O126" i="3"/>
  <c r="P126" i="3"/>
  <c r="Q126" i="3"/>
  <c r="R126" i="3"/>
  <c r="T126" i="3"/>
  <c r="U126" i="3"/>
  <c r="V126" i="3"/>
  <c r="W126" i="3"/>
  <c r="X126" i="3"/>
  <c r="Y126" i="3"/>
  <c r="F127" i="3"/>
  <c r="G127" i="3"/>
  <c r="H127" i="3"/>
  <c r="I127" i="3"/>
  <c r="J127" i="3"/>
  <c r="K127" i="3"/>
  <c r="N127" i="3"/>
  <c r="O127" i="3"/>
  <c r="P127" i="3"/>
  <c r="Q127" i="3"/>
  <c r="R127" i="3"/>
  <c r="T127" i="3"/>
  <c r="U127" i="3"/>
  <c r="V127" i="3"/>
  <c r="W127" i="3"/>
  <c r="X127" i="3"/>
  <c r="Y127" i="3"/>
  <c r="F128" i="3"/>
  <c r="G128" i="3"/>
  <c r="H128" i="3"/>
  <c r="I128" i="3"/>
  <c r="J128" i="3"/>
  <c r="K128" i="3"/>
  <c r="N128" i="3"/>
  <c r="O128" i="3"/>
  <c r="P128" i="3"/>
  <c r="Q128" i="3"/>
  <c r="R128" i="3"/>
  <c r="T128" i="3"/>
  <c r="U128" i="3"/>
  <c r="V128" i="3"/>
  <c r="W128" i="3"/>
  <c r="X128" i="3"/>
  <c r="Y128" i="3"/>
  <c r="E129" i="3"/>
  <c r="F129" i="3"/>
  <c r="G129" i="3"/>
  <c r="H129" i="3"/>
  <c r="I129" i="3"/>
  <c r="J129" i="3"/>
  <c r="K129" i="3"/>
  <c r="N129" i="3"/>
  <c r="O129" i="3"/>
  <c r="P129" i="3"/>
  <c r="Q129" i="3"/>
  <c r="R129" i="3"/>
  <c r="T129" i="3"/>
  <c r="U129" i="3"/>
  <c r="V129" i="3"/>
  <c r="W129" i="3"/>
  <c r="X129" i="3"/>
  <c r="Y129" i="3"/>
  <c r="E130" i="3"/>
  <c r="F130" i="3"/>
  <c r="G130" i="3"/>
  <c r="H130" i="3"/>
  <c r="I130" i="3"/>
  <c r="J130" i="3"/>
  <c r="K130" i="3"/>
  <c r="N130" i="3"/>
  <c r="O130" i="3"/>
  <c r="P130" i="3"/>
  <c r="Q130" i="3"/>
  <c r="R130" i="3"/>
  <c r="T130" i="3"/>
  <c r="U130" i="3"/>
  <c r="V130" i="3"/>
  <c r="W130" i="3"/>
  <c r="X130" i="3"/>
  <c r="Y130" i="3"/>
  <c r="F131" i="3"/>
  <c r="G131" i="3"/>
  <c r="H131" i="3"/>
  <c r="I131" i="3"/>
  <c r="J131" i="3"/>
  <c r="K131" i="3"/>
  <c r="N131" i="3"/>
  <c r="O131" i="3"/>
  <c r="P131" i="3"/>
  <c r="Q131" i="3"/>
  <c r="R131" i="3"/>
  <c r="T131" i="3"/>
  <c r="U131" i="3"/>
  <c r="V131" i="3"/>
  <c r="W131" i="3"/>
  <c r="X131" i="3"/>
  <c r="Y131" i="3"/>
  <c r="F132" i="3"/>
  <c r="G132" i="3"/>
  <c r="H132" i="3"/>
  <c r="I132" i="3"/>
  <c r="J132" i="3"/>
  <c r="K132" i="3"/>
  <c r="N132" i="3"/>
  <c r="O132" i="3"/>
  <c r="P132" i="3"/>
  <c r="Q132" i="3"/>
  <c r="R132" i="3"/>
  <c r="T132" i="3"/>
  <c r="U132" i="3"/>
  <c r="V132" i="3"/>
  <c r="W132" i="3"/>
  <c r="X132" i="3"/>
  <c r="Y132" i="3"/>
  <c r="E133" i="3"/>
  <c r="F133" i="3"/>
  <c r="G133" i="3"/>
  <c r="H133" i="3"/>
  <c r="I133" i="3"/>
  <c r="J133" i="3"/>
  <c r="K133" i="3"/>
  <c r="N133" i="3"/>
  <c r="O133" i="3"/>
  <c r="P133" i="3"/>
  <c r="Q133" i="3"/>
  <c r="R133" i="3"/>
  <c r="T133" i="3"/>
  <c r="U133" i="3"/>
  <c r="V133" i="3"/>
  <c r="W133" i="3"/>
  <c r="X133" i="3"/>
  <c r="Y133" i="3"/>
  <c r="E134" i="3"/>
  <c r="F134" i="3"/>
  <c r="G134" i="3"/>
  <c r="H134" i="3"/>
  <c r="I134" i="3"/>
  <c r="J134" i="3"/>
  <c r="K134" i="3"/>
  <c r="O134" i="3"/>
  <c r="P134" i="3"/>
  <c r="Q134" i="3"/>
  <c r="T134" i="3"/>
  <c r="U134" i="3"/>
  <c r="V134" i="3"/>
  <c r="W134" i="3"/>
  <c r="X134" i="3"/>
  <c r="Y134" i="3"/>
  <c r="F135" i="3"/>
  <c r="G135" i="3"/>
  <c r="H135" i="3"/>
  <c r="I135" i="3"/>
  <c r="J135" i="3"/>
  <c r="K135" i="3"/>
  <c r="N135" i="3"/>
  <c r="O135" i="3"/>
  <c r="P135" i="3"/>
  <c r="Q135" i="3"/>
  <c r="R135" i="3"/>
  <c r="T135" i="3"/>
  <c r="U135" i="3"/>
  <c r="V135" i="3"/>
  <c r="W135" i="3"/>
  <c r="X135" i="3"/>
  <c r="Y135" i="3"/>
  <c r="E136" i="3"/>
  <c r="F136" i="3"/>
  <c r="G136" i="3"/>
  <c r="H136" i="3"/>
  <c r="I136" i="3"/>
  <c r="J136" i="3"/>
  <c r="K136" i="3"/>
  <c r="N136" i="3"/>
  <c r="O136" i="3"/>
  <c r="P136" i="3"/>
  <c r="Q136" i="3"/>
  <c r="R136" i="3"/>
  <c r="T136" i="3"/>
  <c r="U136" i="3"/>
  <c r="V136" i="3"/>
  <c r="W136" i="3"/>
  <c r="X136" i="3"/>
  <c r="Y136" i="3"/>
  <c r="F137" i="3"/>
  <c r="G137" i="3"/>
  <c r="H137" i="3"/>
  <c r="I137" i="3"/>
  <c r="J137" i="3"/>
  <c r="K137" i="3"/>
  <c r="N137" i="3"/>
  <c r="O137" i="3"/>
  <c r="P137" i="3"/>
  <c r="Q137" i="3"/>
  <c r="R137" i="3"/>
  <c r="T137" i="3"/>
  <c r="U137" i="3"/>
  <c r="V137" i="3"/>
  <c r="W137" i="3"/>
  <c r="X137" i="3"/>
  <c r="Y137" i="3"/>
  <c r="F138" i="3"/>
  <c r="G138" i="3"/>
  <c r="H138" i="3"/>
  <c r="I138" i="3"/>
  <c r="J138" i="3"/>
  <c r="K138" i="3"/>
  <c r="N138" i="3"/>
  <c r="O138" i="3"/>
  <c r="P138" i="3"/>
  <c r="Q138" i="3"/>
  <c r="R138" i="3"/>
  <c r="T138" i="3"/>
  <c r="U138" i="3"/>
  <c r="V138" i="3"/>
  <c r="W138" i="3"/>
  <c r="X138" i="3"/>
  <c r="Y138" i="3"/>
  <c r="F139" i="3"/>
  <c r="G139" i="3"/>
  <c r="H139" i="3"/>
  <c r="I139" i="3"/>
  <c r="J139" i="3"/>
  <c r="K139" i="3"/>
  <c r="N139" i="3"/>
  <c r="O139" i="3"/>
  <c r="P139" i="3"/>
  <c r="Q139" i="3"/>
  <c r="R139" i="3"/>
  <c r="T139" i="3"/>
  <c r="U139" i="3"/>
  <c r="V139" i="3"/>
  <c r="W139" i="3"/>
  <c r="X139" i="3"/>
  <c r="Y139" i="3"/>
  <c r="F140" i="3"/>
  <c r="G140" i="3"/>
  <c r="H140" i="3"/>
  <c r="I140" i="3"/>
  <c r="J140" i="3"/>
  <c r="K140" i="3"/>
  <c r="N140" i="3"/>
  <c r="O140" i="3"/>
  <c r="P140" i="3"/>
  <c r="Q140" i="3"/>
  <c r="R140" i="3"/>
  <c r="T140" i="3"/>
  <c r="U140" i="3"/>
  <c r="V140" i="3"/>
  <c r="W140" i="3"/>
  <c r="X140" i="3"/>
  <c r="Y140" i="3"/>
  <c r="E141" i="3"/>
  <c r="E121" i="3" s="1"/>
  <c r="F141" i="3"/>
  <c r="F121" i="3" s="1"/>
  <c r="G141" i="3"/>
  <c r="G121" i="3" s="1"/>
  <c r="H141" i="3"/>
  <c r="H121" i="3" s="1"/>
  <c r="I141" i="3"/>
  <c r="J141" i="3"/>
  <c r="J121" i="3" s="1"/>
  <c r="K141" i="3"/>
  <c r="K121" i="3" s="1"/>
  <c r="N141" i="3"/>
  <c r="N121" i="3" s="1"/>
  <c r="O141" i="3"/>
  <c r="O121" i="3" s="1"/>
  <c r="P141" i="3"/>
  <c r="P121" i="3" s="1"/>
  <c r="Q141" i="3"/>
  <c r="Q121" i="3" s="1"/>
  <c r="R141" i="3"/>
  <c r="R121" i="3" s="1"/>
  <c r="T141" i="3"/>
  <c r="U141" i="3"/>
  <c r="U121" i="3" s="1"/>
  <c r="V141" i="3"/>
  <c r="V121" i="3" s="1"/>
  <c r="W141" i="3"/>
  <c r="W121" i="3" s="1"/>
  <c r="X141" i="3"/>
  <c r="X121" i="3" s="1"/>
  <c r="Y141" i="3"/>
  <c r="Y121" i="3" s="1"/>
  <c r="E142" i="3"/>
  <c r="F142" i="3"/>
  <c r="G142" i="3"/>
  <c r="H142" i="3"/>
  <c r="I142" i="3"/>
  <c r="J142" i="3"/>
  <c r="K142" i="3"/>
  <c r="N142" i="3"/>
  <c r="O142" i="3"/>
  <c r="P142" i="3"/>
  <c r="Q142" i="3"/>
  <c r="R142" i="3"/>
  <c r="T142" i="3"/>
  <c r="U142" i="3"/>
  <c r="V142" i="3"/>
  <c r="W142" i="3"/>
  <c r="X142" i="3"/>
  <c r="Y142" i="3"/>
  <c r="E143" i="3"/>
  <c r="F143" i="3"/>
  <c r="G143" i="3"/>
  <c r="H143" i="3"/>
  <c r="I143" i="3"/>
  <c r="J143" i="3"/>
  <c r="K143" i="3"/>
  <c r="N143" i="3"/>
  <c r="O143" i="3"/>
  <c r="P143" i="3"/>
  <c r="Q143" i="3"/>
  <c r="R143" i="3"/>
  <c r="T143" i="3"/>
  <c r="U143" i="3"/>
  <c r="V143" i="3"/>
  <c r="W143" i="3"/>
  <c r="X143" i="3"/>
  <c r="Y143" i="3"/>
  <c r="E144" i="3"/>
  <c r="F144" i="3"/>
  <c r="G144" i="3"/>
  <c r="H144" i="3"/>
  <c r="I144" i="3"/>
  <c r="J144" i="3"/>
  <c r="K144" i="3"/>
  <c r="N144" i="3"/>
  <c r="O144" i="3"/>
  <c r="P144" i="3"/>
  <c r="Q144" i="3"/>
  <c r="R144" i="3"/>
  <c r="T144" i="3"/>
  <c r="U144" i="3"/>
  <c r="V144" i="3"/>
  <c r="W144" i="3"/>
  <c r="X144" i="3"/>
  <c r="Y144" i="3"/>
  <c r="E145" i="3"/>
  <c r="F145" i="3"/>
  <c r="G145" i="3"/>
  <c r="H145" i="3"/>
  <c r="I145" i="3"/>
  <c r="J145" i="3"/>
  <c r="K145" i="3"/>
  <c r="N145" i="3"/>
  <c r="O145" i="3"/>
  <c r="P145" i="3"/>
  <c r="Q145" i="3"/>
  <c r="R145" i="3"/>
  <c r="T145" i="3"/>
  <c r="U145" i="3"/>
  <c r="V145" i="3"/>
  <c r="W145" i="3"/>
  <c r="X145" i="3"/>
  <c r="Y145" i="3"/>
  <c r="E146" i="3"/>
  <c r="F146" i="3"/>
  <c r="G146" i="3"/>
  <c r="H146" i="3"/>
  <c r="I146" i="3"/>
  <c r="J146" i="3"/>
  <c r="K146" i="3"/>
  <c r="N146" i="3"/>
  <c r="O146" i="3"/>
  <c r="P146" i="3"/>
  <c r="Q146" i="3"/>
  <c r="R146" i="3"/>
  <c r="T146" i="3"/>
  <c r="U146" i="3"/>
  <c r="V146" i="3"/>
  <c r="W146" i="3"/>
  <c r="X146" i="3"/>
  <c r="Y146" i="3"/>
  <c r="E147" i="3"/>
  <c r="F147" i="3"/>
  <c r="G147" i="3"/>
  <c r="H147" i="3"/>
  <c r="I147" i="3"/>
  <c r="J147" i="3"/>
  <c r="K147" i="3"/>
  <c r="N147" i="3"/>
  <c r="O147" i="3"/>
  <c r="P147" i="3"/>
  <c r="Q147" i="3"/>
  <c r="R147" i="3"/>
  <c r="T147" i="3"/>
  <c r="U147" i="3"/>
  <c r="V147" i="3"/>
  <c r="W147" i="3"/>
  <c r="X147" i="3"/>
  <c r="Y147" i="3"/>
  <c r="E148" i="3"/>
  <c r="F148" i="3"/>
  <c r="G148" i="3"/>
  <c r="H148" i="3"/>
  <c r="I148" i="3"/>
  <c r="J148" i="3"/>
  <c r="K148" i="3"/>
  <c r="N148" i="3"/>
  <c r="O148" i="3"/>
  <c r="P148" i="3"/>
  <c r="Q148" i="3"/>
  <c r="R148" i="3"/>
  <c r="T148" i="3"/>
  <c r="U148" i="3"/>
  <c r="V148" i="3"/>
  <c r="W148" i="3"/>
  <c r="X148" i="3"/>
  <c r="Y148" i="3"/>
  <c r="E149" i="3"/>
  <c r="F149" i="3"/>
  <c r="G149" i="3"/>
  <c r="H149" i="3"/>
  <c r="I149" i="3"/>
  <c r="J149" i="3"/>
  <c r="K149" i="3"/>
  <c r="N149" i="3"/>
  <c r="O149" i="3"/>
  <c r="P149" i="3"/>
  <c r="Q149" i="3"/>
  <c r="R149" i="3"/>
  <c r="T149" i="3"/>
  <c r="U149" i="3"/>
  <c r="V149" i="3"/>
  <c r="W149" i="3"/>
  <c r="X149" i="3"/>
  <c r="Y149" i="3"/>
  <c r="E150" i="3"/>
  <c r="F150" i="3"/>
  <c r="G150" i="3"/>
  <c r="H150" i="3"/>
  <c r="I150" i="3"/>
  <c r="J150" i="3"/>
  <c r="K150" i="3"/>
  <c r="N150" i="3"/>
  <c r="O150" i="3"/>
  <c r="P150" i="3"/>
  <c r="Q150" i="3"/>
  <c r="R150" i="3"/>
  <c r="T150" i="3"/>
  <c r="U150" i="3"/>
  <c r="V150" i="3"/>
  <c r="W150" i="3"/>
  <c r="X150" i="3"/>
  <c r="Y150" i="3"/>
  <c r="F151" i="3"/>
  <c r="G151" i="3"/>
  <c r="H151" i="3"/>
  <c r="I151" i="3"/>
  <c r="J151" i="3"/>
  <c r="K151" i="3"/>
  <c r="N151" i="3"/>
  <c r="O151" i="3"/>
  <c r="P151" i="3"/>
  <c r="Q151" i="3"/>
  <c r="R151" i="3"/>
  <c r="T151" i="3"/>
  <c r="U151" i="3"/>
  <c r="V151" i="3"/>
  <c r="W151" i="3"/>
  <c r="X151" i="3"/>
  <c r="Y151" i="3"/>
  <c r="E152" i="3"/>
  <c r="F152" i="3"/>
  <c r="G152" i="3"/>
  <c r="H152" i="3"/>
  <c r="I152" i="3"/>
  <c r="J152" i="3"/>
  <c r="K152" i="3"/>
  <c r="N152" i="3"/>
  <c r="O152" i="3"/>
  <c r="P152" i="3"/>
  <c r="Q152" i="3"/>
  <c r="R152" i="3"/>
  <c r="T152" i="3"/>
  <c r="U152" i="3"/>
  <c r="V152" i="3"/>
  <c r="W152" i="3"/>
  <c r="X152" i="3"/>
  <c r="Y152" i="3"/>
  <c r="E153" i="3"/>
  <c r="E118" i="3" s="1"/>
  <c r="F153" i="3"/>
  <c r="F118" i="3" s="1"/>
  <c r="G153" i="3"/>
  <c r="G118" i="3" s="1"/>
  <c r="H153" i="3"/>
  <c r="H118" i="3" s="1"/>
  <c r="I153" i="3"/>
  <c r="J153" i="3"/>
  <c r="J118" i="3" s="1"/>
  <c r="K153" i="3"/>
  <c r="K118" i="3" s="1"/>
  <c r="N153" i="3"/>
  <c r="N118" i="3" s="1"/>
  <c r="O153" i="3"/>
  <c r="O118" i="3" s="1"/>
  <c r="P153" i="3"/>
  <c r="P118" i="3" s="1"/>
  <c r="Q153" i="3"/>
  <c r="Q118" i="3" s="1"/>
  <c r="R153" i="3"/>
  <c r="R118" i="3" s="1"/>
  <c r="T153" i="3"/>
  <c r="U153" i="3"/>
  <c r="U118" i="3" s="1"/>
  <c r="V153" i="3"/>
  <c r="V118" i="3" s="1"/>
  <c r="W153" i="3"/>
  <c r="W118" i="3" s="1"/>
  <c r="X153" i="3"/>
  <c r="X118" i="3" s="1"/>
  <c r="Y153" i="3"/>
  <c r="Y118" i="3" s="1"/>
  <c r="E154" i="3"/>
  <c r="F154" i="3"/>
  <c r="G154" i="3"/>
  <c r="H154" i="3"/>
  <c r="I154" i="3"/>
  <c r="J154" i="3"/>
  <c r="K154" i="3"/>
  <c r="N154" i="3"/>
  <c r="O154" i="3"/>
  <c r="P154" i="3"/>
  <c r="Q154" i="3"/>
  <c r="R154" i="3"/>
  <c r="T154" i="3"/>
  <c r="U154" i="3"/>
  <c r="V154" i="3"/>
  <c r="W154" i="3"/>
  <c r="X154" i="3"/>
  <c r="Y154" i="3"/>
  <c r="E155" i="3"/>
  <c r="F155" i="3"/>
  <c r="G155" i="3"/>
  <c r="H155" i="3"/>
  <c r="I155" i="3"/>
  <c r="J155" i="3"/>
  <c r="K155" i="3"/>
  <c r="N155" i="3"/>
  <c r="O155" i="3"/>
  <c r="P155" i="3"/>
  <c r="Q155" i="3"/>
  <c r="R155" i="3"/>
  <c r="T155" i="3"/>
  <c r="U155" i="3"/>
  <c r="V155" i="3"/>
  <c r="W155" i="3"/>
  <c r="X155" i="3"/>
  <c r="Y155" i="3"/>
  <c r="E156" i="3"/>
  <c r="F156" i="3"/>
  <c r="G156" i="3"/>
  <c r="H156" i="3"/>
  <c r="I156" i="3"/>
  <c r="J156" i="3"/>
  <c r="K156" i="3"/>
  <c r="N156" i="3"/>
  <c r="O156" i="3"/>
  <c r="P156" i="3"/>
  <c r="Q156" i="3"/>
  <c r="R156" i="3"/>
  <c r="T156" i="3"/>
  <c r="U156" i="3"/>
  <c r="V156" i="3"/>
  <c r="W156" i="3"/>
  <c r="X156" i="3"/>
  <c r="Y156" i="3"/>
  <c r="E157" i="3"/>
  <c r="F157" i="3"/>
  <c r="G157" i="3"/>
  <c r="H157" i="3"/>
  <c r="I157" i="3"/>
  <c r="J157" i="3"/>
  <c r="K157" i="3"/>
  <c r="N157" i="3"/>
  <c r="O157" i="3"/>
  <c r="P157" i="3"/>
  <c r="Q157" i="3"/>
  <c r="R157" i="3"/>
  <c r="T157" i="3"/>
  <c r="U157" i="3"/>
  <c r="V157" i="3"/>
  <c r="W157" i="3"/>
  <c r="X157" i="3"/>
  <c r="Y157" i="3"/>
  <c r="H158" i="3"/>
  <c r="I158" i="3"/>
  <c r="J158" i="3"/>
  <c r="K158" i="3"/>
  <c r="N158" i="3"/>
  <c r="O158" i="3"/>
  <c r="P158" i="3"/>
  <c r="Q158" i="3"/>
  <c r="R158" i="3"/>
  <c r="T158" i="3"/>
  <c r="U158" i="3"/>
  <c r="V158" i="3"/>
  <c r="W158" i="3"/>
  <c r="X158" i="3"/>
  <c r="Y158" i="3"/>
  <c r="F159" i="3"/>
  <c r="G159" i="3"/>
  <c r="H159" i="3"/>
  <c r="I159" i="3"/>
  <c r="J159" i="3"/>
  <c r="K159" i="3"/>
  <c r="N159" i="3"/>
  <c r="O159" i="3"/>
  <c r="P159" i="3"/>
  <c r="Q159" i="3"/>
  <c r="R159" i="3"/>
  <c r="T159" i="3"/>
  <c r="U159" i="3"/>
  <c r="V159" i="3"/>
  <c r="W159" i="3"/>
  <c r="X159" i="3"/>
  <c r="Y159" i="3"/>
  <c r="E160" i="3"/>
  <c r="F160" i="3"/>
  <c r="G160" i="3"/>
  <c r="H160" i="3"/>
  <c r="I160" i="3"/>
  <c r="J160" i="3"/>
  <c r="K160" i="3"/>
  <c r="N160" i="3"/>
  <c r="O160" i="3"/>
  <c r="P160" i="3"/>
  <c r="Q160" i="3"/>
  <c r="R160" i="3"/>
  <c r="T160" i="3"/>
  <c r="U160" i="3"/>
  <c r="V160" i="3"/>
  <c r="W160" i="3"/>
  <c r="X160" i="3"/>
  <c r="Y160" i="3"/>
  <c r="E161" i="3"/>
  <c r="F161" i="3"/>
  <c r="G161" i="3"/>
  <c r="H161" i="3"/>
  <c r="I161" i="3"/>
  <c r="J161" i="3"/>
  <c r="K161" i="3"/>
  <c r="N161" i="3"/>
  <c r="O161" i="3"/>
  <c r="P161" i="3"/>
  <c r="Q161" i="3"/>
  <c r="R161" i="3"/>
  <c r="T161" i="3"/>
  <c r="U161" i="3"/>
  <c r="V161" i="3"/>
  <c r="W161" i="3"/>
  <c r="X161" i="3"/>
  <c r="Y161" i="3"/>
  <c r="E163" i="3"/>
  <c r="F163" i="3"/>
  <c r="G163" i="3"/>
  <c r="H163" i="3"/>
  <c r="I163" i="3"/>
  <c r="J163" i="3"/>
  <c r="K163" i="3"/>
  <c r="N163" i="3"/>
  <c r="O163" i="3"/>
  <c r="P163" i="3"/>
  <c r="Q163" i="3"/>
  <c r="R163" i="3"/>
  <c r="T163" i="3"/>
  <c r="U163" i="3"/>
  <c r="V163" i="3"/>
  <c r="W163" i="3"/>
  <c r="X163" i="3"/>
  <c r="Y163" i="3"/>
  <c r="G164" i="3"/>
  <c r="H164" i="3"/>
  <c r="I164" i="3"/>
  <c r="J164" i="3"/>
  <c r="K164" i="3"/>
  <c r="O164" i="3"/>
  <c r="P164" i="3"/>
  <c r="Q164" i="3"/>
  <c r="T164" i="3"/>
  <c r="U164" i="3"/>
  <c r="V164" i="3"/>
  <c r="W164" i="3"/>
  <c r="X164" i="3"/>
  <c r="Y164" i="3"/>
  <c r="E165" i="3"/>
  <c r="F165" i="3"/>
  <c r="G165" i="3"/>
  <c r="H165" i="3"/>
  <c r="I165" i="3"/>
  <c r="J165" i="3"/>
  <c r="K165" i="3"/>
  <c r="N165" i="3"/>
  <c r="O165" i="3"/>
  <c r="P165" i="3"/>
  <c r="Q165" i="3"/>
  <c r="R165" i="3"/>
  <c r="T165" i="3"/>
  <c r="U165" i="3"/>
  <c r="V165" i="3"/>
  <c r="W165" i="3"/>
  <c r="X165" i="3"/>
  <c r="Y165" i="3"/>
  <c r="F166" i="3"/>
  <c r="G166" i="3"/>
  <c r="H166" i="3"/>
  <c r="I166" i="3"/>
  <c r="J166" i="3"/>
  <c r="K166" i="3"/>
  <c r="N166" i="3"/>
  <c r="O166" i="3"/>
  <c r="P166" i="3"/>
  <c r="Q166" i="3"/>
  <c r="R166" i="3"/>
  <c r="T166" i="3"/>
  <c r="U166" i="3"/>
  <c r="V166" i="3"/>
  <c r="W166" i="3"/>
  <c r="X166" i="3"/>
  <c r="Y166" i="3"/>
  <c r="F169" i="3"/>
  <c r="G169" i="3"/>
  <c r="H169" i="3"/>
  <c r="I169" i="3"/>
  <c r="J169" i="3"/>
  <c r="K169" i="3"/>
  <c r="N169" i="3"/>
  <c r="O169" i="3"/>
  <c r="P169" i="3"/>
  <c r="Q169" i="3"/>
  <c r="R169" i="3"/>
  <c r="T169" i="3"/>
  <c r="U169" i="3"/>
  <c r="V169" i="3"/>
  <c r="W169" i="3"/>
  <c r="X169" i="3"/>
  <c r="Y169" i="3"/>
  <c r="F170" i="3"/>
  <c r="G170" i="3"/>
  <c r="H170" i="3"/>
  <c r="I170" i="3"/>
  <c r="J170" i="3"/>
  <c r="K170" i="3"/>
  <c r="N170" i="3"/>
  <c r="O170" i="3"/>
  <c r="P170" i="3"/>
  <c r="Q170" i="3"/>
  <c r="R170" i="3"/>
  <c r="T170" i="3"/>
  <c r="U170" i="3"/>
  <c r="V170" i="3"/>
  <c r="W170" i="3"/>
  <c r="X170" i="3"/>
  <c r="Y170" i="3"/>
  <c r="F171" i="3"/>
  <c r="G171" i="3"/>
  <c r="H171" i="3"/>
  <c r="I171" i="3"/>
  <c r="J171" i="3"/>
  <c r="K171" i="3"/>
  <c r="N171" i="3"/>
  <c r="O171" i="3"/>
  <c r="P171" i="3"/>
  <c r="Q171" i="3"/>
  <c r="R171" i="3"/>
  <c r="T171" i="3"/>
  <c r="U171" i="3"/>
  <c r="V171" i="3"/>
  <c r="W171" i="3"/>
  <c r="X171" i="3"/>
  <c r="Y171" i="3"/>
  <c r="E172" i="3"/>
  <c r="E168" i="3" s="1"/>
  <c r="F172" i="3"/>
  <c r="F168" i="3" s="1"/>
  <c r="G172" i="3"/>
  <c r="G168" i="3" s="1"/>
  <c r="H172" i="3"/>
  <c r="H168" i="3" s="1"/>
  <c r="I172" i="3"/>
  <c r="J172" i="3"/>
  <c r="J168" i="3" s="1"/>
  <c r="K172" i="3"/>
  <c r="K168" i="3" s="1"/>
  <c r="N172" i="3"/>
  <c r="N168" i="3" s="1"/>
  <c r="O172" i="3"/>
  <c r="O168" i="3" s="1"/>
  <c r="P172" i="3"/>
  <c r="P168" i="3" s="1"/>
  <c r="Q172" i="3"/>
  <c r="Q168" i="3" s="1"/>
  <c r="R172" i="3"/>
  <c r="R168" i="3" s="1"/>
  <c r="T172" i="3"/>
  <c r="U172" i="3"/>
  <c r="U168" i="3" s="1"/>
  <c r="V172" i="3"/>
  <c r="V168" i="3" s="1"/>
  <c r="W172" i="3"/>
  <c r="W168" i="3" s="1"/>
  <c r="X172" i="3"/>
  <c r="X168" i="3" s="1"/>
  <c r="Y172" i="3"/>
  <c r="Y168" i="3" s="1"/>
  <c r="F173" i="3"/>
  <c r="G173" i="3"/>
  <c r="H173" i="3"/>
  <c r="I173" i="3"/>
  <c r="J173" i="3"/>
  <c r="K173" i="3"/>
  <c r="N173" i="3"/>
  <c r="O173" i="3"/>
  <c r="P173" i="3"/>
  <c r="Q173" i="3"/>
  <c r="R173" i="3"/>
  <c r="T173" i="3"/>
  <c r="U173" i="3"/>
  <c r="V173" i="3"/>
  <c r="W173" i="3"/>
  <c r="X173" i="3"/>
  <c r="Y173" i="3"/>
  <c r="E174" i="3"/>
  <c r="F174" i="3"/>
  <c r="G174" i="3"/>
  <c r="H174" i="3"/>
  <c r="I174" i="3"/>
  <c r="J174" i="3"/>
  <c r="K174" i="3"/>
  <c r="N174" i="3"/>
  <c r="O174" i="3"/>
  <c r="P174" i="3"/>
  <c r="Q174" i="3"/>
  <c r="R174" i="3"/>
  <c r="T174" i="3"/>
  <c r="U174" i="3"/>
  <c r="V174" i="3"/>
  <c r="W174" i="3"/>
  <c r="X174" i="3"/>
  <c r="Y174" i="3"/>
  <c r="F175" i="3"/>
  <c r="G175" i="3"/>
  <c r="H175" i="3"/>
  <c r="I175" i="3"/>
  <c r="J175" i="3"/>
  <c r="K175" i="3"/>
  <c r="N175" i="3"/>
  <c r="O175" i="3"/>
  <c r="P175" i="3"/>
  <c r="Q175" i="3"/>
  <c r="R175" i="3"/>
  <c r="T175" i="3"/>
  <c r="U175" i="3"/>
  <c r="V175" i="3"/>
  <c r="W175" i="3"/>
  <c r="X175" i="3"/>
  <c r="Y175" i="3"/>
  <c r="E178" i="3"/>
  <c r="F178" i="3"/>
  <c r="G178" i="3"/>
  <c r="H178" i="3"/>
  <c r="I178" i="3"/>
  <c r="J178" i="3"/>
  <c r="K178" i="3"/>
  <c r="N178" i="3"/>
  <c r="O178" i="3"/>
  <c r="P178" i="3"/>
  <c r="Q178" i="3"/>
  <c r="R178" i="3"/>
  <c r="T178" i="3"/>
  <c r="U178" i="3"/>
  <c r="V178" i="3"/>
  <c r="W178" i="3"/>
  <c r="X178" i="3"/>
  <c r="Y178" i="3"/>
  <c r="F179" i="3"/>
  <c r="G179" i="3"/>
  <c r="I179" i="3"/>
  <c r="J179" i="3"/>
  <c r="K179" i="3"/>
  <c r="N179" i="3"/>
  <c r="O179" i="3"/>
  <c r="P179" i="3"/>
  <c r="Q179" i="3"/>
  <c r="R179" i="3"/>
  <c r="T179" i="3"/>
  <c r="U179" i="3"/>
  <c r="V179" i="3"/>
  <c r="W179" i="3"/>
  <c r="X179" i="3"/>
  <c r="Y179" i="3"/>
  <c r="E180" i="3"/>
  <c r="F180" i="3"/>
  <c r="G180" i="3"/>
  <c r="H180" i="3"/>
  <c r="I180" i="3"/>
  <c r="J180" i="3"/>
  <c r="K180" i="3"/>
  <c r="N180" i="3"/>
  <c r="O180" i="3"/>
  <c r="P180" i="3"/>
  <c r="Q180" i="3"/>
  <c r="R180" i="3"/>
  <c r="T180" i="3"/>
  <c r="U180" i="3"/>
  <c r="V180" i="3"/>
  <c r="W180" i="3"/>
  <c r="X180" i="3"/>
  <c r="Y180" i="3"/>
  <c r="E181" i="3"/>
  <c r="F181" i="3"/>
  <c r="G181" i="3"/>
  <c r="H181" i="3"/>
  <c r="I181" i="3"/>
  <c r="J181" i="3"/>
  <c r="K181" i="3"/>
  <c r="N181" i="3"/>
  <c r="O181" i="3"/>
  <c r="P181" i="3"/>
  <c r="Q181" i="3"/>
  <c r="R181" i="3"/>
  <c r="T181" i="3"/>
  <c r="U181" i="3"/>
  <c r="V181" i="3"/>
  <c r="W181" i="3"/>
  <c r="X181" i="3"/>
  <c r="Y181" i="3"/>
  <c r="E182" i="3"/>
  <c r="F182" i="3"/>
  <c r="G182" i="3"/>
  <c r="H182" i="3"/>
  <c r="I182" i="3"/>
  <c r="J182" i="3"/>
  <c r="K182" i="3"/>
  <c r="N182" i="3"/>
  <c r="O182" i="3"/>
  <c r="P182" i="3"/>
  <c r="Q182" i="3"/>
  <c r="R182" i="3"/>
  <c r="T182" i="3"/>
  <c r="U182" i="3"/>
  <c r="V182" i="3"/>
  <c r="W182" i="3"/>
  <c r="X182" i="3"/>
  <c r="Y182" i="3"/>
  <c r="E183" i="3"/>
  <c r="F183" i="3"/>
  <c r="G183" i="3"/>
  <c r="I183" i="3"/>
  <c r="J183" i="3"/>
  <c r="K183" i="3"/>
  <c r="N183" i="3"/>
  <c r="O183" i="3"/>
  <c r="P183" i="3"/>
  <c r="Q183" i="3"/>
  <c r="R183" i="3"/>
  <c r="T183" i="3"/>
  <c r="U183" i="3"/>
  <c r="V183" i="3"/>
  <c r="W183" i="3"/>
  <c r="X183" i="3"/>
  <c r="Y183" i="3"/>
  <c r="F184" i="3"/>
  <c r="I184" i="3"/>
  <c r="J184" i="3"/>
  <c r="K184" i="3"/>
  <c r="O184" i="3"/>
  <c r="P184" i="3"/>
  <c r="Q184" i="3"/>
  <c r="T184" i="3"/>
  <c r="U184" i="3"/>
  <c r="V184" i="3"/>
  <c r="W184" i="3"/>
  <c r="X184" i="3"/>
  <c r="Y184" i="3"/>
  <c r="E185" i="3"/>
  <c r="F185" i="3"/>
  <c r="G185" i="3"/>
  <c r="H185" i="3"/>
  <c r="I185" i="3"/>
  <c r="J185" i="3"/>
  <c r="K185" i="3"/>
  <c r="N185" i="3"/>
  <c r="O185" i="3"/>
  <c r="P185" i="3"/>
  <c r="Q185" i="3"/>
  <c r="R185" i="3"/>
  <c r="T185" i="3"/>
  <c r="U185" i="3"/>
  <c r="V185" i="3"/>
  <c r="W185" i="3"/>
  <c r="X185" i="3"/>
  <c r="Y185" i="3"/>
  <c r="E186" i="3"/>
  <c r="F186" i="3"/>
  <c r="G186" i="3"/>
  <c r="H186" i="3"/>
  <c r="I186" i="3"/>
  <c r="J186" i="3"/>
  <c r="K186" i="3"/>
  <c r="N186" i="3"/>
  <c r="O186" i="3"/>
  <c r="P186" i="3"/>
  <c r="Q186" i="3"/>
  <c r="R186" i="3"/>
  <c r="T186" i="3"/>
  <c r="U186" i="3"/>
  <c r="V186" i="3"/>
  <c r="W186" i="3"/>
  <c r="X186" i="3"/>
  <c r="Y186" i="3"/>
  <c r="E187" i="3"/>
  <c r="E177" i="3" s="1"/>
  <c r="F187" i="3"/>
  <c r="F177" i="3" s="1"/>
  <c r="G187" i="3"/>
  <c r="G177" i="3" s="1"/>
  <c r="H187" i="3"/>
  <c r="H177" i="3" s="1"/>
  <c r="I187" i="3"/>
  <c r="J187" i="3"/>
  <c r="J177" i="3" s="1"/>
  <c r="K187" i="3"/>
  <c r="K177" i="3" s="1"/>
  <c r="N187" i="3"/>
  <c r="N177" i="3" s="1"/>
  <c r="O187" i="3"/>
  <c r="O177" i="3" s="1"/>
  <c r="P187" i="3"/>
  <c r="P177" i="3" s="1"/>
  <c r="Q187" i="3"/>
  <c r="Q177" i="3" s="1"/>
  <c r="R187" i="3"/>
  <c r="R177" i="3" s="1"/>
  <c r="T187" i="3"/>
  <c r="U187" i="3"/>
  <c r="U177" i="3" s="1"/>
  <c r="V187" i="3"/>
  <c r="V177" i="3" s="1"/>
  <c r="W187" i="3"/>
  <c r="W177" i="3" s="1"/>
  <c r="X187" i="3"/>
  <c r="X177" i="3" s="1"/>
  <c r="Y187" i="3"/>
  <c r="Y177" i="3" s="1"/>
  <c r="E188" i="3"/>
  <c r="F188" i="3"/>
  <c r="G188" i="3"/>
  <c r="H188" i="3"/>
  <c r="I188" i="3"/>
  <c r="J188" i="3"/>
  <c r="K188" i="3"/>
  <c r="N188" i="3"/>
  <c r="O188" i="3"/>
  <c r="P188" i="3"/>
  <c r="Q188" i="3"/>
  <c r="R188" i="3"/>
  <c r="T188" i="3"/>
  <c r="U188" i="3"/>
  <c r="V188" i="3"/>
  <c r="W188" i="3"/>
  <c r="X188" i="3"/>
  <c r="Y188" i="3"/>
  <c r="F189" i="3"/>
  <c r="G189" i="3"/>
  <c r="H189" i="3"/>
  <c r="I189" i="3"/>
  <c r="J189" i="3"/>
  <c r="K189" i="3"/>
  <c r="N189" i="3"/>
  <c r="O189" i="3"/>
  <c r="P189" i="3"/>
  <c r="Q189" i="3"/>
  <c r="R189" i="3"/>
  <c r="T189" i="3"/>
  <c r="U189" i="3"/>
  <c r="V189" i="3"/>
  <c r="W189" i="3"/>
  <c r="X189" i="3"/>
  <c r="Y189" i="3"/>
  <c r="F201" i="3"/>
  <c r="F200" i="3" s="1"/>
  <c r="G201" i="3"/>
  <c r="G200" i="3" s="1"/>
  <c r="H201" i="3"/>
  <c r="H200" i="3" s="1"/>
  <c r="I201" i="3"/>
  <c r="J201" i="3"/>
  <c r="J200" i="3" s="1"/>
  <c r="K201" i="3"/>
  <c r="K200" i="3" s="1"/>
  <c r="N201" i="3"/>
  <c r="N200" i="3" s="1"/>
  <c r="O201" i="3"/>
  <c r="O200" i="3" s="1"/>
  <c r="P201" i="3"/>
  <c r="P200" i="3" s="1"/>
  <c r="Q201" i="3"/>
  <c r="Q200" i="3" s="1"/>
  <c r="R201" i="3"/>
  <c r="R200" i="3" s="1"/>
  <c r="T201" i="3"/>
  <c r="T200" i="3" s="1"/>
  <c r="U201" i="3"/>
  <c r="U200" i="3" s="1"/>
  <c r="V201" i="3"/>
  <c r="V200" i="3" s="1"/>
  <c r="W201" i="3"/>
  <c r="W200" i="3" s="1"/>
  <c r="X201" i="3"/>
  <c r="X200" i="3" s="1"/>
  <c r="Y201" i="3"/>
  <c r="Y200" i="3" s="1"/>
  <c r="E206" i="3"/>
  <c r="F206" i="3"/>
  <c r="G206" i="3"/>
  <c r="H206" i="3"/>
  <c r="I206" i="3"/>
  <c r="J206" i="3"/>
  <c r="K206" i="3"/>
  <c r="O206" i="3"/>
  <c r="P206" i="3"/>
  <c r="Q206" i="3"/>
  <c r="T206" i="3"/>
  <c r="U206" i="3"/>
  <c r="V206" i="3"/>
  <c r="W206" i="3"/>
  <c r="X206" i="3"/>
  <c r="Y206" i="3"/>
  <c r="E207" i="3"/>
  <c r="F207" i="3"/>
  <c r="G207" i="3"/>
  <c r="H207" i="3"/>
  <c r="I207" i="3"/>
  <c r="J207" i="3"/>
  <c r="K207" i="3"/>
  <c r="N207" i="3"/>
  <c r="O207" i="3"/>
  <c r="P207" i="3"/>
  <c r="Q207" i="3"/>
  <c r="R207" i="3"/>
  <c r="T207" i="3"/>
  <c r="U207" i="3"/>
  <c r="V207" i="3"/>
  <c r="W207" i="3"/>
  <c r="X207" i="3"/>
  <c r="Y207" i="3"/>
  <c r="E208" i="3"/>
  <c r="F208" i="3"/>
  <c r="G208" i="3"/>
  <c r="H208" i="3"/>
  <c r="I208" i="3"/>
  <c r="J208" i="3"/>
  <c r="K208" i="3"/>
  <c r="O208" i="3"/>
  <c r="P208" i="3"/>
  <c r="Q208" i="3"/>
  <c r="T208" i="3"/>
  <c r="U208" i="3"/>
  <c r="V208" i="3"/>
  <c r="W208" i="3"/>
  <c r="X208" i="3"/>
  <c r="Y208" i="3"/>
  <c r="E209" i="3"/>
  <c r="F209" i="3"/>
  <c r="G209" i="3"/>
  <c r="H209" i="3"/>
  <c r="I209" i="3"/>
  <c r="J209" i="3"/>
  <c r="K209" i="3"/>
  <c r="N209" i="3"/>
  <c r="O209" i="3"/>
  <c r="P209" i="3"/>
  <c r="Q209" i="3"/>
  <c r="R209" i="3"/>
  <c r="T209" i="3"/>
  <c r="U209" i="3"/>
  <c r="V209" i="3"/>
  <c r="W209" i="3"/>
  <c r="X209" i="3"/>
  <c r="Y209" i="3"/>
  <c r="E210" i="3"/>
  <c r="F210" i="3"/>
  <c r="G210" i="3"/>
  <c r="H210" i="3"/>
  <c r="I210" i="3"/>
  <c r="J210" i="3"/>
  <c r="K210" i="3"/>
  <c r="O210" i="3"/>
  <c r="P210" i="3"/>
  <c r="Q210" i="3"/>
  <c r="T210" i="3"/>
  <c r="U210" i="3"/>
  <c r="V210" i="3"/>
  <c r="W210" i="3"/>
  <c r="X210" i="3"/>
  <c r="Y210" i="3"/>
  <c r="E211" i="3"/>
  <c r="F211" i="3"/>
  <c r="G211" i="3"/>
  <c r="H211" i="3"/>
  <c r="I211" i="3"/>
  <c r="J211" i="3"/>
  <c r="K211" i="3"/>
  <c r="N211" i="3"/>
  <c r="O211" i="3"/>
  <c r="P211" i="3"/>
  <c r="Q211" i="3"/>
  <c r="R211" i="3"/>
  <c r="T211" i="3"/>
  <c r="U211" i="3"/>
  <c r="V211" i="3"/>
  <c r="W211" i="3"/>
  <c r="X211" i="3"/>
  <c r="Y211" i="3"/>
  <c r="E212" i="3"/>
  <c r="F212" i="3"/>
  <c r="G212" i="3"/>
  <c r="H212" i="3"/>
  <c r="I212" i="3"/>
  <c r="J212" i="3"/>
  <c r="K212" i="3"/>
  <c r="N212" i="3"/>
  <c r="O212" i="3"/>
  <c r="P212" i="3"/>
  <c r="Q212" i="3"/>
  <c r="R212" i="3"/>
  <c r="T212" i="3"/>
  <c r="U212" i="3"/>
  <c r="V212" i="3"/>
  <c r="W212" i="3"/>
  <c r="X212" i="3"/>
  <c r="Y212" i="3"/>
  <c r="E213" i="3"/>
  <c r="F213" i="3"/>
  <c r="G213" i="3"/>
  <c r="H213" i="3"/>
  <c r="I213" i="3"/>
  <c r="J213" i="3"/>
  <c r="K213" i="3"/>
  <c r="N213" i="3"/>
  <c r="O213" i="3"/>
  <c r="P213" i="3"/>
  <c r="Q213" i="3"/>
  <c r="R213" i="3"/>
  <c r="T213" i="3"/>
  <c r="U213" i="3"/>
  <c r="V213" i="3"/>
  <c r="W213" i="3"/>
  <c r="X213" i="3"/>
  <c r="Y213" i="3"/>
  <c r="E214" i="3"/>
  <c r="F214" i="3"/>
  <c r="G214" i="3"/>
  <c r="H214" i="3"/>
  <c r="I214" i="3"/>
  <c r="J214" i="3"/>
  <c r="K214" i="3"/>
  <c r="O214" i="3"/>
  <c r="P214" i="3"/>
  <c r="Q214" i="3"/>
  <c r="T214" i="3"/>
  <c r="U214" i="3"/>
  <c r="V214" i="3"/>
  <c r="W214" i="3"/>
  <c r="X214" i="3"/>
  <c r="Y214" i="3"/>
  <c r="E215" i="3"/>
  <c r="F215" i="3"/>
  <c r="G215" i="3"/>
  <c r="H215" i="3"/>
  <c r="I215" i="3"/>
  <c r="J215" i="3"/>
  <c r="K215" i="3"/>
  <c r="O215" i="3"/>
  <c r="P215" i="3"/>
  <c r="Q215" i="3"/>
  <c r="T215" i="3"/>
  <c r="U215" i="3"/>
  <c r="V215" i="3"/>
  <c r="W215" i="3"/>
  <c r="X215" i="3"/>
  <c r="Y215" i="3"/>
  <c r="E216" i="3"/>
  <c r="F216" i="3"/>
  <c r="G216" i="3"/>
  <c r="H216" i="3"/>
  <c r="I216" i="3"/>
  <c r="J216" i="3"/>
  <c r="K216" i="3"/>
  <c r="O216" i="3"/>
  <c r="P216" i="3"/>
  <c r="Q216" i="3"/>
  <c r="T216" i="3"/>
  <c r="U216" i="3"/>
  <c r="V216" i="3"/>
  <c r="W216" i="3"/>
  <c r="X216" i="3"/>
  <c r="Y216" i="3"/>
  <c r="E217" i="3"/>
  <c r="F217" i="3"/>
  <c r="G217" i="3"/>
  <c r="H217" i="3"/>
  <c r="I217" i="3"/>
  <c r="J217" i="3"/>
  <c r="K217" i="3"/>
  <c r="N217" i="3"/>
  <c r="O217" i="3"/>
  <c r="P217" i="3"/>
  <c r="Q217" i="3"/>
  <c r="R217" i="3"/>
  <c r="T217" i="3"/>
  <c r="U217" i="3"/>
  <c r="V217" i="3"/>
  <c r="W217" i="3"/>
  <c r="X217" i="3"/>
  <c r="Y217" i="3"/>
  <c r="E218" i="3"/>
  <c r="F218" i="3"/>
  <c r="G218" i="3"/>
  <c r="H218" i="3"/>
  <c r="I218" i="3"/>
  <c r="J218" i="3"/>
  <c r="K218" i="3"/>
  <c r="N218" i="3"/>
  <c r="O218" i="3"/>
  <c r="P218" i="3"/>
  <c r="Q218" i="3"/>
  <c r="R218" i="3"/>
  <c r="T218" i="3"/>
  <c r="U218" i="3"/>
  <c r="V218" i="3"/>
  <c r="W218" i="3"/>
  <c r="X218" i="3"/>
  <c r="Y218" i="3"/>
  <c r="E219" i="3"/>
  <c r="F219" i="3"/>
  <c r="G219" i="3"/>
  <c r="H219" i="3"/>
  <c r="I219" i="3"/>
  <c r="J219" i="3"/>
  <c r="K219" i="3"/>
  <c r="N219" i="3"/>
  <c r="O219" i="3"/>
  <c r="P219" i="3"/>
  <c r="Q219" i="3"/>
  <c r="R219" i="3"/>
  <c r="T219" i="3"/>
  <c r="U219" i="3"/>
  <c r="V219" i="3"/>
  <c r="W219" i="3"/>
  <c r="X219" i="3"/>
  <c r="Y219" i="3"/>
  <c r="E220" i="3"/>
  <c r="E203" i="3" s="1"/>
  <c r="E191" i="3" s="1"/>
  <c r="F220" i="3"/>
  <c r="F203" i="3" s="1"/>
  <c r="F191" i="3" s="1"/>
  <c r="G220" i="3"/>
  <c r="G203" i="3" s="1"/>
  <c r="G191" i="3" s="1"/>
  <c r="H220" i="3"/>
  <c r="H203" i="3" s="1"/>
  <c r="H191" i="3" s="1"/>
  <c r="I220" i="3"/>
  <c r="J220" i="3"/>
  <c r="J203" i="3" s="1"/>
  <c r="J191" i="3" s="1"/>
  <c r="K220" i="3"/>
  <c r="K203" i="3" s="1"/>
  <c r="K191" i="3" s="1"/>
  <c r="N220" i="3"/>
  <c r="N203" i="3" s="1"/>
  <c r="N191" i="3" s="1"/>
  <c r="O220" i="3"/>
  <c r="O203" i="3" s="1"/>
  <c r="O191" i="3" s="1"/>
  <c r="P220" i="3"/>
  <c r="P203" i="3" s="1"/>
  <c r="P191" i="3" s="1"/>
  <c r="Q220" i="3"/>
  <c r="Q203" i="3" s="1"/>
  <c r="Q191" i="3" s="1"/>
  <c r="R220" i="3"/>
  <c r="R203" i="3" s="1"/>
  <c r="R191" i="3" s="1"/>
  <c r="T220" i="3"/>
  <c r="U220" i="3"/>
  <c r="U203" i="3" s="1"/>
  <c r="U191" i="3" s="1"/>
  <c r="V220" i="3"/>
  <c r="V203" i="3" s="1"/>
  <c r="V191" i="3" s="1"/>
  <c r="W220" i="3"/>
  <c r="W203" i="3" s="1"/>
  <c r="W191" i="3" s="1"/>
  <c r="X220" i="3"/>
  <c r="X203" i="3" s="1"/>
  <c r="X191" i="3" s="1"/>
  <c r="Y220" i="3"/>
  <c r="Y203" i="3" s="1"/>
  <c r="Y191" i="3" s="1"/>
  <c r="E221" i="3"/>
  <c r="F221" i="3"/>
  <c r="G221" i="3"/>
  <c r="H221" i="3"/>
  <c r="I221" i="3"/>
  <c r="J221" i="3"/>
  <c r="K221" i="3"/>
  <c r="N221" i="3"/>
  <c r="O221" i="3"/>
  <c r="P221" i="3"/>
  <c r="Q221" i="3"/>
  <c r="R221" i="3"/>
  <c r="T221" i="3"/>
  <c r="U221" i="3"/>
  <c r="V221" i="3"/>
  <c r="W221" i="3"/>
  <c r="X221" i="3"/>
  <c r="Y221" i="3"/>
  <c r="E222" i="3"/>
  <c r="F222" i="3"/>
  <c r="G222" i="3"/>
  <c r="H222" i="3"/>
  <c r="I222" i="3"/>
  <c r="J222" i="3"/>
  <c r="K222" i="3"/>
  <c r="N222" i="3"/>
  <c r="O222" i="3"/>
  <c r="P222" i="3"/>
  <c r="Q222" i="3"/>
  <c r="R222" i="3"/>
  <c r="R204" i="3" s="1"/>
  <c r="R192" i="3" s="1"/>
  <c r="T222" i="3"/>
  <c r="U222" i="3"/>
  <c r="V222" i="3"/>
  <c r="W222" i="3"/>
  <c r="X222" i="3"/>
  <c r="Y222" i="3"/>
  <c r="F223" i="3"/>
  <c r="G223" i="3"/>
  <c r="H223" i="3"/>
  <c r="I223" i="3"/>
  <c r="J223" i="3"/>
  <c r="K223" i="3"/>
  <c r="O223" i="3"/>
  <c r="P223" i="3"/>
  <c r="Q223" i="3"/>
  <c r="T223" i="3"/>
  <c r="U223" i="3"/>
  <c r="V223" i="3"/>
  <c r="W223" i="3"/>
  <c r="X223" i="3"/>
  <c r="Y223" i="3"/>
  <c r="F224" i="3"/>
  <c r="G224" i="3"/>
  <c r="H224" i="3"/>
  <c r="I224" i="3"/>
  <c r="J224" i="3"/>
  <c r="K224" i="3"/>
  <c r="O224" i="3"/>
  <c r="P224" i="3"/>
  <c r="Q224" i="3"/>
  <c r="T224" i="3"/>
  <c r="U224" i="3"/>
  <c r="V224" i="3"/>
  <c r="W224" i="3"/>
  <c r="X224" i="3"/>
  <c r="Y224" i="3"/>
  <c r="E225" i="3"/>
  <c r="F225" i="3"/>
  <c r="G225" i="3"/>
  <c r="H225" i="3"/>
  <c r="I225" i="3"/>
  <c r="J225" i="3"/>
  <c r="K225" i="3"/>
  <c r="N225" i="3"/>
  <c r="O225" i="3"/>
  <c r="P225" i="3"/>
  <c r="Q225" i="3"/>
  <c r="R225" i="3"/>
  <c r="T225" i="3"/>
  <c r="U225" i="3"/>
  <c r="V225" i="3"/>
  <c r="W225" i="3"/>
  <c r="X225" i="3"/>
  <c r="Y225" i="3"/>
  <c r="E226" i="3"/>
  <c r="E194" i="3" s="1"/>
  <c r="F226" i="3"/>
  <c r="F194" i="3" s="1"/>
  <c r="G226" i="3"/>
  <c r="G194" i="3" s="1"/>
  <c r="H226" i="3"/>
  <c r="H194" i="3" s="1"/>
  <c r="I226" i="3"/>
  <c r="J226" i="3"/>
  <c r="J194" i="3" s="1"/>
  <c r="K226" i="3"/>
  <c r="K194" i="3" s="1"/>
  <c r="N226" i="3"/>
  <c r="N194" i="3" s="1"/>
  <c r="O226" i="3"/>
  <c r="O194" i="3" s="1"/>
  <c r="P226" i="3"/>
  <c r="P194" i="3" s="1"/>
  <c r="Q226" i="3"/>
  <c r="Q194" i="3" s="1"/>
  <c r="R226" i="3"/>
  <c r="R194" i="3" s="1"/>
  <c r="T226" i="3"/>
  <c r="U226" i="3"/>
  <c r="U194" i="3" s="1"/>
  <c r="V226" i="3"/>
  <c r="V194" i="3" s="1"/>
  <c r="W226" i="3"/>
  <c r="W194" i="3" s="1"/>
  <c r="X226" i="3"/>
  <c r="X194" i="3" s="1"/>
  <c r="Y226" i="3"/>
  <c r="Y194" i="3" s="1"/>
  <c r="E227" i="3"/>
  <c r="F227" i="3"/>
  <c r="G227" i="3"/>
  <c r="H227" i="3"/>
  <c r="I227" i="3"/>
  <c r="J227" i="3"/>
  <c r="K227" i="3"/>
  <c r="N227" i="3"/>
  <c r="O227" i="3"/>
  <c r="P227" i="3"/>
  <c r="Q227" i="3"/>
  <c r="R227" i="3"/>
  <c r="T227" i="3"/>
  <c r="U227" i="3"/>
  <c r="V227" i="3"/>
  <c r="W227" i="3"/>
  <c r="X227" i="3"/>
  <c r="Y227" i="3"/>
  <c r="E228" i="3"/>
  <c r="E205" i="3" s="1"/>
  <c r="E195" i="3" s="1"/>
  <c r="F228" i="3"/>
  <c r="F205" i="3" s="1"/>
  <c r="F195" i="3" s="1"/>
  <c r="G228" i="3"/>
  <c r="G205" i="3" s="1"/>
  <c r="G195" i="3" s="1"/>
  <c r="H228" i="3"/>
  <c r="H205" i="3" s="1"/>
  <c r="H195" i="3" s="1"/>
  <c r="I228" i="3"/>
  <c r="I205" i="3" s="1"/>
  <c r="J228" i="3"/>
  <c r="J205" i="3" s="1"/>
  <c r="J195" i="3" s="1"/>
  <c r="K228" i="3"/>
  <c r="K205" i="3" s="1"/>
  <c r="K195" i="3" s="1"/>
  <c r="N228" i="3"/>
  <c r="N205" i="3" s="1"/>
  <c r="N195" i="3" s="1"/>
  <c r="O228" i="3"/>
  <c r="O205" i="3" s="1"/>
  <c r="O195" i="3" s="1"/>
  <c r="P228" i="3"/>
  <c r="P205" i="3" s="1"/>
  <c r="P195" i="3" s="1"/>
  <c r="Q228" i="3"/>
  <c r="Q205" i="3" s="1"/>
  <c r="Q195" i="3" s="1"/>
  <c r="R228" i="3"/>
  <c r="R205" i="3" s="1"/>
  <c r="R195" i="3" s="1"/>
  <c r="T228" i="3"/>
  <c r="U228" i="3"/>
  <c r="U205" i="3" s="1"/>
  <c r="U195" i="3" s="1"/>
  <c r="V228" i="3"/>
  <c r="V205" i="3" s="1"/>
  <c r="V195" i="3" s="1"/>
  <c r="W228" i="3"/>
  <c r="W205" i="3" s="1"/>
  <c r="W195" i="3" s="1"/>
  <c r="X228" i="3"/>
  <c r="X205" i="3" s="1"/>
  <c r="X195" i="3" s="1"/>
  <c r="Y228" i="3"/>
  <c r="Y205" i="3" s="1"/>
  <c r="Y195" i="3" s="1"/>
  <c r="E231" i="3"/>
  <c r="F231" i="3"/>
  <c r="G231" i="3"/>
  <c r="H231" i="3"/>
  <c r="I231" i="3"/>
  <c r="J231" i="3"/>
  <c r="K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E232" i="3"/>
  <c r="F232" i="3"/>
  <c r="G232" i="3"/>
  <c r="H232" i="3"/>
  <c r="I232" i="3"/>
  <c r="J232" i="3"/>
  <c r="K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E233" i="3"/>
  <c r="F233" i="3"/>
  <c r="G233" i="3"/>
  <c r="I233" i="3"/>
  <c r="J233" i="3"/>
  <c r="K233" i="3"/>
  <c r="N233" i="3"/>
  <c r="O233" i="3"/>
  <c r="P233" i="3"/>
  <c r="Q233" i="3"/>
  <c r="R233" i="3"/>
  <c r="T233" i="3"/>
  <c r="U233" i="3"/>
  <c r="V233" i="3"/>
  <c r="W233" i="3"/>
  <c r="X233" i="3"/>
  <c r="Y233" i="3"/>
  <c r="E234" i="3"/>
  <c r="F234" i="3"/>
  <c r="G234" i="3"/>
  <c r="H234" i="3"/>
  <c r="I234" i="3"/>
  <c r="J234" i="3"/>
  <c r="K234" i="3"/>
  <c r="N234" i="3"/>
  <c r="O234" i="3"/>
  <c r="P234" i="3"/>
  <c r="Q234" i="3"/>
  <c r="R234" i="3"/>
  <c r="T234" i="3"/>
  <c r="U234" i="3"/>
  <c r="V234" i="3"/>
  <c r="W234" i="3"/>
  <c r="X234" i="3"/>
  <c r="Y234" i="3"/>
  <c r="E235" i="3"/>
  <c r="F235" i="3"/>
  <c r="G235" i="3"/>
  <c r="I235" i="3"/>
  <c r="J235" i="3"/>
  <c r="K235" i="3"/>
  <c r="N235" i="3"/>
  <c r="O235" i="3"/>
  <c r="P235" i="3"/>
  <c r="Q235" i="3"/>
  <c r="R235" i="3"/>
  <c r="T235" i="3"/>
  <c r="U235" i="3"/>
  <c r="V235" i="3"/>
  <c r="W235" i="3"/>
  <c r="X235" i="3"/>
  <c r="Y235" i="3"/>
  <c r="E236" i="3"/>
  <c r="F236" i="3"/>
  <c r="G236" i="3"/>
  <c r="H236" i="3"/>
  <c r="I236" i="3"/>
  <c r="J236" i="3"/>
  <c r="K236" i="3"/>
  <c r="N236" i="3"/>
  <c r="O236" i="3"/>
  <c r="P236" i="3"/>
  <c r="Q236" i="3"/>
  <c r="R236" i="3"/>
  <c r="T236" i="3"/>
  <c r="U236" i="3"/>
  <c r="V236" i="3"/>
  <c r="W236" i="3"/>
  <c r="X236" i="3"/>
  <c r="Y236" i="3"/>
  <c r="E237" i="3"/>
  <c r="F237" i="3"/>
  <c r="G237" i="3"/>
  <c r="H237" i="3"/>
  <c r="I237" i="3"/>
  <c r="J237" i="3"/>
  <c r="K237" i="3"/>
  <c r="N237" i="3"/>
  <c r="O237" i="3"/>
  <c r="P237" i="3"/>
  <c r="Q237" i="3"/>
  <c r="R237" i="3"/>
  <c r="T237" i="3"/>
  <c r="U237" i="3"/>
  <c r="V237" i="3"/>
  <c r="W237" i="3"/>
  <c r="X237" i="3"/>
  <c r="Y237" i="3"/>
  <c r="F238" i="3"/>
  <c r="G238" i="3"/>
  <c r="H238" i="3"/>
  <c r="I238" i="3"/>
  <c r="J238" i="3"/>
  <c r="K238" i="3"/>
  <c r="N238" i="3"/>
  <c r="O238" i="3"/>
  <c r="P238" i="3"/>
  <c r="Q238" i="3"/>
  <c r="R238" i="3"/>
  <c r="T238" i="3"/>
  <c r="U238" i="3"/>
  <c r="V238" i="3"/>
  <c r="W238" i="3"/>
  <c r="X238" i="3"/>
  <c r="Y238" i="3"/>
  <c r="E239" i="3"/>
  <c r="F239" i="3"/>
  <c r="G239" i="3"/>
  <c r="H239" i="3"/>
  <c r="I239" i="3"/>
  <c r="J239" i="3"/>
  <c r="K239" i="3"/>
  <c r="N239" i="3"/>
  <c r="O239" i="3"/>
  <c r="P239" i="3"/>
  <c r="Q239" i="3"/>
  <c r="R239" i="3"/>
  <c r="T239" i="3"/>
  <c r="U239" i="3"/>
  <c r="V239" i="3"/>
  <c r="W239" i="3"/>
  <c r="X239" i="3"/>
  <c r="Y239" i="3"/>
  <c r="E240" i="3"/>
  <c r="F240" i="3"/>
  <c r="G240" i="3"/>
  <c r="H240" i="3"/>
  <c r="I240" i="3"/>
  <c r="J240" i="3"/>
  <c r="K240" i="3"/>
  <c r="N240" i="3"/>
  <c r="O240" i="3"/>
  <c r="P240" i="3"/>
  <c r="Q240" i="3"/>
  <c r="R240" i="3"/>
  <c r="T240" i="3"/>
  <c r="U240" i="3"/>
  <c r="V240" i="3"/>
  <c r="W240" i="3"/>
  <c r="X240" i="3"/>
  <c r="Y240" i="3"/>
  <c r="E241" i="3"/>
  <c r="E230" i="3" s="1"/>
  <c r="F241" i="3"/>
  <c r="F230" i="3" s="1"/>
  <c r="G241" i="3"/>
  <c r="G230" i="3" s="1"/>
  <c r="H241" i="3"/>
  <c r="H230" i="3" s="1"/>
  <c r="I241" i="3"/>
  <c r="J241" i="3"/>
  <c r="J230" i="3" s="1"/>
  <c r="K241" i="3"/>
  <c r="K230" i="3" s="1"/>
  <c r="N241" i="3"/>
  <c r="N230" i="3" s="1"/>
  <c r="O241" i="3"/>
  <c r="O230" i="3" s="1"/>
  <c r="P241" i="3"/>
  <c r="P230" i="3" s="1"/>
  <c r="Q241" i="3"/>
  <c r="Q230" i="3" s="1"/>
  <c r="R241" i="3"/>
  <c r="R230" i="3" s="1"/>
  <c r="T241" i="3"/>
  <c r="U241" i="3"/>
  <c r="U230" i="3" s="1"/>
  <c r="V241" i="3"/>
  <c r="V230" i="3" s="1"/>
  <c r="W241" i="3"/>
  <c r="W230" i="3" s="1"/>
  <c r="X241" i="3"/>
  <c r="X230" i="3" s="1"/>
  <c r="Y241" i="3"/>
  <c r="Y230" i="3" s="1"/>
  <c r="F243" i="3"/>
  <c r="F242" i="3" s="1"/>
  <c r="G243" i="3"/>
  <c r="G242" i="3" s="1"/>
  <c r="H243" i="3"/>
  <c r="H242" i="3" s="1"/>
  <c r="I243" i="3"/>
  <c r="J243" i="3"/>
  <c r="J242" i="3" s="1"/>
  <c r="K243" i="3"/>
  <c r="K242" i="3" s="1"/>
  <c r="N243" i="3"/>
  <c r="N242" i="3" s="1"/>
  <c r="O243" i="3"/>
  <c r="O242" i="3" s="1"/>
  <c r="P243" i="3"/>
  <c r="P242" i="3" s="1"/>
  <c r="Q243" i="3"/>
  <c r="Q242" i="3" s="1"/>
  <c r="R243" i="3"/>
  <c r="R242" i="3" s="1"/>
  <c r="T243" i="3"/>
  <c r="U243" i="3"/>
  <c r="U242" i="3" s="1"/>
  <c r="V243" i="3"/>
  <c r="V242" i="3" s="1"/>
  <c r="W243" i="3"/>
  <c r="W242" i="3" s="1"/>
  <c r="X243" i="3"/>
  <c r="X242" i="3" s="1"/>
  <c r="Y243" i="3"/>
  <c r="Y242" i="3" s="1"/>
  <c r="F248" i="3"/>
  <c r="G248" i="3"/>
  <c r="I248" i="3"/>
  <c r="J248" i="3"/>
  <c r="K248" i="3"/>
  <c r="O248" i="3"/>
  <c r="P248" i="3"/>
  <c r="Q248" i="3"/>
  <c r="T248" i="3"/>
  <c r="U248" i="3"/>
  <c r="V248" i="3"/>
  <c r="W248" i="3"/>
  <c r="X248" i="3"/>
  <c r="Y248" i="3"/>
  <c r="F249" i="3"/>
  <c r="G249" i="3"/>
  <c r="I249" i="3"/>
  <c r="J249" i="3"/>
  <c r="K249" i="3"/>
  <c r="O249" i="3"/>
  <c r="P249" i="3"/>
  <c r="Q249" i="3"/>
  <c r="T249" i="3"/>
  <c r="U249" i="3"/>
  <c r="V249" i="3"/>
  <c r="W249" i="3"/>
  <c r="X249" i="3"/>
  <c r="Y249" i="3"/>
  <c r="E250" i="3"/>
  <c r="F250" i="3"/>
  <c r="G250" i="3"/>
  <c r="H250" i="3"/>
  <c r="I250" i="3"/>
  <c r="J250" i="3"/>
  <c r="K250" i="3"/>
  <c r="N250" i="3"/>
  <c r="O250" i="3"/>
  <c r="P250" i="3"/>
  <c r="Q250" i="3"/>
  <c r="R250" i="3"/>
  <c r="T250" i="3"/>
  <c r="U250" i="3"/>
  <c r="V250" i="3"/>
  <c r="W250" i="3"/>
  <c r="X250" i="3"/>
  <c r="Y250" i="3"/>
  <c r="E251" i="3"/>
  <c r="E246" i="3" s="1"/>
  <c r="E198" i="3" s="1"/>
  <c r="F251" i="3"/>
  <c r="F246" i="3" s="1"/>
  <c r="F198" i="3" s="1"/>
  <c r="G251" i="3"/>
  <c r="G246" i="3" s="1"/>
  <c r="G198" i="3" s="1"/>
  <c r="H251" i="3"/>
  <c r="H246" i="3" s="1"/>
  <c r="H198" i="3" s="1"/>
  <c r="I251" i="3"/>
  <c r="I246" i="3" s="1"/>
  <c r="J251" i="3"/>
  <c r="J246" i="3" s="1"/>
  <c r="J198" i="3" s="1"/>
  <c r="K251" i="3"/>
  <c r="K246" i="3" s="1"/>
  <c r="K198" i="3" s="1"/>
  <c r="N251" i="3"/>
  <c r="N246" i="3" s="1"/>
  <c r="N198" i="3" s="1"/>
  <c r="O251" i="3"/>
  <c r="O246" i="3" s="1"/>
  <c r="O198" i="3" s="1"/>
  <c r="P251" i="3"/>
  <c r="P246" i="3" s="1"/>
  <c r="P198" i="3" s="1"/>
  <c r="Q251" i="3"/>
  <c r="Q246" i="3" s="1"/>
  <c r="Q198" i="3" s="1"/>
  <c r="R251" i="3"/>
  <c r="R246" i="3" s="1"/>
  <c r="R198" i="3" s="1"/>
  <c r="T251" i="3"/>
  <c r="U251" i="3"/>
  <c r="U246" i="3" s="1"/>
  <c r="U198" i="3" s="1"/>
  <c r="V251" i="3"/>
  <c r="V246" i="3" s="1"/>
  <c r="V198" i="3" s="1"/>
  <c r="W251" i="3"/>
  <c r="W246" i="3" s="1"/>
  <c r="W198" i="3" s="1"/>
  <c r="X251" i="3"/>
  <c r="X246" i="3" s="1"/>
  <c r="X198" i="3" s="1"/>
  <c r="Y251" i="3"/>
  <c r="Y246" i="3" s="1"/>
  <c r="Y198" i="3" s="1"/>
  <c r="E252" i="3"/>
  <c r="E247" i="3" s="1"/>
  <c r="E197" i="3" s="1"/>
  <c r="E303" i="3" s="1"/>
  <c r="F252" i="3"/>
  <c r="F247" i="3" s="1"/>
  <c r="F197" i="3" s="1"/>
  <c r="F303" i="3" s="1"/>
  <c r="G252" i="3"/>
  <c r="G247" i="3" s="1"/>
  <c r="G197" i="3" s="1"/>
  <c r="G303" i="3" s="1"/>
  <c r="H252" i="3"/>
  <c r="H247" i="3" s="1"/>
  <c r="H197" i="3" s="1"/>
  <c r="H303" i="3" s="1"/>
  <c r="I252" i="3"/>
  <c r="I247" i="3" s="1"/>
  <c r="J252" i="3"/>
  <c r="J247" i="3" s="1"/>
  <c r="J197" i="3" s="1"/>
  <c r="J303" i="3" s="1"/>
  <c r="K252" i="3"/>
  <c r="K247" i="3" s="1"/>
  <c r="K197" i="3" s="1"/>
  <c r="K303" i="3" s="1"/>
  <c r="N252" i="3"/>
  <c r="N247" i="3" s="1"/>
  <c r="N197" i="3" s="1"/>
  <c r="N303" i="3" s="1"/>
  <c r="O252" i="3"/>
  <c r="O247" i="3" s="1"/>
  <c r="O197" i="3" s="1"/>
  <c r="O303" i="3" s="1"/>
  <c r="P252" i="3"/>
  <c r="P247" i="3" s="1"/>
  <c r="P197" i="3" s="1"/>
  <c r="P303" i="3" s="1"/>
  <c r="Q252" i="3"/>
  <c r="Q247" i="3" s="1"/>
  <c r="Q197" i="3" s="1"/>
  <c r="R252" i="3"/>
  <c r="R247" i="3" s="1"/>
  <c r="R197" i="3" s="1"/>
  <c r="R303" i="3" s="1"/>
  <c r="T252" i="3"/>
  <c r="U252" i="3"/>
  <c r="U247" i="3" s="1"/>
  <c r="U197" i="3" s="1"/>
  <c r="U303" i="3" s="1"/>
  <c r="V252" i="3"/>
  <c r="V247" i="3" s="1"/>
  <c r="V197" i="3" s="1"/>
  <c r="V303" i="3" s="1"/>
  <c r="W252" i="3"/>
  <c r="W247" i="3" s="1"/>
  <c r="W197" i="3" s="1"/>
  <c r="W303" i="3" s="1"/>
  <c r="X252" i="3"/>
  <c r="X247" i="3" s="1"/>
  <c r="X197" i="3" s="1"/>
  <c r="X303" i="3" s="1"/>
  <c r="Y252" i="3"/>
  <c r="Y247" i="3" s="1"/>
  <c r="Y197" i="3" s="1"/>
  <c r="Y303" i="3" s="1"/>
  <c r="E253" i="3"/>
  <c r="F253" i="3"/>
  <c r="G253" i="3"/>
  <c r="H253" i="3"/>
  <c r="I253" i="3"/>
  <c r="J253" i="3"/>
  <c r="K253" i="3"/>
  <c r="N253" i="3"/>
  <c r="O253" i="3"/>
  <c r="P253" i="3"/>
  <c r="Q253" i="3"/>
  <c r="R253" i="3"/>
  <c r="T253" i="3"/>
  <c r="U253" i="3"/>
  <c r="V253" i="3"/>
  <c r="W253" i="3"/>
  <c r="X253" i="3"/>
  <c r="Y253" i="3"/>
  <c r="E254" i="3"/>
  <c r="F254" i="3"/>
  <c r="G254" i="3"/>
  <c r="H254" i="3"/>
  <c r="I254" i="3"/>
  <c r="J254" i="3"/>
  <c r="K254" i="3"/>
  <c r="N254" i="3"/>
  <c r="O254" i="3"/>
  <c r="P254" i="3"/>
  <c r="Q254" i="3"/>
  <c r="R254" i="3"/>
  <c r="T254" i="3"/>
  <c r="U254" i="3"/>
  <c r="V254" i="3"/>
  <c r="W254" i="3"/>
  <c r="X254" i="3"/>
  <c r="Y254" i="3"/>
  <c r="E255" i="3"/>
  <c r="F255" i="3"/>
  <c r="G255" i="3"/>
  <c r="H255" i="3"/>
  <c r="I255" i="3"/>
  <c r="J255" i="3"/>
  <c r="K255" i="3"/>
  <c r="N255" i="3"/>
  <c r="O255" i="3"/>
  <c r="P255" i="3"/>
  <c r="R255" i="3"/>
  <c r="T255" i="3"/>
  <c r="U255" i="3"/>
  <c r="V255" i="3"/>
  <c r="W255" i="3"/>
  <c r="X255" i="3"/>
  <c r="Y255" i="3"/>
  <c r="E256" i="3"/>
  <c r="F256" i="3"/>
  <c r="G256" i="3"/>
  <c r="H256" i="3"/>
  <c r="I256" i="3"/>
  <c r="J256" i="3"/>
  <c r="K256" i="3"/>
  <c r="N256" i="3"/>
  <c r="O256" i="3"/>
  <c r="P256" i="3"/>
  <c r="Q256" i="3"/>
  <c r="R256" i="3"/>
  <c r="T256" i="3"/>
  <c r="U256" i="3"/>
  <c r="V256" i="3"/>
  <c r="V245" i="3" s="1"/>
  <c r="V196" i="3" s="1"/>
  <c r="W256" i="3"/>
  <c r="X256" i="3"/>
  <c r="Y256" i="3"/>
  <c r="F257" i="3"/>
  <c r="G257" i="3"/>
  <c r="H257" i="3"/>
  <c r="I257" i="3"/>
  <c r="J257" i="3"/>
  <c r="K257" i="3"/>
  <c r="N257" i="3"/>
  <c r="O257" i="3"/>
  <c r="P257" i="3"/>
  <c r="Q257" i="3"/>
  <c r="R257" i="3"/>
  <c r="T257" i="3"/>
  <c r="U257" i="3"/>
  <c r="V257" i="3"/>
  <c r="W257" i="3"/>
  <c r="X257" i="3"/>
  <c r="Y257" i="3"/>
  <c r="E258" i="3"/>
  <c r="F258" i="3"/>
  <c r="G258" i="3"/>
  <c r="H258" i="3"/>
  <c r="I258" i="3"/>
  <c r="J258" i="3"/>
  <c r="K258" i="3"/>
  <c r="N258" i="3"/>
  <c r="O258" i="3"/>
  <c r="P258" i="3"/>
  <c r="Q258" i="3"/>
  <c r="R258" i="3"/>
  <c r="T258" i="3"/>
  <c r="U258" i="3"/>
  <c r="V258" i="3"/>
  <c r="W258" i="3"/>
  <c r="X258" i="3"/>
  <c r="Y258" i="3"/>
  <c r="F259" i="3"/>
  <c r="G259" i="3"/>
  <c r="H259" i="3"/>
  <c r="I259" i="3"/>
  <c r="J259" i="3"/>
  <c r="K259" i="3"/>
  <c r="N259" i="3"/>
  <c r="O259" i="3"/>
  <c r="P259" i="3"/>
  <c r="Q259" i="3"/>
  <c r="R259" i="3"/>
  <c r="T259" i="3"/>
  <c r="U259" i="3"/>
  <c r="V259" i="3"/>
  <c r="W259" i="3"/>
  <c r="X259" i="3"/>
  <c r="Y259" i="3"/>
  <c r="E260" i="3"/>
  <c r="F260" i="3"/>
  <c r="G260" i="3"/>
  <c r="H260" i="3"/>
  <c r="I260" i="3"/>
  <c r="J260" i="3"/>
  <c r="K260" i="3"/>
  <c r="N260" i="3"/>
  <c r="O260" i="3"/>
  <c r="P260" i="3"/>
  <c r="Q260" i="3"/>
  <c r="R260" i="3"/>
  <c r="T260" i="3"/>
  <c r="U260" i="3"/>
  <c r="V260" i="3"/>
  <c r="W260" i="3"/>
  <c r="X260" i="3"/>
  <c r="Y260" i="3"/>
  <c r="E261" i="3"/>
  <c r="E199" i="3" s="1"/>
  <c r="F261" i="3"/>
  <c r="F199" i="3" s="1"/>
  <c r="G261" i="3"/>
  <c r="G199" i="3" s="1"/>
  <c r="H261" i="3"/>
  <c r="H199" i="3" s="1"/>
  <c r="I261" i="3"/>
  <c r="J261" i="3"/>
  <c r="J199" i="3" s="1"/>
  <c r="K261" i="3"/>
  <c r="K199" i="3" s="1"/>
  <c r="N261" i="3"/>
  <c r="N199" i="3" s="1"/>
  <c r="O261" i="3"/>
  <c r="O199" i="3" s="1"/>
  <c r="P261" i="3"/>
  <c r="P199" i="3" s="1"/>
  <c r="Q261" i="3"/>
  <c r="Q199" i="3" s="1"/>
  <c r="R261" i="3"/>
  <c r="R199" i="3" s="1"/>
  <c r="T261" i="3"/>
  <c r="U261" i="3"/>
  <c r="U199" i="3" s="1"/>
  <c r="V261" i="3"/>
  <c r="V199" i="3" s="1"/>
  <c r="W261" i="3"/>
  <c r="W199" i="3" s="1"/>
  <c r="X261" i="3"/>
  <c r="X199" i="3" s="1"/>
  <c r="Y261" i="3"/>
  <c r="Y199" i="3" s="1"/>
  <c r="F266" i="3"/>
  <c r="H266" i="3"/>
  <c r="I266" i="3"/>
  <c r="J266" i="3"/>
  <c r="K266" i="3"/>
  <c r="O266" i="3"/>
  <c r="P266" i="3"/>
  <c r="Q266" i="3"/>
  <c r="T266" i="3"/>
  <c r="U266" i="3"/>
  <c r="V266" i="3"/>
  <c r="W266" i="3"/>
  <c r="X266" i="3"/>
  <c r="Y266" i="3"/>
  <c r="F267" i="3"/>
  <c r="G267" i="3"/>
  <c r="H267" i="3"/>
  <c r="I267" i="3"/>
  <c r="J267" i="3"/>
  <c r="K267" i="3"/>
  <c r="O267" i="3"/>
  <c r="P267" i="3"/>
  <c r="Q267" i="3"/>
  <c r="T267" i="3"/>
  <c r="U267" i="3"/>
  <c r="V267" i="3"/>
  <c r="W267" i="3"/>
  <c r="X267" i="3"/>
  <c r="Y267" i="3"/>
  <c r="E268" i="3"/>
  <c r="E265" i="3" s="1"/>
  <c r="E263" i="3" s="1"/>
  <c r="F268" i="3"/>
  <c r="F265" i="3" s="1"/>
  <c r="F263" i="3" s="1"/>
  <c r="G268" i="3"/>
  <c r="G265" i="3" s="1"/>
  <c r="G263" i="3" s="1"/>
  <c r="H268" i="3"/>
  <c r="H265" i="3" s="1"/>
  <c r="H263" i="3" s="1"/>
  <c r="I268" i="3"/>
  <c r="J268" i="3"/>
  <c r="J265" i="3" s="1"/>
  <c r="J263" i="3" s="1"/>
  <c r="K268" i="3"/>
  <c r="K265" i="3" s="1"/>
  <c r="K263" i="3" s="1"/>
  <c r="N268" i="3"/>
  <c r="N265" i="3" s="1"/>
  <c r="N263" i="3" s="1"/>
  <c r="O268" i="3"/>
  <c r="O265" i="3" s="1"/>
  <c r="O263" i="3" s="1"/>
  <c r="P268" i="3"/>
  <c r="P265" i="3" s="1"/>
  <c r="P263" i="3" s="1"/>
  <c r="Q268" i="3"/>
  <c r="Q265" i="3" s="1"/>
  <c r="Q263" i="3" s="1"/>
  <c r="R268" i="3"/>
  <c r="R265" i="3" s="1"/>
  <c r="R263" i="3" s="1"/>
  <c r="T268" i="3"/>
  <c r="T265" i="3" s="1"/>
  <c r="T263" i="3" s="1"/>
  <c r="U268" i="3"/>
  <c r="U265" i="3" s="1"/>
  <c r="U263" i="3" s="1"/>
  <c r="V268" i="3"/>
  <c r="V265" i="3" s="1"/>
  <c r="V263" i="3" s="1"/>
  <c r="W268" i="3"/>
  <c r="W265" i="3" s="1"/>
  <c r="W263" i="3" s="1"/>
  <c r="X268" i="3"/>
  <c r="X265" i="3" s="1"/>
  <c r="X263" i="3" s="1"/>
  <c r="Y268" i="3"/>
  <c r="Y265" i="3" s="1"/>
  <c r="Y263" i="3" s="1"/>
  <c r="F270" i="3"/>
  <c r="G270" i="3"/>
  <c r="H270" i="3"/>
  <c r="I270" i="3"/>
  <c r="J270" i="3"/>
  <c r="K270" i="3"/>
  <c r="N270" i="3"/>
  <c r="O270" i="3"/>
  <c r="P270" i="3"/>
  <c r="Q270" i="3"/>
  <c r="R270" i="3"/>
  <c r="T270" i="3"/>
  <c r="U270" i="3"/>
  <c r="V270" i="3"/>
  <c r="W270" i="3"/>
  <c r="X270" i="3"/>
  <c r="Y270" i="3"/>
  <c r="F271" i="3"/>
  <c r="G271" i="3"/>
  <c r="H271" i="3"/>
  <c r="I271" i="3"/>
  <c r="J271" i="3"/>
  <c r="K271" i="3"/>
  <c r="O271" i="3"/>
  <c r="P271" i="3"/>
  <c r="Q271" i="3"/>
  <c r="T271" i="3"/>
  <c r="U271" i="3"/>
  <c r="V271" i="3"/>
  <c r="W271" i="3"/>
  <c r="X271" i="3"/>
  <c r="Y271" i="3"/>
  <c r="E273" i="3"/>
  <c r="F273" i="3"/>
  <c r="G273" i="3"/>
  <c r="H273" i="3"/>
  <c r="I273" i="3"/>
  <c r="J273" i="3"/>
  <c r="K273" i="3"/>
  <c r="N273" i="3"/>
  <c r="O273" i="3"/>
  <c r="P273" i="3"/>
  <c r="Q273" i="3"/>
  <c r="R273" i="3"/>
  <c r="T273" i="3"/>
  <c r="U273" i="3"/>
  <c r="V273" i="3"/>
  <c r="W273" i="3"/>
  <c r="X273" i="3"/>
  <c r="Y273" i="3"/>
  <c r="E274" i="3"/>
  <c r="F274" i="3"/>
  <c r="G274" i="3"/>
  <c r="H274" i="3"/>
  <c r="I274" i="3"/>
  <c r="J274" i="3"/>
  <c r="K274" i="3"/>
  <c r="N274" i="3"/>
  <c r="O274" i="3"/>
  <c r="P274" i="3"/>
  <c r="Q274" i="3"/>
  <c r="R274" i="3"/>
  <c r="T274" i="3"/>
  <c r="U274" i="3"/>
  <c r="V274" i="3"/>
  <c r="W274" i="3"/>
  <c r="X274" i="3"/>
  <c r="Y274" i="3"/>
  <c r="E275" i="3"/>
  <c r="F275" i="3"/>
  <c r="G275" i="3"/>
  <c r="H275" i="3"/>
  <c r="I275" i="3"/>
  <c r="J275" i="3"/>
  <c r="K275" i="3"/>
  <c r="N275" i="3"/>
  <c r="O275" i="3"/>
  <c r="P275" i="3"/>
  <c r="Q275" i="3"/>
  <c r="R275" i="3"/>
  <c r="T275" i="3"/>
  <c r="U275" i="3"/>
  <c r="V275" i="3"/>
  <c r="W275" i="3"/>
  <c r="X275" i="3"/>
  <c r="Y275" i="3"/>
  <c r="E277" i="3"/>
  <c r="E276" i="3" s="1"/>
  <c r="F277" i="3"/>
  <c r="F276" i="3" s="1"/>
  <c r="G277" i="3"/>
  <c r="G276" i="3" s="1"/>
  <c r="H277" i="3"/>
  <c r="H276" i="3" s="1"/>
  <c r="I277" i="3"/>
  <c r="J277" i="3"/>
  <c r="J276" i="3" s="1"/>
  <c r="K277" i="3"/>
  <c r="K276" i="3" s="1"/>
  <c r="N277" i="3"/>
  <c r="N276" i="3" s="1"/>
  <c r="O277" i="3"/>
  <c r="O276" i="3" s="1"/>
  <c r="P277" i="3"/>
  <c r="P276" i="3" s="1"/>
  <c r="Q277" i="3"/>
  <c r="Q276" i="3" s="1"/>
  <c r="R277" i="3"/>
  <c r="R276" i="3" s="1"/>
  <c r="T277" i="3"/>
  <c r="U277" i="3"/>
  <c r="U276" i="3" s="1"/>
  <c r="V277" i="3"/>
  <c r="V276" i="3" s="1"/>
  <c r="W277" i="3"/>
  <c r="W276" i="3" s="1"/>
  <c r="X277" i="3"/>
  <c r="X276" i="3" s="1"/>
  <c r="Y277" i="3"/>
  <c r="Y276" i="3" s="1"/>
  <c r="E278" i="3"/>
  <c r="F278" i="3"/>
  <c r="G278" i="3"/>
  <c r="H278" i="3"/>
  <c r="I278" i="3"/>
  <c r="J278" i="3"/>
  <c r="K278" i="3"/>
  <c r="N278" i="3"/>
  <c r="O278" i="3"/>
  <c r="P278" i="3"/>
  <c r="Q278" i="3"/>
  <c r="R278" i="3"/>
  <c r="T278" i="3"/>
  <c r="U278" i="3"/>
  <c r="V278" i="3"/>
  <c r="W278" i="3"/>
  <c r="X278" i="3"/>
  <c r="Y278" i="3"/>
  <c r="E280" i="3"/>
  <c r="F280" i="3"/>
  <c r="G280" i="3"/>
  <c r="H280" i="3"/>
  <c r="I280" i="3"/>
  <c r="J280" i="3"/>
  <c r="K280" i="3"/>
  <c r="N280" i="3"/>
  <c r="O280" i="3"/>
  <c r="P280" i="3"/>
  <c r="Q280" i="3"/>
  <c r="R280" i="3"/>
  <c r="T280" i="3"/>
  <c r="U280" i="3"/>
  <c r="V280" i="3"/>
  <c r="W280" i="3"/>
  <c r="X280" i="3"/>
  <c r="Y280" i="3"/>
  <c r="E281" i="3"/>
  <c r="F281" i="3"/>
  <c r="G281" i="3"/>
  <c r="H281" i="3"/>
  <c r="I281" i="3"/>
  <c r="J281" i="3"/>
  <c r="K281" i="3"/>
  <c r="N281" i="3"/>
  <c r="O281" i="3"/>
  <c r="P281" i="3"/>
  <c r="Q281" i="3"/>
  <c r="R281" i="3"/>
  <c r="T281" i="3"/>
  <c r="U281" i="3"/>
  <c r="V281" i="3"/>
  <c r="W281" i="3"/>
  <c r="X281" i="3"/>
  <c r="Y281" i="3"/>
  <c r="E282" i="3"/>
  <c r="F282" i="3"/>
  <c r="G282" i="3"/>
  <c r="H282" i="3"/>
  <c r="I282" i="3"/>
  <c r="J282" i="3"/>
  <c r="K282" i="3"/>
  <c r="N282" i="3"/>
  <c r="O282" i="3"/>
  <c r="P282" i="3"/>
  <c r="Q282" i="3"/>
  <c r="R282" i="3"/>
  <c r="T282" i="3"/>
  <c r="U282" i="3"/>
  <c r="V282" i="3"/>
  <c r="W282" i="3"/>
  <c r="X282" i="3"/>
  <c r="Y282" i="3"/>
  <c r="E283" i="3"/>
  <c r="F283" i="3"/>
  <c r="G283" i="3"/>
  <c r="H283" i="3"/>
  <c r="I283" i="3"/>
  <c r="J283" i="3"/>
  <c r="K283" i="3"/>
  <c r="N283" i="3"/>
  <c r="O283" i="3"/>
  <c r="P283" i="3"/>
  <c r="Q283" i="3"/>
  <c r="R283" i="3"/>
  <c r="T283" i="3"/>
  <c r="U283" i="3"/>
  <c r="V283" i="3"/>
  <c r="W283" i="3"/>
  <c r="X283" i="3"/>
  <c r="Y283" i="3"/>
  <c r="E284" i="3"/>
  <c r="F284" i="3"/>
  <c r="G284" i="3"/>
  <c r="H284" i="3"/>
  <c r="I284" i="3"/>
  <c r="J284" i="3"/>
  <c r="K284" i="3"/>
  <c r="N284" i="3"/>
  <c r="O284" i="3"/>
  <c r="P284" i="3"/>
  <c r="Q284" i="3"/>
  <c r="R284" i="3"/>
  <c r="T284" i="3"/>
  <c r="U284" i="3"/>
  <c r="V284" i="3"/>
  <c r="W284" i="3"/>
  <c r="X284" i="3"/>
  <c r="Y284" i="3"/>
  <c r="E288" i="3"/>
  <c r="E287" i="3" s="1"/>
  <c r="F288" i="3"/>
  <c r="F287" i="3" s="1"/>
  <c r="G288" i="3"/>
  <c r="G287" i="3" s="1"/>
  <c r="H288" i="3"/>
  <c r="H287" i="3" s="1"/>
  <c r="I288" i="3"/>
  <c r="J288" i="3"/>
  <c r="J287" i="3" s="1"/>
  <c r="K288" i="3"/>
  <c r="K287" i="3" s="1"/>
  <c r="N288" i="3"/>
  <c r="N287" i="3" s="1"/>
  <c r="O288" i="3"/>
  <c r="O287" i="3" s="1"/>
  <c r="P288" i="3"/>
  <c r="P287" i="3" s="1"/>
  <c r="Q288" i="3"/>
  <c r="Q287" i="3" s="1"/>
  <c r="R288" i="3"/>
  <c r="R287" i="3" s="1"/>
  <c r="T288" i="3"/>
  <c r="U288" i="3"/>
  <c r="U287" i="3" s="1"/>
  <c r="V288" i="3"/>
  <c r="V287" i="3" s="1"/>
  <c r="W288" i="3"/>
  <c r="W287" i="3" s="1"/>
  <c r="X288" i="3"/>
  <c r="X287" i="3" s="1"/>
  <c r="Y288" i="3"/>
  <c r="Y287" i="3" s="1"/>
  <c r="E291" i="3"/>
  <c r="E289" i="3" s="1"/>
  <c r="F291" i="3"/>
  <c r="F289" i="3" s="1"/>
  <c r="G291" i="3"/>
  <c r="G289" i="3" s="1"/>
  <c r="H291" i="3"/>
  <c r="H289" i="3" s="1"/>
  <c r="I291" i="3"/>
  <c r="J291" i="3"/>
  <c r="J289" i="3" s="1"/>
  <c r="K291" i="3"/>
  <c r="K289" i="3" s="1"/>
  <c r="N291" i="3"/>
  <c r="N289" i="3" s="1"/>
  <c r="O291" i="3"/>
  <c r="O289" i="3" s="1"/>
  <c r="P291" i="3"/>
  <c r="P289" i="3" s="1"/>
  <c r="Q291" i="3"/>
  <c r="Q289" i="3" s="1"/>
  <c r="R291" i="3"/>
  <c r="R289" i="3" s="1"/>
  <c r="T291" i="3"/>
  <c r="U291" i="3"/>
  <c r="U289" i="3" s="1"/>
  <c r="V291" i="3"/>
  <c r="V289" i="3" s="1"/>
  <c r="W291" i="3"/>
  <c r="W289" i="3" s="1"/>
  <c r="X291" i="3"/>
  <c r="X289" i="3" s="1"/>
  <c r="Y291" i="3"/>
  <c r="Y289" i="3" s="1"/>
  <c r="E292" i="3"/>
  <c r="E290" i="3" s="1"/>
  <c r="E286" i="3" s="1"/>
  <c r="F292" i="3"/>
  <c r="F290" i="3" s="1"/>
  <c r="F286" i="3" s="1"/>
  <c r="G292" i="3"/>
  <c r="G290" i="3" s="1"/>
  <c r="G286" i="3" s="1"/>
  <c r="H292" i="3"/>
  <c r="H290" i="3" s="1"/>
  <c r="H286" i="3" s="1"/>
  <c r="I292" i="3"/>
  <c r="J292" i="3"/>
  <c r="J290" i="3" s="1"/>
  <c r="J286" i="3" s="1"/>
  <c r="K292" i="3"/>
  <c r="K290" i="3" s="1"/>
  <c r="K286" i="3" s="1"/>
  <c r="N292" i="3"/>
  <c r="N290" i="3" s="1"/>
  <c r="N286" i="3" s="1"/>
  <c r="O292" i="3"/>
  <c r="O290" i="3" s="1"/>
  <c r="O286" i="3" s="1"/>
  <c r="P292" i="3"/>
  <c r="P290" i="3" s="1"/>
  <c r="P286" i="3" s="1"/>
  <c r="Q292" i="3"/>
  <c r="Q290" i="3" s="1"/>
  <c r="Q286" i="3" s="1"/>
  <c r="R292" i="3"/>
  <c r="R290" i="3" s="1"/>
  <c r="R286" i="3" s="1"/>
  <c r="T292" i="3"/>
  <c r="U292" i="3"/>
  <c r="U290" i="3" s="1"/>
  <c r="U286" i="3" s="1"/>
  <c r="V292" i="3"/>
  <c r="V290" i="3" s="1"/>
  <c r="V286" i="3" s="1"/>
  <c r="W292" i="3"/>
  <c r="W290" i="3" s="1"/>
  <c r="W286" i="3" s="1"/>
  <c r="X292" i="3"/>
  <c r="X290" i="3" s="1"/>
  <c r="X286" i="3" s="1"/>
  <c r="Y292" i="3"/>
  <c r="Y290" i="3" s="1"/>
  <c r="Y286" i="3" s="1"/>
  <c r="E294" i="3"/>
  <c r="F294" i="3"/>
  <c r="G294" i="3"/>
  <c r="H294" i="3"/>
  <c r="I294" i="3"/>
  <c r="J294" i="3"/>
  <c r="K294" i="3"/>
  <c r="N294" i="3"/>
  <c r="O294" i="3"/>
  <c r="P294" i="3"/>
  <c r="Q294" i="3"/>
  <c r="R294" i="3"/>
  <c r="T294" i="3"/>
  <c r="U294" i="3"/>
  <c r="V294" i="3"/>
  <c r="W294" i="3"/>
  <c r="X294" i="3"/>
  <c r="Y294" i="3"/>
  <c r="E295" i="3"/>
  <c r="F295" i="3"/>
  <c r="G295" i="3"/>
  <c r="H295" i="3"/>
  <c r="I295" i="3"/>
  <c r="J295" i="3"/>
  <c r="K295" i="3"/>
  <c r="N295" i="3"/>
  <c r="O295" i="3"/>
  <c r="P295" i="3"/>
  <c r="Q295" i="3"/>
  <c r="R295" i="3"/>
  <c r="T295" i="3"/>
  <c r="U295" i="3"/>
  <c r="V295" i="3"/>
  <c r="W295" i="3"/>
  <c r="X295" i="3"/>
  <c r="Y295" i="3"/>
  <c r="E296" i="3"/>
  <c r="F296" i="3"/>
  <c r="G296" i="3"/>
  <c r="H296" i="3"/>
  <c r="I296" i="3"/>
  <c r="J296" i="3"/>
  <c r="K296" i="3"/>
  <c r="N296" i="3"/>
  <c r="O296" i="3"/>
  <c r="P296" i="3"/>
  <c r="Q296" i="3"/>
  <c r="R296" i="3"/>
  <c r="T296" i="3"/>
  <c r="U296" i="3"/>
  <c r="V296" i="3"/>
  <c r="W296" i="3"/>
  <c r="X296" i="3"/>
  <c r="Y296" i="3"/>
  <c r="F297" i="3"/>
  <c r="G297" i="3"/>
  <c r="H297" i="3"/>
  <c r="I297" i="3"/>
  <c r="J297" i="3"/>
  <c r="K297" i="3"/>
  <c r="O297" i="3"/>
  <c r="P297" i="3"/>
  <c r="Q297" i="3"/>
  <c r="T297" i="3"/>
  <c r="U297" i="3"/>
  <c r="V297" i="3"/>
  <c r="W297" i="3"/>
  <c r="X297" i="3"/>
  <c r="Y297" i="3"/>
  <c r="Q303" i="3"/>
  <c r="U272" i="3" l="1"/>
  <c r="J269" i="3"/>
  <c r="J94" i="3"/>
  <c r="Q269" i="3"/>
  <c r="X245" i="3"/>
  <c r="X196" i="3" s="1"/>
  <c r="AA151" i="3"/>
  <c r="P27" i="3"/>
  <c r="AA169" i="3"/>
  <c r="H272" i="3"/>
  <c r="W95" i="3"/>
  <c r="H95" i="3"/>
  <c r="H269" i="3"/>
  <c r="P28" i="3"/>
  <c r="K245" i="3"/>
  <c r="K196" i="3" s="1"/>
  <c r="K302" i="3" s="1"/>
  <c r="Q264" i="3"/>
  <c r="V94" i="3"/>
  <c r="G94" i="3"/>
  <c r="W245" i="3"/>
  <c r="W196" i="3" s="1"/>
  <c r="P204" i="3"/>
  <c r="P192" i="3" s="1"/>
  <c r="V302" i="3"/>
  <c r="W269" i="3"/>
  <c r="U269" i="3"/>
  <c r="X264" i="3"/>
  <c r="F264" i="3"/>
  <c r="F262" i="3" s="1"/>
  <c r="T177" i="3"/>
  <c r="AA104" i="3"/>
  <c r="R27" i="3"/>
  <c r="AA59" i="3"/>
  <c r="X24" i="3"/>
  <c r="Q245" i="3"/>
  <c r="Q196" i="3" s="1"/>
  <c r="Q302" i="3" s="1"/>
  <c r="W302" i="3"/>
  <c r="T242" i="3"/>
  <c r="U122" i="3"/>
  <c r="F122" i="3"/>
  <c r="AA222" i="3"/>
  <c r="AA213" i="3"/>
  <c r="I265" i="3"/>
  <c r="I200" i="3"/>
  <c r="AA200" i="3" s="1"/>
  <c r="I25" i="3"/>
  <c r="AA215" i="3"/>
  <c r="F229" i="3"/>
  <c r="O93" i="3"/>
  <c r="I26" i="3"/>
  <c r="K27" i="3"/>
  <c r="AA295" i="3"/>
  <c r="AA253" i="3"/>
  <c r="G269" i="3"/>
  <c r="J264" i="3"/>
  <c r="T194" i="3"/>
  <c r="AA212" i="3"/>
  <c r="I118" i="3"/>
  <c r="O95" i="3"/>
  <c r="V95" i="3"/>
  <c r="G95" i="3"/>
  <c r="I17" i="3"/>
  <c r="P269" i="3"/>
  <c r="X302" i="3"/>
  <c r="AA103" i="3"/>
  <c r="AA101" i="3"/>
  <c r="V16" i="3"/>
  <c r="AA277" i="3"/>
  <c r="N272" i="3"/>
  <c r="H245" i="3"/>
  <c r="H196" i="3" s="1"/>
  <c r="H302" i="3" s="1"/>
  <c r="R229" i="3"/>
  <c r="I203" i="3"/>
  <c r="I191" i="3" s="1"/>
  <c r="AA214" i="3"/>
  <c r="E95" i="3"/>
  <c r="R94" i="3"/>
  <c r="AA83" i="3"/>
  <c r="AA77" i="3"/>
  <c r="AA75" i="3"/>
  <c r="U279" i="3"/>
  <c r="G272" i="3"/>
  <c r="U204" i="3"/>
  <c r="U192" i="3" s="1"/>
  <c r="AA141" i="3"/>
  <c r="Q94" i="3"/>
  <c r="T118" i="3"/>
  <c r="I29" i="3"/>
  <c r="AA225" i="3"/>
  <c r="T287" i="3"/>
  <c r="AA254" i="3"/>
  <c r="T247" i="3"/>
  <c r="AA247" i="3" s="1"/>
  <c r="E245" i="3"/>
  <c r="E196" i="3" s="1"/>
  <c r="E302" i="3" s="1"/>
  <c r="P95" i="3"/>
  <c r="AA87" i="3"/>
  <c r="V28" i="3"/>
  <c r="E24" i="3"/>
  <c r="AA19" i="3"/>
  <c r="G167" i="3"/>
  <c r="Y122" i="3"/>
  <c r="J122" i="3"/>
  <c r="F94" i="3"/>
  <c r="H28" i="3"/>
  <c r="V27" i="3"/>
  <c r="G27" i="3"/>
  <c r="X16" i="3"/>
  <c r="F167" i="3"/>
  <c r="X122" i="3"/>
  <c r="F95" i="3"/>
  <c r="E94" i="3"/>
  <c r="G28" i="3"/>
  <c r="U27" i="3"/>
  <c r="P16" i="3"/>
  <c r="W16" i="3"/>
  <c r="O120" i="3"/>
  <c r="O301" i="3" s="1"/>
  <c r="K269" i="3"/>
  <c r="O264" i="3"/>
  <c r="P245" i="3"/>
  <c r="P196" i="3" s="1"/>
  <c r="P302" i="3" s="1"/>
  <c r="O245" i="3"/>
  <c r="O196" i="3" s="1"/>
  <c r="O302" i="3" s="1"/>
  <c r="V122" i="3"/>
  <c r="G122" i="3"/>
  <c r="R95" i="3"/>
  <c r="Q92" i="3"/>
  <c r="U28" i="3"/>
  <c r="K272" i="3"/>
  <c r="X162" i="3"/>
  <c r="P94" i="3"/>
  <c r="AA91" i="3"/>
  <c r="Q24" i="3"/>
  <c r="U93" i="3"/>
  <c r="AA76" i="3"/>
  <c r="AA72" i="3"/>
  <c r="H24" i="3"/>
  <c r="AA20" i="3"/>
  <c r="R272" i="3"/>
  <c r="AA271" i="3"/>
  <c r="J245" i="3"/>
  <c r="J196" i="3" s="1"/>
  <c r="J302" i="3" s="1"/>
  <c r="F204" i="3"/>
  <c r="F192" i="3" s="1"/>
  <c r="Q122" i="3"/>
  <c r="AA156" i="3"/>
  <c r="AA154" i="3"/>
  <c r="AA126" i="3"/>
  <c r="O27" i="3"/>
  <c r="G24" i="3"/>
  <c r="F279" i="3"/>
  <c r="N27" i="3"/>
  <c r="J272" i="3"/>
  <c r="AA238" i="3"/>
  <c r="AA86" i="3"/>
  <c r="N28" i="3"/>
  <c r="K16" i="3"/>
  <c r="W272" i="3"/>
  <c r="W293" i="3"/>
  <c r="W285" i="3" s="1"/>
  <c r="Q229" i="3"/>
  <c r="O293" i="3"/>
  <c r="V293" i="3"/>
  <c r="V285" i="3" s="1"/>
  <c r="F272" i="3"/>
  <c r="O269" i="3"/>
  <c r="W264" i="3"/>
  <c r="G245" i="3"/>
  <c r="G196" i="3" s="1"/>
  <c r="G302" i="3" s="1"/>
  <c r="AA166" i="3"/>
  <c r="X92" i="3"/>
  <c r="Y27" i="3"/>
  <c r="J27" i="3"/>
  <c r="J16" i="3"/>
  <c r="U264" i="3"/>
  <c r="X269" i="3"/>
  <c r="H293" i="3"/>
  <c r="H285" i="3" s="1"/>
  <c r="V272" i="3"/>
  <c r="G279" i="3"/>
  <c r="N167" i="3"/>
  <c r="N122" i="3"/>
  <c r="W92" i="3"/>
  <c r="X27" i="3"/>
  <c r="AA73" i="3"/>
  <c r="Y28" i="3"/>
  <c r="I28" i="3"/>
  <c r="W27" i="3"/>
  <c r="AA21" i="3"/>
  <c r="I197" i="3"/>
  <c r="Y279" i="3"/>
  <c r="I168" i="3"/>
  <c r="U300" i="3"/>
  <c r="P92" i="3"/>
  <c r="AA172" i="3"/>
  <c r="I289" i="3"/>
  <c r="AA252" i="3"/>
  <c r="I195" i="3"/>
  <c r="O24" i="3"/>
  <c r="I33" i="3"/>
  <c r="AA288" i="3"/>
  <c r="I287" i="3"/>
  <c r="R167" i="3"/>
  <c r="O244" i="3"/>
  <c r="Y245" i="3"/>
  <c r="Y196" i="3" s="1"/>
  <c r="Y302" i="3" s="1"/>
  <c r="I198" i="3"/>
  <c r="P293" i="3"/>
  <c r="P285" i="3" s="1"/>
  <c r="V264" i="3"/>
  <c r="H204" i="3"/>
  <c r="H192" i="3" s="1"/>
  <c r="AA157" i="3"/>
  <c r="V24" i="3"/>
  <c r="T290" i="3"/>
  <c r="E279" i="3"/>
  <c r="I242" i="3"/>
  <c r="I122" i="3"/>
  <c r="I93" i="3"/>
  <c r="G244" i="3"/>
  <c r="Q202" i="3"/>
  <c r="G293" i="3"/>
  <c r="G285" i="3" s="1"/>
  <c r="T289" i="3"/>
  <c r="AA223" i="3"/>
  <c r="J293" i="3"/>
  <c r="J285" i="3" s="1"/>
  <c r="AA211" i="3"/>
  <c r="F24" i="3"/>
  <c r="I199" i="3"/>
  <c r="AA261" i="3"/>
  <c r="N279" i="3"/>
  <c r="I290" i="3"/>
  <c r="AA292" i="3"/>
  <c r="I279" i="3"/>
  <c r="AA280" i="3"/>
  <c r="I194" i="3"/>
  <c r="Q176" i="3"/>
  <c r="X94" i="3"/>
  <c r="P300" i="3"/>
  <c r="AA291" i="3"/>
  <c r="I272" i="3"/>
  <c r="Q279" i="3"/>
  <c r="K293" i="3"/>
  <c r="K285" i="3" s="1"/>
  <c r="AA282" i="3"/>
  <c r="H279" i="3"/>
  <c r="Y272" i="3"/>
  <c r="AA274" i="3"/>
  <c r="G92" i="3"/>
  <c r="AA258" i="3"/>
  <c r="H162" i="3"/>
  <c r="AA142" i="3"/>
  <c r="Y93" i="3"/>
  <c r="J93" i="3"/>
  <c r="R24" i="3"/>
  <c r="R279" i="3"/>
  <c r="P264" i="3"/>
  <c r="U162" i="3"/>
  <c r="G162" i="3"/>
  <c r="R122" i="3"/>
  <c r="E122" i="3"/>
  <c r="X93" i="3"/>
  <c r="AA53" i="3"/>
  <c r="I27" i="3"/>
  <c r="H16" i="3"/>
  <c r="E272" i="3"/>
  <c r="I245" i="3"/>
  <c r="AA236" i="3"/>
  <c r="Q272" i="3"/>
  <c r="U245" i="3"/>
  <c r="U196" i="3" s="1"/>
  <c r="U302" i="3" s="1"/>
  <c r="F244" i="3"/>
  <c r="P24" i="3"/>
  <c r="AA294" i="3"/>
  <c r="Y269" i="3"/>
  <c r="AA267" i="3"/>
  <c r="AA281" i="3"/>
  <c r="P272" i="3"/>
  <c r="X272" i="3"/>
  <c r="F269" i="3"/>
  <c r="AA256" i="3"/>
  <c r="O229" i="3"/>
  <c r="AA220" i="3"/>
  <c r="O204" i="3"/>
  <c r="O192" i="3" s="1"/>
  <c r="AA188" i="3"/>
  <c r="K122" i="3"/>
  <c r="AA160" i="3"/>
  <c r="V120" i="3"/>
  <c r="V301" i="3" s="1"/>
  <c r="I32" i="3"/>
  <c r="E293" i="3"/>
  <c r="Q293" i="3"/>
  <c r="Q285" i="3" s="1"/>
  <c r="O279" i="3"/>
  <c r="I276" i="3"/>
  <c r="O272" i="3"/>
  <c r="V269" i="3"/>
  <c r="AA251" i="3"/>
  <c r="Q167" i="3"/>
  <c r="U120" i="3"/>
  <c r="U301" i="3" s="1"/>
  <c r="K94" i="3"/>
  <c r="J28" i="3"/>
  <c r="I34" i="3"/>
  <c r="Q95" i="3"/>
  <c r="AA109" i="3"/>
  <c r="I96" i="3"/>
  <c r="F92" i="3"/>
  <c r="AA89" i="3"/>
  <c r="Q23" i="3"/>
  <c r="I204" i="3"/>
  <c r="AA209" i="3"/>
  <c r="AA181" i="3"/>
  <c r="K93" i="3"/>
  <c r="AA84" i="3"/>
  <c r="P23" i="3"/>
  <c r="X229" i="3"/>
  <c r="P229" i="3"/>
  <c r="AA224" i="3"/>
  <c r="AA221" i="3"/>
  <c r="AA218" i="3"/>
  <c r="G204" i="3"/>
  <c r="G192" i="3" s="1"/>
  <c r="I177" i="3"/>
  <c r="AA177" i="3" s="1"/>
  <c r="P176" i="3"/>
  <c r="N93" i="3"/>
  <c r="H92" i="3"/>
  <c r="AA102" i="3"/>
  <c r="O94" i="3"/>
  <c r="W93" i="3"/>
  <c r="F28" i="3"/>
  <c r="F300" i="3" s="1"/>
  <c r="W122" i="3"/>
  <c r="AA118" i="3"/>
  <c r="AA130" i="3"/>
  <c r="N120" i="3"/>
  <c r="N301" i="3" s="1"/>
  <c r="K95" i="3"/>
  <c r="N94" i="3"/>
  <c r="V93" i="3"/>
  <c r="H93" i="3"/>
  <c r="I230" i="3"/>
  <c r="AA216" i="3"/>
  <c r="H167" i="3"/>
  <c r="Y162" i="3"/>
  <c r="I121" i="3"/>
  <c r="X95" i="3"/>
  <c r="J95" i="3"/>
  <c r="Y94" i="3"/>
  <c r="G93" i="3"/>
  <c r="X28" i="3"/>
  <c r="AA90" i="3"/>
  <c r="AA74" i="3"/>
  <c r="W24" i="3"/>
  <c r="AA60" i="3"/>
  <c r="Q16" i="3"/>
  <c r="AA165" i="3"/>
  <c r="H122" i="3"/>
  <c r="F93" i="3"/>
  <c r="W94" i="3"/>
  <c r="E28" i="3"/>
  <c r="E27" i="3"/>
  <c r="N24" i="3"/>
  <c r="AA22" i="3"/>
  <c r="AA180" i="3"/>
  <c r="O162" i="3"/>
  <c r="W162" i="3"/>
  <c r="T122" i="3"/>
  <c r="AA155" i="3"/>
  <c r="AA152" i="3"/>
  <c r="P122" i="3"/>
  <c r="AA134" i="3"/>
  <c r="P120" i="3"/>
  <c r="P301" i="3" s="1"/>
  <c r="X117" i="3"/>
  <c r="X120" i="3"/>
  <c r="X301" i="3" s="1"/>
  <c r="N95" i="3"/>
  <c r="R93" i="3"/>
  <c r="E93" i="3"/>
  <c r="I94" i="3"/>
  <c r="H27" i="3"/>
  <c r="Q28" i="3"/>
  <c r="Y24" i="3"/>
  <c r="Y299" i="3" s="1"/>
  <c r="Q27" i="3"/>
  <c r="O16" i="3"/>
  <c r="O122" i="3"/>
  <c r="J120" i="3"/>
  <c r="J301" i="3" s="1"/>
  <c r="Y95" i="3"/>
  <c r="Q93" i="3"/>
  <c r="U94" i="3"/>
  <c r="K24" i="3"/>
  <c r="U293" i="3"/>
  <c r="U285" i="3" s="1"/>
  <c r="I293" i="3"/>
  <c r="I120" i="3"/>
  <c r="J24" i="3"/>
  <c r="J299" i="3" s="1"/>
  <c r="U244" i="3"/>
  <c r="Y244" i="3"/>
  <c r="Y202" i="3"/>
  <c r="V162" i="3"/>
  <c r="U92" i="3"/>
  <c r="Y92" i="3"/>
  <c r="V92" i="3"/>
  <c r="AA62" i="3"/>
  <c r="Y23" i="3"/>
  <c r="X23" i="3"/>
  <c r="W23" i="3"/>
  <c r="T246" i="3"/>
  <c r="AA250" i="3"/>
  <c r="AA182" i="3"/>
  <c r="AA179" i="3"/>
  <c r="AA273" i="3"/>
  <c r="AA241" i="3"/>
  <c r="AA240" i="3"/>
  <c r="AA239" i="3"/>
  <c r="AA237" i="3"/>
  <c r="AA228" i="3"/>
  <c r="AA207" i="3"/>
  <c r="AA206" i="3"/>
  <c r="AA187" i="3"/>
  <c r="AA186" i="3"/>
  <c r="AA185" i="3"/>
  <c r="AA184" i="3"/>
  <c r="AA183" i="3"/>
  <c r="AA178" i="3"/>
  <c r="T230" i="3"/>
  <c r="AA226" i="3"/>
  <c r="AA163" i="3"/>
  <c r="AA135" i="3"/>
  <c r="AA150" i="3"/>
  <c r="AA148" i="3"/>
  <c r="AA140" i="3"/>
  <c r="AA133" i="3"/>
  <c r="AA131" i="3"/>
  <c r="AA129" i="3"/>
  <c r="AA127" i="3"/>
  <c r="AA124" i="3"/>
  <c r="T121" i="3"/>
  <c r="AA283" i="3"/>
  <c r="AA147" i="3"/>
  <c r="AA146" i="3"/>
  <c r="AA145" i="3"/>
  <c r="AA144" i="3"/>
  <c r="AA132" i="3"/>
  <c r="AA161" i="3"/>
  <c r="AA153" i="3"/>
  <c r="AA116" i="3"/>
  <c r="AA110" i="3"/>
  <c r="AA108" i="3"/>
  <c r="T92" i="3"/>
  <c r="AA105" i="3"/>
  <c r="T93" i="3"/>
  <c r="T98" i="3"/>
  <c r="T96" i="3"/>
  <c r="T95" i="3"/>
  <c r="AA217" i="3"/>
  <c r="AA210" i="3"/>
  <c r="AA114" i="3"/>
  <c r="AA113" i="3"/>
  <c r="AA112" i="3"/>
  <c r="AA111" i="3"/>
  <c r="AA107" i="3"/>
  <c r="AA106" i="3"/>
  <c r="T245" i="3"/>
  <c r="AA100" i="3"/>
  <c r="AA275" i="3"/>
  <c r="T272" i="3"/>
  <c r="T35" i="3"/>
  <c r="AA88" i="3"/>
  <c r="T26" i="3"/>
  <c r="AA85" i="3"/>
  <c r="T31" i="3"/>
  <c r="AA82" i="3"/>
  <c r="AA79" i="3"/>
  <c r="AA78" i="3"/>
  <c r="T33" i="3"/>
  <c r="T27" i="3"/>
  <c r="AA69" i="3"/>
  <c r="AA68" i="3"/>
  <c r="AA67" i="3"/>
  <c r="AA66" i="3"/>
  <c r="AA64" i="3"/>
  <c r="AA61" i="3"/>
  <c r="T25" i="3"/>
  <c r="AA58" i="3"/>
  <c r="AA57" i="3"/>
  <c r="T28" i="3"/>
  <c r="AA54" i="3"/>
  <c r="T34" i="3"/>
  <c r="AA36" i="3"/>
  <c r="T24" i="3"/>
  <c r="AA80" i="3"/>
  <c r="AA65" i="3"/>
  <c r="AA51" i="3"/>
  <c r="AA49" i="3"/>
  <c r="AA46" i="3"/>
  <c r="AA39" i="3"/>
  <c r="T199" i="3"/>
  <c r="T203" i="3"/>
  <c r="T204" i="3"/>
  <c r="T205" i="3"/>
  <c r="T32" i="3"/>
  <c r="T29" i="3"/>
  <c r="AA260" i="3"/>
  <c r="AA227" i="3"/>
  <c r="AA219" i="3"/>
  <c r="AA208" i="3"/>
  <c r="AA70" i="3"/>
  <c r="AA55" i="3"/>
  <c r="AA50" i="3"/>
  <c r="AA48" i="3"/>
  <c r="AA40" i="3"/>
  <c r="AA38" i="3"/>
  <c r="T168" i="3"/>
  <c r="T293" i="3"/>
  <c r="T279" i="3"/>
  <c r="AA257" i="3"/>
  <c r="AA164" i="3"/>
  <c r="T162" i="3"/>
  <c r="AA159" i="3"/>
  <c r="AA158" i="3"/>
  <c r="AA138" i="3"/>
  <c r="AA137" i="3"/>
  <c r="AA128" i="3"/>
  <c r="AA125" i="3"/>
  <c r="T16" i="3"/>
  <c r="AA297" i="3"/>
  <c r="AA296" i="3"/>
  <c r="AA284" i="3"/>
  <c r="AA265" i="3"/>
  <c r="AA255" i="3"/>
  <c r="AA234" i="3"/>
  <c r="AA233" i="3"/>
  <c r="AA173" i="3"/>
  <c r="AA139" i="3"/>
  <c r="T276" i="3"/>
  <c r="T269" i="3"/>
  <c r="T244" i="3"/>
  <c r="AA248" i="3"/>
  <c r="AA235" i="3"/>
  <c r="AA175" i="3"/>
  <c r="AA170" i="3"/>
  <c r="T167" i="3"/>
  <c r="T17" i="3"/>
  <c r="AA268" i="3"/>
  <c r="AA243" i="3"/>
  <c r="AA278" i="3"/>
  <c r="AA270" i="3"/>
  <c r="I269" i="3"/>
  <c r="K264" i="3"/>
  <c r="I264" i="3"/>
  <c r="AA266" i="3"/>
  <c r="AA259" i="3"/>
  <c r="I244" i="3"/>
  <c r="AA249" i="3"/>
  <c r="AA201" i="3"/>
  <c r="AA189" i="3"/>
  <c r="AA174" i="3"/>
  <c r="AA171" i="3"/>
  <c r="K162" i="3"/>
  <c r="J162" i="3"/>
  <c r="I162" i="3"/>
  <c r="AA149" i="3"/>
  <c r="AA143" i="3"/>
  <c r="AA136" i="3"/>
  <c r="AA123" i="3"/>
  <c r="K92" i="3"/>
  <c r="J92" i="3"/>
  <c r="AA115" i="3"/>
  <c r="I92" i="3"/>
  <c r="AA99" i="3"/>
  <c r="AA81" i="3"/>
  <c r="AA71" i="3"/>
  <c r="AA63" i="3"/>
  <c r="K23" i="3"/>
  <c r="AA56" i="3"/>
  <c r="AA52" i="3"/>
  <c r="AA18" i="3"/>
  <c r="O285" i="3"/>
  <c r="V244" i="3"/>
  <c r="J244" i="3"/>
  <c r="P279" i="3"/>
  <c r="N229" i="3"/>
  <c r="N293" i="3"/>
  <c r="T264" i="3"/>
  <c r="H264" i="3"/>
  <c r="Y293" i="3"/>
  <c r="Y285" i="3" s="1"/>
  <c r="X293" i="3"/>
  <c r="X285" i="3" s="1"/>
  <c r="Y229" i="3"/>
  <c r="W229" i="3"/>
  <c r="K229" i="3"/>
  <c r="G202" i="3"/>
  <c r="X279" i="3"/>
  <c r="R245" i="3"/>
  <c r="R196" i="3" s="1"/>
  <c r="R302" i="3" s="1"/>
  <c r="F245" i="3"/>
  <c r="F196" i="3" s="1"/>
  <c r="F302" i="3" s="1"/>
  <c r="V229" i="3"/>
  <c r="J229" i="3"/>
  <c r="F202" i="3"/>
  <c r="P202" i="3"/>
  <c r="U229" i="3"/>
  <c r="I229" i="3"/>
  <c r="V279" i="3"/>
  <c r="J279" i="3"/>
  <c r="T229" i="3"/>
  <c r="G229" i="3"/>
  <c r="N245" i="3"/>
  <c r="N196" i="3" s="1"/>
  <c r="N302" i="3" s="1"/>
  <c r="X244" i="3"/>
  <c r="O176" i="3"/>
  <c r="W176" i="3"/>
  <c r="K176" i="3"/>
  <c r="R293" i="3"/>
  <c r="F293" i="3"/>
  <c r="F285" i="3" s="1"/>
  <c r="W279" i="3"/>
  <c r="K279" i="3"/>
  <c r="Y264" i="3"/>
  <c r="P244" i="3"/>
  <c r="W244" i="3"/>
  <c r="K244" i="3"/>
  <c r="X202" i="3"/>
  <c r="G120" i="3"/>
  <c r="G301" i="3" s="1"/>
  <c r="Q117" i="3"/>
  <c r="P117" i="3"/>
  <c r="Y117" i="3"/>
  <c r="T94" i="3"/>
  <c r="H94" i="3"/>
  <c r="N204" i="3"/>
  <c r="N192" i="3" s="1"/>
  <c r="W202" i="3"/>
  <c r="K202" i="3"/>
  <c r="Y167" i="3"/>
  <c r="T120" i="3"/>
  <c r="H120" i="3"/>
  <c r="H301" i="3" s="1"/>
  <c r="W117" i="3"/>
  <c r="K117" i="3"/>
  <c r="V23" i="3"/>
  <c r="J23" i="3"/>
  <c r="Y204" i="3"/>
  <c r="Y192" i="3" s="1"/>
  <c r="V202" i="3"/>
  <c r="J202" i="3"/>
  <c r="Y176" i="3"/>
  <c r="X167" i="3"/>
  <c r="O117" i="3"/>
  <c r="Y120" i="3"/>
  <c r="Y301" i="3" s="1"/>
  <c r="V117" i="3"/>
  <c r="J117" i="3"/>
  <c r="W28" i="3"/>
  <c r="K28" i="3"/>
  <c r="U23" i="3"/>
  <c r="I23" i="3"/>
  <c r="X204" i="3"/>
  <c r="X192" i="3" s="1"/>
  <c r="U202" i="3"/>
  <c r="I202" i="3"/>
  <c r="W167" i="3"/>
  <c r="K167" i="3"/>
  <c r="Q162" i="3"/>
  <c r="P162" i="3"/>
  <c r="R120" i="3"/>
  <c r="R301" i="3" s="1"/>
  <c r="F120" i="3"/>
  <c r="F301" i="3" s="1"/>
  <c r="U117" i="3"/>
  <c r="I117" i="3"/>
  <c r="T23" i="3"/>
  <c r="H23" i="3"/>
  <c r="W204" i="3"/>
  <c r="W192" i="3" s="1"/>
  <c r="K204" i="3"/>
  <c r="K192" i="3" s="1"/>
  <c r="T202" i="3"/>
  <c r="H202" i="3"/>
  <c r="O167" i="3"/>
  <c r="V167" i="3"/>
  <c r="J167" i="3"/>
  <c r="V204" i="3"/>
  <c r="V192" i="3" s="1"/>
  <c r="J204" i="3"/>
  <c r="J192" i="3" s="1"/>
  <c r="V176" i="3"/>
  <c r="J176" i="3"/>
  <c r="U167" i="3"/>
  <c r="I167" i="3"/>
  <c r="T117" i="3"/>
  <c r="H117" i="3"/>
  <c r="X176" i="3"/>
  <c r="U176" i="3"/>
  <c r="I176" i="3"/>
  <c r="T176" i="3"/>
  <c r="O202" i="3"/>
  <c r="F176" i="3"/>
  <c r="U95" i="3"/>
  <c r="I95" i="3"/>
  <c r="P93" i="3"/>
  <c r="O92" i="3"/>
  <c r="U24" i="3"/>
  <c r="I24" i="3"/>
  <c r="U16" i="3"/>
  <c r="I16" i="3"/>
  <c r="Q204" i="3"/>
  <c r="Q192" i="3" s="1"/>
  <c r="E204" i="3"/>
  <c r="E192" i="3" s="1"/>
  <c r="P167" i="3"/>
  <c r="W120" i="3"/>
  <c r="W301" i="3" s="1"/>
  <c r="K120" i="3"/>
  <c r="K301" i="3" s="1"/>
  <c r="Q120" i="3"/>
  <c r="Q301" i="3" s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3" i="1"/>
  <c r="AB244" i="1"/>
  <c r="AB245" i="1"/>
  <c r="AB246" i="1"/>
  <c r="AB247" i="1"/>
  <c r="AB248" i="1"/>
  <c r="AB249" i="1"/>
  <c r="AB252" i="1"/>
  <c r="AB253" i="1"/>
  <c r="AB254" i="1"/>
  <c r="AB255" i="1"/>
  <c r="AB256" i="1"/>
  <c r="AB257" i="1"/>
  <c r="AB258" i="1"/>
  <c r="AB259" i="1"/>
  <c r="AB260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4" i="1"/>
  <c r="AB377" i="1"/>
  <c r="AB378" i="1"/>
  <c r="AB379" i="1"/>
  <c r="AB380" i="1"/>
  <c r="AB381" i="1"/>
  <c r="AB382" i="1"/>
  <c r="AB383" i="1"/>
  <c r="AB384" i="1"/>
  <c r="AB385" i="1"/>
  <c r="AB386" i="1"/>
  <c r="AB389" i="1"/>
  <c r="AB390" i="1"/>
  <c r="AB391" i="1"/>
  <c r="AB392" i="1"/>
  <c r="AB393" i="1"/>
  <c r="AB394" i="1"/>
  <c r="AB397" i="1"/>
  <c r="AB398" i="1"/>
  <c r="AB399" i="1"/>
  <c r="AB400" i="1"/>
  <c r="AB401" i="1"/>
  <c r="AB402" i="1"/>
  <c r="AB403" i="1"/>
  <c r="AB404" i="1"/>
  <c r="AB405" i="1"/>
  <c r="AB408" i="1"/>
  <c r="AB409" i="1"/>
  <c r="AB410" i="1"/>
  <c r="AB411" i="1"/>
  <c r="AB412" i="1"/>
  <c r="AB413" i="1"/>
  <c r="AB414" i="1"/>
  <c r="AB415" i="1"/>
  <c r="AB416" i="1"/>
  <c r="AB419" i="1"/>
  <c r="H418" i="1"/>
  <c r="H417" i="1" s="1"/>
  <c r="I418" i="1"/>
  <c r="I417" i="1" s="1"/>
  <c r="J418" i="1"/>
  <c r="K418" i="1"/>
  <c r="K417" i="1" s="1"/>
  <c r="L418" i="1"/>
  <c r="L417" i="1" s="1"/>
  <c r="O418" i="1"/>
  <c r="O417" i="1" s="1"/>
  <c r="P418" i="1"/>
  <c r="P417" i="1" s="1"/>
  <c r="Q418" i="1"/>
  <c r="Q417" i="1" s="1"/>
  <c r="R418" i="1"/>
  <c r="R417" i="1" s="1"/>
  <c r="S418" i="1"/>
  <c r="S417" i="1" s="1"/>
  <c r="U418" i="1"/>
  <c r="V418" i="1"/>
  <c r="V417" i="1" s="1"/>
  <c r="W418" i="1"/>
  <c r="W417" i="1" s="1"/>
  <c r="X418" i="1"/>
  <c r="X417" i="1" s="1"/>
  <c r="Y418" i="1"/>
  <c r="Y417" i="1" s="1"/>
  <c r="Z418" i="1"/>
  <c r="Z417" i="1" s="1"/>
  <c r="H407" i="1"/>
  <c r="H406" i="1" s="1"/>
  <c r="I407" i="1"/>
  <c r="I406" i="1" s="1"/>
  <c r="J407" i="1"/>
  <c r="K407" i="1"/>
  <c r="K406" i="1" s="1"/>
  <c r="L407" i="1"/>
  <c r="L406" i="1" s="1"/>
  <c r="O407" i="1"/>
  <c r="O406" i="1" s="1"/>
  <c r="P407" i="1"/>
  <c r="P406" i="1" s="1"/>
  <c r="Q407" i="1"/>
  <c r="Q406" i="1" s="1"/>
  <c r="R407" i="1"/>
  <c r="R406" i="1" s="1"/>
  <c r="S407" i="1"/>
  <c r="S406" i="1" s="1"/>
  <c r="U407" i="1"/>
  <c r="V407" i="1"/>
  <c r="V406" i="1" s="1"/>
  <c r="W407" i="1"/>
  <c r="W406" i="1" s="1"/>
  <c r="X407" i="1"/>
  <c r="X406" i="1" s="1"/>
  <c r="Y407" i="1"/>
  <c r="Y406" i="1" s="1"/>
  <c r="Z407" i="1"/>
  <c r="Z406" i="1" s="1"/>
  <c r="H396" i="1"/>
  <c r="H395" i="1" s="1"/>
  <c r="I396" i="1"/>
  <c r="I395" i="1" s="1"/>
  <c r="J396" i="1"/>
  <c r="K396" i="1"/>
  <c r="K395" i="1" s="1"/>
  <c r="L396" i="1"/>
  <c r="L395" i="1" s="1"/>
  <c r="P396" i="1"/>
  <c r="P395" i="1" s="1"/>
  <c r="Q396" i="1"/>
  <c r="Q395" i="1" s="1"/>
  <c r="R396" i="1"/>
  <c r="R395" i="1" s="1"/>
  <c r="U396" i="1"/>
  <c r="V396" i="1"/>
  <c r="V395" i="1" s="1"/>
  <c r="W396" i="1"/>
  <c r="W395" i="1" s="1"/>
  <c r="X396" i="1"/>
  <c r="X395" i="1" s="1"/>
  <c r="Y396" i="1"/>
  <c r="Y395" i="1" s="1"/>
  <c r="Z396" i="1"/>
  <c r="Z395" i="1" s="1"/>
  <c r="H388" i="1"/>
  <c r="H387" i="1" s="1"/>
  <c r="I388" i="1"/>
  <c r="I387" i="1" s="1"/>
  <c r="J388" i="1"/>
  <c r="K388" i="1"/>
  <c r="K387" i="1" s="1"/>
  <c r="L388" i="1"/>
  <c r="L387" i="1" s="1"/>
  <c r="O388" i="1"/>
  <c r="O387" i="1" s="1"/>
  <c r="P388" i="1"/>
  <c r="P387" i="1" s="1"/>
  <c r="Q388" i="1"/>
  <c r="Q387" i="1" s="1"/>
  <c r="R388" i="1"/>
  <c r="R387" i="1" s="1"/>
  <c r="S388" i="1"/>
  <c r="S387" i="1" s="1"/>
  <c r="U388" i="1"/>
  <c r="V388" i="1"/>
  <c r="V387" i="1" s="1"/>
  <c r="W388" i="1"/>
  <c r="W387" i="1" s="1"/>
  <c r="X388" i="1"/>
  <c r="X387" i="1" s="1"/>
  <c r="Y388" i="1"/>
  <c r="Y387" i="1" s="1"/>
  <c r="Z388" i="1"/>
  <c r="Z387" i="1" s="1"/>
  <c r="H376" i="1"/>
  <c r="H375" i="1" s="1"/>
  <c r="J376" i="1"/>
  <c r="K376" i="1"/>
  <c r="K375" i="1" s="1"/>
  <c r="L376" i="1"/>
  <c r="L375" i="1" s="1"/>
  <c r="P376" i="1"/>
  <c r="P375" i="1" s="1"/>
  <c r="Q376" i="1"/>
  <c r="Q375" i="1" s="1"/>
  <c r="R376" i="1"/>
  <c r="R375" i="1" s="1"/>
  <c r="U376" i="1"/>
  <c r="V376" i="1"/>
  <c r="V375" i="1" s="1"/>
  <c r="W376" i="1"/>
  <c r="W375" i="1" s="1"/>
  <c r="X376" i="1"/>
  <c r="X375" i="1" s="1"/>
  <c r="Y376" i="1"/>
  <c r="Y375" i="1" s="1"/>
  <c r="Z376" i="1"/>
  <c r="Z375" i="1" s="1"/>
  <c r="H373" i="1"/>
  <c r="H372" i="1" s="1"/>
  <c r="I373" i="1"/>
  <c r="I372" i="1" s="1"/>
  <c r="J373" i="1"/>
  <c r="K373" i="1"/>
  <c r="K372" i="1" s="1"/>
  <c r="L373" i="1"/>
  <c r="L372" i="1" s="1"/>
  <c r="O373" i="1"/>
  <c r="O372" i="1" s="1"/>
  <c r="P373" i="1"/>
  <c r="P372" i="1" s="1"/>
  <c r="Q373" i="1"/>
  <c r="Q372" i="1" s="1"/>
  <c r="R373" i="1"/>
  <c r="R372" i="1" s="1"/>
  <c r="S373" i="1"/>
  <c r="S372" i="1" s="1"/>
  <c r="U373" i="1"/>
  <c r="V373" i="1"/>
  <c r="V372" i="1" s="1"/>
  <c r="W373" i="1"/>
  <c r="W372" i="1" s="1"/>
  <c r="X373" i="1"/>
  <c r="X372" i="1" s="1"/>
  <c r="Y373" i="1"/>
  <c r="Y372" i="1" s="1"/>
  <c r="Z373" i="1"/>
  <c r="Z372" i="1" s="1"/>
  <c r="Q332" i="1"/>
  <c r="H333" i="1"/>
  <c r="H332" i="1" s="1"/>
  <c r="I333" i="1"/>
  <c r="I332" i="1" s="1"/>
  <c r="J333" i="1"/>
  <c r="K333" i="1"/>
  <c r="K332" i="1" s="1"/>
  <c r="L333" i="1"/>
  <c r="L332" i="1" s="1"/>
  <c r="P333" i="1"/>
  <c r="P332" i="1" s="1"/>
  <c r="Q333" i="1"/>
  <c r="R333" i="1"/>
  <c r="R332" i="1" s="1"/>
  <c r="U333" i="1"/>
  <c r="V333" i="1"/>
  <c r="V332" i="1" s="1"/>
  <c r="W333" i="1"/>
  <c r="W332" i="1" s="1"/>
  <c r="X333" i="1"/>
  <c r="X332" i="1" s="1"/>
  <c r="Y333" i="1"/>
  <c r="Y332" i="1" s="1"/>
  <c r="Z333" i="1"/>
  <c r="Z332" i="1" s="1"/>
  <c r="F334" i="1"/>
  <c r="G334" i="1"/>
  <c r="H334" i="1"/>
  <c r="I334" i="1"/>
  <c r="J334" i="1"/>
  <c r="K334" i="1"/>
  <c r="L334" i="1"/>
  <c r="O334" i="1"/>
  <c r="P334" i="1"/>
  <c r="Q334" i="1"/>
  <c r="R334" i="1"/>
  <c r="S334" i="1"/>
  <c r="U334" i="1"/>
  <c r="V334" i="1"/>
  <c r="W334" i="1"/>
  <c r="X334" i="1"/>
  <c r="Y334" i="1"/>
  <c r="Z334" i="1"/>
  <c r="F335" i="1"/>
  <c r="G335" i="1"/>
  <c r="H335" i="1"/>
  <c r="I335" i="1"/>
  <c r="J335" i="1"/>
  <c r="K335" i="1"/>
  <c r="L335" i="1"/>
  <c r="O335" i="1"/>
  <c r="P335" i="1"/>
  <c r="Q335" i="1"/>
  <c r="R335" i="1"/>
  <c r="S335" i="1"/>
  <c r="U335" i="1"/>
  <c r="V335" i="1"/>
  <c r="W335" i="1"/>
  <c r="X335" i="1"/>
  <c r="Y335" i="1"/>
  <c r="Z335" i="1"/>
  <c r="F336" i="1"/>
  <c r="G336" i="1"/>
  <c r="H336" i="1"/>
  <c r="I336" i="1"/>
  <c r="J336" i="1"/>
  <c r="K336" i="1"/>
  <c r="L336" i="1"/>
  <c r="O336" i="1"/>
  <c r="P336" i="1"/>
  <c r="Q336" i="1"/>
  <c r="R336" i="1"/>
  <c r="S336" i="1"/>
  <c r="U336" i="1"/>
  <c r="V336" i="1"/>
  <c r="W336" i="1"/>
  <c r="X336" i="1"/>
  <c r="Y336" i="1"/>
  <c r="Z336" i="1"/>
  <c r="F337" i="1"/>
  <c r="G337" i="1"/>
  <c r="H337" i="1"/>
  <c r="I337" i="1"/>
  <c r="J337" i="1"/>
  <c r="K337" i="1"/>
  <c r="L337" i="1"/>
  <c r="O337" i="1"/>
  <c r="P337" i="1"/>
  <c r="Q337" i="1"/>
  <c r="R337" i="1"/>
  <c r="S337" i="1"/>
  <c r="U337" i="1"/>
  <c r="V337" i="1"/>
  <c r="W337" i="1"/>
  <c r="X337" i="1"/>
  <c r="Y337" i="1"/>
  <c r="Z337" i="1"/>
  <c r="J262" i="1"/>
  <c r="K262" i="1"/>
  <c r="K261" i="1" s="1"/>
  <c r="L262" i="1"/>
  <c r="L261" i="1" s="1"/>
  <c r="P262" i="1"/>
  <c r="P261" i="1" s="1"/>
  <c r="Q262" i="1"/>
  <c r="Q261" i="1" s="1"/>
  <c r="U262" i="1"/>
  <c r="V262" i="1"/>
  <c r="V261" i="1" s="1"/>
  <c r="W262" i="1"/>
  <c r="W261" i="1" s="1"/>
  <c r="X262" i="1"/>
  <c r="X261" i="1" s="1"/>
  <c r="Y262" i="1"/>
  <c r="Y261" i="1" s="1"/>
  <c r="Z262" i="1"/>
  <c r="Z261" i="1" s="1"/>
  <c r="F263" i="1"/>
  <c r="G263" i="1"/>
  <c r="H263" i="1"/>
  <c r="I263" i="1"/>
  <c r="J263" i="1"/>
  <c r="K263" i="1"/>
  <c r="L263" i="1"/>
  <c r="O263" i="1"/>
  <c r="P263" i="1"/>
  <c r="Q263" i="1"/>
  <c r="R263" i="1"/>
  <c r="S263" i="1"/>
  <c r="U263" i="1"/>
  <c r="V263" i="1"/>
  <c r="W263" i="1"/>
  <c r="X263" i="1"/>
  <c r="Y263" i="1"/>
  <c r="Z263" i="1"/>
  <c r="F264" i="1"/>
  <c r="G264" i="1"/>
  <c r="H264" i="1"/>
  <c r="I264" i="1"/>
  <c r="J264" i="1"/>
  <c r="K264" i="1"/>
  <c r="L264" i="1"/>
  <c r="O264" i="1"/>
  <c r="P264" i="1"/>
  <c r="Q264" i="1"/>
  <c r="R264" i="1"/>
  <c r="S264" i="1"/>
  <c r="U264" i="1"/>
  <c r="V264" i="1"/>
  <c r="W264" i="1"/>
  <c r="X264" i="1"/>
  <c r="Y264" i="1"/>
  <c r="Z264" i="1"/>
  <c r="F265" i="1"/>
  <c r="G265" i="1"/>
  <c r="H265" i="1"/>
  <c r="I265" i="1"/>
  <c r="J265" i="1"/>
  <c r="K265" i="1"/>
  <c r="L265" i="1"/>
  <c r="O265" i="1"/>
  <c r="P265" i="1"/>
  <c r="Q265" i="1"/>
  <c r="R265" i="1"/>
  <c r="S265" i="1"/>
  <c r="U265" i="1"/>
  <c r="V265" i="1"/>
  <c r="W265" i="1"/>
  <c r="X265" i="1"/>
  <c r="Y265" i="1"/>
  <c r="Z265" i="1"/>
  <c r="F266" i="1"/>
  <c r="G266" i="1"/>
  <c r="H266" i="1"/>
  <c r="I266" i="1"/>
  <c r="J266" i="1"/>
  <c r="K266" i="1"/>
  <c r="L266" i="1"/>
  <c r="O266" i="1"/>
  <c r="P266" i="1"/>
  <c r="Q266" i="1"/>
  <c r="R266" i="1"/>
  <c r="S266" i="1"/>
  <c r="U266" i="1"/>
  <c r="V266" i="1"/>
  <c r="W266" i="1"/>
  <c r="X266" i="1"/>
  <c r="Y266" i="1"/>
  <c r="Z266" i="1"/>
  <c r="F267" i="1"/>
  <c r="G267" i="1"/>
  <c r="H267" i="1"/>
  <c r="I267" i="1"/>
  <c r="J267" i="1"/>
  <c r="K267" i="1"/>
  <c r="L267" i="1"/>
  <c r="O267" i="1"/>
  <c r="P267" i="1"/>
  <c r="Q267" i="1"/>
  <c r="R267" i="1"/>
  <c r="S267" i="1"/>
  <c r="U267" i="1"/>
  <c r="V267" i="1"/>
  <c r="W267" i="1"/>
  <c r="X267" i="1"/>
  <c r="Y267" i="1"/>
  <c r="Z267" i="1"/>
  <c r="F268" i="1"/>
  <c r="G268" i="1"/>
  <c r="H268" i="1"/>
  <c r="I268" i="1"/>
  <c r="J268" i="1"/>
  <c r="K268" i="1"/>
  <c r="L268" i="1"/>
  <c r="O268" i="1"/>
  <c r="P268" i="1"/>
  <c r="Q268" i="1"/>
  <c r="R268" i="1"/>
  <c r="S268" i="1"/>
  <c r="U268" i="1"/>
  <c r="V268" i="1"/>
  <c r="W268" i="1"/>
  <c r="X268" i="1"/>
  <c r="Y268" i="1"/>
  <c r="Z268" i="1"/>
  <c r="F269" i="1"/>
  <c r="E193" i="3" s="1"/>
  <c r="G269" i="1"/>
  <c r="F193" i="3" s="1"/>
  <c r="H269" i="1"/>
  <c r="G193" i="3" s="1"/>
  <c r="I269" i="1"/>
  <c r="H193" i="3" s="1"/>
  <c r="J269" i="1"/>
  <c r="K269" i="1"/>
  <c r="J193" i="3" s="1"/>
  <c r="L269" i="1"/>
  <c r="K193" i="3" s="1"/>
  <c r="O269" i="1"/>
  <c r="N193" i="3" s="1"/>
  <c r="P269" i="1"/>
  <c r="O193" i="3" s="1"/>
  <c r="Q269" i="1"/>
  <c r="P193" i="3" s="1"/>
  <c r="R269" i="1"/>
  <c r="Q193" i="3" s="1"/>
  <c r="S269" i="1"/>
  <c r="R193" i="3" s="1"/>
  <c r="U269" i="1"/>
  <c r="V269" i="1"/>
  <c r="U193" i="3" s="1"/>
  <c r="W269" i="1"/>
  <c r="V193" i="3" s="1"/>
  <c r="X269" i="1"/>
  <c r="W193" i="3" s="1"/>
  <c r="Y269" i="1"/>
  <c r="X193" i="3" s="1"/>
  <c r="Z269" i="1"/>
  <c r="Y193" i="3" s="1"/>
  <c r="F270" i="1"/>
  <c r="G270" i="1"/>
  <c r="H270" i="1"/>
  <c r="I270" i="1"/>
  <c r="J270" i="1"/>
  <c r="K270" i="1"/>
  <c r="L270" i="1"/>
  <c r="O270" i="1"/>
  <c r="P270" i="1"/>
  <c r="Q270" i="1"/>
  <c r="R270" i="1"/>
  <c r="S270" i="1"/>
  <c r="U270" i="1"/>
  <c r="V270" i="1"/>
  <c r="W270" i="1"/>
  <c r="X270" i="1"/>
  <c r="Y270" i="1"/>
  <c r="Z270" i="1"/>
  <c r="F271" i="1"/>
  <c r="G271" i="1"/>
  <c r="H271" i="1"/>
  <c r="I271" i="1"/>
  <c r="J271" i="1"/>
  <c r="K271" i="1"/>
  <c r="L271" i="1"/>
  <c r="O271" i="1"/>
  <c r="P271" i="1"/>
  <c r="Q271" i="1"/>
  <c r="R271" i="1"/>
  <c r="S271" i="1"/>
  <c r="U271" i="1"/>
  <c r="V271" i="1"/>
  <c r="W271" i="1"/>
  <c r="X271" i="1"/>
  <c r="Y271" i="1"/>
  <c r="Z271" i="1"/>
  <c r="H251" i="1"/>
  <c r="H250" i="1" s="1"/>
  <c r="I251" i="1"/>
  <c r="I250" i="1" s="1"/>
  <c r="J251" i="1"/>
  <c r="K251" i="1"/>
  <c r="K250" i="1" s="1"/>
  <c r="L251" i="1"/>
  <c r="L250" i="1" s="1"/>
  <c r="P251" i="1"/>
  <c r="P250" i="1" s="1"/>
  <c r="Q251" i="1"/>
  <c r="Q250" i="1" s="1"/>
  <c r="R251" i="1"/>
  <c r="R250" i="1" s="1"/>
  <c r="U251" i="1"/>
  <c r="V251" i="1"/>
  <c r="V250" i="1" s="1"/>
  <c r="W251" i="1"/>
  <c r="W250" i="1" s="1"/>
  <c r="X251" i="1"/>
  <c r="X250" i="1" s="1"/>
  <c r="Y251" i="1"/>
  <c r="Y250" i="1" s="1"/>
  <c r="Z251" i="1"/>
  <c r="Z250" i="1" s="1"/>
  <c r="H242" i="1"/>
  <c r="H241" i="1" s="1"/>
  <c r="I242" i="1"/>
  <c r="I241" i="1" s="1"/>
  <c r="J242" i="1"/>
  <c r="K242" i="1"/>
  <c r="K241" i="1" s="1"/>
  <c r="L242" i="1"/>
  <c r="L241" i="1" s="1"/>
  <c r="P242" i="1"/>
  <c r="P241" i="1" s="1"/>
  <c r="Q242" i="1"/>
  <c r="Q241" i="1" s="1"/>
  <c r="R242" i="1"/>
  <c r="R241" i="1" s="1"/>
  <c r="U242" i="1"/>
  <c r="V242" i="1"/>
  <c r="V241" i="1" s="1"/>
  <c r="W242" i="1"/>
  <c r="W241" i="1" s="1"/>
  <c r="X242" i="1"/>
  <c r="X241" i="1" s="1"/>
  <c r="Y242" i="1"/>
  <c r="Y241" i="1" s="1"/>
  <c r="Z242" i="1"/>
  <c r="Z241" i="1" s="1"/>
  <c r="I194" i="1"/>
  <c r="I193" i="1" s="1"/>
  <c r="J194" i="1"/>
  <c r="K194" i="1"/>
  <c r="K193" i="1" s="1"/>
  <c r="L194" i="1"/>
  <c r="L193" i="1" s="1"/>
  <c r="O194" i="1"/>
  <c r="O193" i="1" s="1"/>
  <c r="P194" i="1"/>
  <c r="P193" i="1" s="1"/>
  <c r="Q194" i="1"/>
  <c r="Q193" i="1" s="1"/>
  <c r="R194" i="1"/>
  <c r="R193" i="1" s="1"/>
  <c r="S194" i="1"/>
  <c r="S193" i="1" s="1"/>
  <c r="U194" i="1"/>
  <c r="V194" i="1"/>
  <c r="V193" i="1" s="1"/>
  <c r="W194" i="1"/>
  <c r="W193" i="1" s="1"/>
  <c r="X194" i="1"/>
  <c r="X193" i="1" s="1"/>
  <c r="Y194" i="1"/>
  <c r="Y193" i="1" s="1"/>
  <c r="Z194" i="1"/>
  <c r="Z193" i="1" s="1"/>
  <c r="F195" i="1"/>
  <c r="G195" i="1"/>
  <c r="H195" i="1"/>
  <c r="I195" i="1"/>
  <c r="J195" i="1"/>
  <c r="K195" i="1"/>
  <c r="L195" i="1"/>
  <c r="O195" i="1"/>
  <c r="P195" i="1"/>
  <c r="Q195" i="1"/>
  <c r="R195" i="1"/>
  <c r="S195" i="1"/>
  <c r="U195" i="1"/>
  <c r="V195" i="1"/>
  <c r="W195" i="1"/>
  <c r="X195" i="1"/>
  <c r="Y195" i="1"/>
  <c r="Z195" i="1"/>
  <c r="F196" i="1"/>
  <c r="E119" i="3" s="1"/>
  <c r="G196" i="1"/>
  <c r="F119" i="3" s="1"/>
  <c r="H196" i="1"/>
  <c r="G119" i="3" s="1"/>
  <c r="I196" i="1"/>
  <c r="H119" i="3" s="1"/>
  <c r="J196" i="1"/>
  <c r="K196" i="1"/>
  <c r="J119" i="3" s="1"/>
  <c r="L196" i="1"/>
  <c r="K119" i="3" s="1"/>
  <c r="O196" i="1"/>
  <c r="N119" i="3" s="1"/>
  <c r="P196" i="1"/>
  <c r="O119" i="3" s="1"/>
  <c r="Q196" i="1"/>
  <c r="P119" i="3" s="1"/>
  <c r="R196" i="1"/>
  <c r="Q119" i="3" s="1"/>
  <c r="S196" i="1"/>
  <c r="R119" i="3" s="1"/>
  <c r="U196" i="1"/>
  <c r="V196" i="1"/>
  <c r="U119" i="3" s="1"/>
  <c r="W196" i="1"/>
  <c r="V119" i="3" s="1"/>
  <c r="X196" i="1"/>
  <c r="W119" i="3" s="1"/>
  <c r="Y196" i="1"/>
  <c r="X119" i="3" s="1"/>
  <c r="Z196" i="1"/>
  <c r="Y119" i="3" s="1"/>
  <c r="G197" i="1"/>
  <c r="H197" i="1"/>
  <c r="I197" i="1"/>
  <c r="J197" i="1"/>
  <c r="K197" i="1"/>
  <c r="L197" i="1"/>
  <c r="O197" i="1"/>
  <c r="P197" i="1"/>
  <c r="Q197" i="1"/>
  <c r="R197" i="1"/>
  <c r="S197" i="1"/>
  <c r="U197" i="1"/>
  <c r="V197" i="1"/>
  <c r="W197" i="1"/>
  <c r="X197" i="1"/>
  <c r="Y197" i="1"/>
  <c r="Z197" i="1"/>
  <c r="F198" i="1"/>
  <c r="G198" i="1"/>
  <c r="H198" i="1"/>
  <c r="I198" i="1"/>
  <c r="J198" i="1"/>
  <c r="K198" i="1"/>
  <c r="L198" i="1"/>
  <c r="O198" i="1"/>
  <c r="P198" i="1"/>
  <c r="Q198" i="1"/>
  <c r="R198" i="1"/>
  <c r="S198" i="1"/>
  <c r="U198" i="1"/>
  <c r="V198" i="1"/>
  <c r="W198" i="1"/>
  <c r="X198" i="1"/>
  <c r="Y198" i="1"/>
  <c r="Z198" i="1"/>
  <c r="F199" i="1"/>
  <c r="G199" i="1"/>
  <c r="H199" i="1"/>
  <c r="I199" i="1"/>
  <c r="J199" i="1"/>
  <c r="K199" i="1"/>
  <c r="L199" i="1"/>
  <c r="O199" i="1"/>
  <c r="P199" i="1"/>
  <c r="Q199" i="1"/>
  <c r="R199" i="1"/>
  <c r="S199" i="1"/>
  <c r="U199" i="1"/>
  <c r="V199" i="1"/>
  <c r="W199" i="1"/>
  <c r="X199" i="1"/>
  <c r="Y199" i="1"/>
  <c r="Z199" i="1"/>
  <c r="H153" i="1"/>
  <c r="H152" i="1" s="1"/>
  <c r="I153" i="1"/>
  <c r="I152" i="1" s="1"/>
  <c r="J153" i="1"/>
  <c r="K153" i="1"/>
  <c r="K152" i="1" s="1"/>
  <c r="L153" i="1"/>
  <c r="L152" i="1" s="1"/>
  <c r="P153" i="1"/>
  <c r="P152" i="1" s="1"/>
  <c r="Q153" i="1"/>
  <c r="Q152" i="1" s="1"/>
  <c r="R153" i="1"/>
  <c r="R152" i="1" s="1"/>
  <c r="U153" i="1"/>
  <c r="V153" i="1"/>
  <c r="V152" i="1" s="1"/>
  <c r="W153" i="1"/>
  <c r="W152" i="1" s="1"/>
  <c r="X153" i="1"/>
  <c r="X152" i="1" s="1"/>
  <c r="Y153" i="1"/>
  <c r="Y152" i="1" s="1"/>
  <c r="Z153" i="1"/>
  <c r="Z152" i="1" s="1"/>
  <c r="F154" i="1"/>
  <c r="G154" i="1"/>
  <c r="H154" i="1"/>
  <c r="I154" i="1"/>
  <c r="J154" i="1"/>
  <c r="K154" i="1"/>
  <c r="L154" i="1"/>
  <c r="O154" i="1"/>
  <c r="P154" i="1"/>
  <c r="Q154" i="1"/>
  <c r="R154" i="1"/>
  <c r="S154" i="1"/>
  <c r="U154" i="1"/>
  <c r="V154" i="1"/>
  <c r="W154" i="1"/>
  <c r="X154" i="1"/>
  <c r="Y154" i="1"/>
  <c r="Z154" i="1"/>
  <c r="F155" i="1"/>
  <c r="G155" i="1"/>
  <c r="H155" i="1"/>
  <c r="I155" i="1"/>
  <c r="J155" i="1"/>
  <c r="K155" i="1"/>
  <c r="L155" i="1"/>
  <c r="O155" i="1"/>
  <c r="P155" i="1"/>
  <c r="Q155" i="1"/>
  <c r="R155" i="1"/>
  <c r="S155" i="1"/>
  <c r="U155" i="1"/>
  <c r="V155" i="1"/>
  <c r="W155" i="1"/>
  <c r="X155" i="1"/>
  <c r="Y155" i="1"/>
  <c r="Z155" i="1"/>
  <c r="F156" i="1"/>
  <c r="G156" i="1"/>
  <c r="H156" i="1"/>
  <c r="I156" i="1"/>
  <c r="J156" i="1"/>
  <c r="K156" i="1"/>
  <c r="L156" i="1"/>
  <c r="O156" i="1"/>
  <c r="P156" i="1"/>
  <c r="Q156" i="1"/>
  <c r="R156" i="1"/>
  <c r="S156" i="1"/>
  <c r="U156" i="1"/>
  <c r="V156" i="1"/>
  <c r="W156" i="1"/>
  <c r="X156" i="1"/>
  <c r="Y156" i="1"/>
  <c r="Z156" i="1"/>
  <c r="F157" i="1"/>
  <c r="G157" i="1"/>
  <c r="H157" i="1"/>
  <c r="I157" i="1"/>
  <c r="J157" i="1"/>
  <c r="K157" i="1"/>
  <c r="L157" i="1"/>
  <c r="O157" i="1"/>
  <c r="P157" i="1"/>
  <c r="Q157" i="1"/>
  <c r="R157" i="1"/>
  <c r="S157" i="1"/>
  <c r="U157" i="1"/>
  <c r="V157" i="1"/>
  <c r="W157" i="1"/>
  <c r="X157" i="1"/>
  <c r="Y157" i="1"/>
  <c r="Z157" i="1"/>
  <c r="F158" i="1"/>
  <c r="G158" i="1"/>
  <c r="H158" i="1"/>
  <c r="I158" i="1"/>
  <c r="J158" i="1"/>
  <c r="K158" i="1"/>
  <c r="L158" i="1"/>
  <c r="O158" i="1"/>
  <c r="P158" i="1"/>
  <c r="Q158" i="1"/>
  <c r="R158" i="1"/>
  <c r="S158" i="1"/>
  <c r="U158" i="1"/>
  <c r="V158" i="1"/>
  <c r="W158" i="1"/>
  <c r="X158" i="1"/>
  <c r="Y158" i="1"/>
  <c r="Z158" i="1"/>
  <c r="F159" i="1"/>
  <c r="G159" i="1"/>
  <c r="H159" i="1"/>
  <c r="I159" i="1"/>
  <c r="J159" i="1"/>
  <c r="K159" i="1"/>
  <c r="L159" i="1"/>
  <c r="O159" i="1"/>
  <c r="P159" i="1"/>
  <c r="Q159" i="1"/>
  <c r="R159" i="1"/>
  <c r="S159" i="1"/>
  <c r="U159" i="1"/>
  <c r="V159" i="1"/>
  <c r="W159" i="1"/>
  <c r="X159" i="1"/>
  <c r="Y159" i="1"/>
  <c r="Z159" i="1"/>
  <c r="F160" i="1"/>
  <c r="G160" i="1"/>
  <c r="H160" i="1"/>
  <c r="I160" i="1"/>
  <c r="J160" i="1"/>
  <c r="K160" i="1"/>
  <c r="L160" i="1"/>
  <c r="O160" i="1"/>
  <c r="P160" i="1"/>
  <c r="Q160" i="1"/>
  <c r="R160" i="1"/>
  <c r="S160" i="1"/>
  <c r="U160" i="1"/>
  <c r="V160" i="1"/>
  <c r="W160" i="1"/>
  <c r="X160" i="1"/>
  <c r="Y160" i="1"/>
  <c r="Z160" i="1"/>
  <c r="F161" i="1"/>
  <c r="G161" i="1"/>
  <c r="H161" i="1"/>
  <c r="I161" i="1"/>
  <c r="J161" i="1"/>
  <c r="K161" i="1"/>
  <c r="L161" i="1"/>
  <c r="O161" i="1"/>
  <c r="P161" i="1"/>
  <c r="Q161" i="1"/>
  <c r="R161" i="1"/>
  <c r="S161" i="1"/>
  <c r="U161" i="1"/>
  <c r="V161" i="1"/>
  <c r="W161" i="1"/>
  <c r="X161" i="1"/>
  <c r="Y161" i="1"/>
  <c r="Z161" i="1"/>
  <c r="F162" i="1"/>
  <c r="F425" i="1" s="1"/>
  <c r="G162" i="1"/>
  <c r="G425" i="1" s="1"/>
  <c r="H162" i="1"/>
  <c r="H425" i="1" s="1"/>
  <c r="I162" i="1"/>
  <c r="I425" i="1" s="1"/>
  <c r="J162" i="1"/>
  <c r="J425" i="1" s="1"/>
  <c r="K162" i="1"/>
  <c r="K425" i="1" s="1"/>
  <c r="L162" i="1"/>
  <c r="L425" i="1" s="1"/>
  <c r="O162" i="1"/>
  <c r="O425" i="1" s="1"/>
  <c r="P162" i="1"/>
  <c r="P425" i="1" s="1"/>
  <c r="Q162" i="1"/>
  <c r="Q425" i="1" s="1"/>
  <c r="R162" i="1"/>
  <c r="R425" i="1" s="1"/>
  <c r="S162" i="1"/>
  <c r="S425" i="1" s="1"/>
  <c r="U162" i="1"/>
  <c r="V162" i="1"/>
  <c r="V425" i="1" s="1"/>
  <c r="W162" i="1"/>
  <c r="W425" i="1" s="1"/>
  <c r="X162" i="1"/>
  <c r="X425" i="1" s="1"/>
  <c r="Y162" i="1"/>
  <c r="Y425" i="1" s="1"/>
  <c r="Z162" i="1"/>
  <c r="Z425" i="1" s="1"/>
  <c r="I69" i="1"/>
  <c r="I68" i="1" s="1"/>
  <c r="J69" i="1"/>
  <c r="K69" i="1"/>
  <c r="K68" i="1" s="1"/>
  <c r="L69" i="1"/>
  <c r="L68" i="1" s="1"/>
  <c r="Q69" i="1"/>
  <c r="Q68" i="1" s="1"/>
  <c r="R69" i="1"/>
  <c r="R68" i="1" s="1"/>
  <c r="U69" i="1"/>
  <c r="V69" i="1"/>
  <c r="V68" i="1" s="1"/>
  <c r="W69" i="1"/>
  <c r="W68" i="1" s="1"/>
  <c r="X69" i="1"/>
  <c r="X68" i="1" s="1"/>
  <c r="Y69" i="1"/>
  <c r="Y68" i="1" s="1"/>
  <c r="Z69" i="1"/>
  <c r="Z68" i="1" s="1"/>
  <c r="F70" i="1"/>
  <c r="G70" i="1"/>
  <c r="H70" i="1"/>
  <c r="I70" i="1"/>
  <c r="K70" i="1"/>
  <c r="L70" i="1"/>
  <c r="O70" i="1"/>
  <c r="P70" i="1"/>
  <c r="Q70" i="1"/>
  <c r="R70" i="1"/>
  <c r="S70" i="1"/>
  <c r="U70" i="1"/>
  <c r="V70" i="1"/>
  <c r="W70" i="1"/>
  <c r="X70" i="1"/>
  <c r="Y70" i="1"/>
  <c r="Z70" i="1"/>
  <c r="F71" i="1"/>
  <c r="G71" i="1"/>
  <c r="H71" i="1"/>
  <c r="I71" i="1"/>
  <c r="J71" i="1"/>
  <c r="K71" i="1"/>
  <c r="L71" i="1"/>
  <c r="O71" i="1"/>
  <c r="P71" i="1"/>
  <c r="Q71" i="1"/>
  <c r="R71" i="1"/>
  <c r="S71" i="1"/>
  <c r="U71" i="1"/>
  <c r="V71" i="1"/>
  <c r="W71" i="1"/>
  <c r="X71" i="1"/>
  <c r="Y71" i="1"/>
  <c r="Z71" i="1"/>
  <c r="F72" i="1"/>
  <c r="G72" i="1"/>
  <c r="H72" i="1"/>
  <c r="I72" i="1"/>
  <c r="J72" i="1"/>
  <c r="K72" i="1"/>
  <c r="L72" i="1"/>
  <c r="O72" i="1"/>
  <c r="P72" i="1"/>
  <c r="Q72" i="1"/>
  <c r="R72" i="1"/>
  <c r="S72" i="1"/>
  <c r="U72" i="1"/>
  <c r="V72" i="1"/>
  <c r="W72" i="1"/>
  <c r="X72" i="1"/>
  <c r="Y72" i="1"/>
  <c r="Z72" i="1"/>
  <c r="O73" i="1"/>
  <c r="P73" i="1"/>
  <c r="Q73" i="1"/>
  <c r="R73" i="1"/>
  <c r="S73" i="1"/>
  <c r="U73" i="1"/>
  <c r="V73" i="1"/>
  <c r="W73" i="1"/>
  <c r="X73" i="1"/>
  <c r="Y73" i="1"/>
  <c r="Z73" i="1"/>
  <c r="F74" i="1"/>
  <c r="G74" i="1"/>
  <c r="H74" i="1"/>
  <c r="I74" i="1"/>
  <c r="J74" i="1"/>
  <c r="K74" i="1"/>
  <c r="L74" i="1"/>
  <c r="O74" i="1"/>
  <c r="Q74" i="1"/>
  <c r="R74" i="1"/>
  <c r="U74" i="1"/>
  <c r="V74" i="1"/>
  <c r="W74" i="1"/>
  <c r="X74" i="1"/>
  <c r="Y74" i="1"/>
  <c r="Z74" i="1"/>
  <c r="F75" i="1"/>
  <c r="G75" i="1"/>
  <c r="H75" i="1"/>
  <c r="I75" i="1"/>
  <c r="J75" i="1"/>
  <c r="K75" i="1"/>
  <c r="L75" i="1"/>
  <c r="O75" i="1"/>
  <c r="P75" i="1"/>
  <c r="Q75" i="1"/>
  <c r="R75" i="1"/>
  <c r="S75" i="1"/>
  <c r="U75" i="1"/>
  <c r="V75" i="1"/>
  <c r="W75" i="1"/>
  <c r="X75" i="1"/>
  <c r="Y75" i="1"/>
  <c r="Z75" i="1"/>
  <c r="F76" i="1"/>
  <c r="G76" i="1"/>
  <c r="H76" i="1"/>
  <c r="I76" i="1"/>
  <c r="J76" i="1"/>
  <c r="K76" i="1"/>
  <c r="L76" i="1"/>
  <c r="O76" i="1"/>
  <c r="P76" i="1"/>
  <c r="Q76" i="1"/>
  <c r="R76" i="1"/>
  <c r="S76" i="1"/>
  <c r="U76" i="1"/>
  <c r="V76" i="1"/>
  <c r="W76" i="1"/>
  <c r="X76" i="1"/>
  <c r="Y76" i="1"/>
  <c r="Z76" i="1"/>
  <c r="F77" i="1"/>
  <c r="G77" i="1"/>
  <c r="H77" i="1"/>
  <c r="I77" i="1"/>
  <c r="J77" i="1"/>
  <c r="K77" i="1"/>
  <c r="L77" i="1"/>
  <c r="O77" i="1"/>
  <c r="P77" i="1"/>
  <c r="Q77" i="1"/>
  <c r="R77" i="1"/>
  <c r="S77" i="1"/>
  <c r="U77" i="1"/>
  <c r="V77" i="1"/>
  <c r="W77" i="1"/>
  <c r="X77" i="1"/>
  <c r="Y77" i="1"/>
  <c r="Z77" i="1"/>
  <c r="F78" i="1"/>
  <c r="G78" i="1"/>
  <c r="H78" i="1"/>
  <c r="I78" i="1"/>
  <c r="J78" i="1"/>
  <c r="K78" i="1"/>
  <c r="L78" i="1"/>
  <c r="O78" i="1"/>
  <c r="P78" i="1"/>
  <c r="Q78" i="1"/>
  <c r="R78" i="1"/>
  <c r="S78" i="1"/>
  <c r="U78" i="1"/>
  <c r="V78" i="1"/>
  <c r="W78" i="1"/>
  <c r="X78" i="1"/>
  <c r="Y78" i="1"/>
  <c r="Z78" i="1"/>
  <c r="F79" i="1"/>
  <c r="G79" i="1"/>
  <c r="H79" i="1"/>
  <c r="I79" i="1"/>
  <c r="J79" i="1"/>
  <c r="K79" i="1"/>
  <c r="L79" i="1"/>
  <c r="O79" i="1"/>
  <c r="P79" i="1"/>
  <c r="Q79" i="1"/>
  <c r="R79" i="1"/>
  <c r="S79" i="1"/>
  <c r="U79" i="1"/>
  <c r="V79" i="1"/>
  <c r="W79" i="1"/>
  <c r="X79" i="1"/>
  <c r="Y79" i="1"/>
  <c r="Z79" i="1"/>
  <c r="F80" i="1"/>
  <c r="G80" i="1"/>
  <c r="H80" i="1"/>
  <c r="I80" i="1"/>
  <c r="J80" i="1"/>
  <c r="K80" i="1"/>
  <c r="L80" i="1"/>
  <c r="O80" i="1"/>
  <c r="P80" i="1"/>
  <c r="Q80" i="1"/>
  <c r="R80" i="1"/>
  <c r="S80" i="1"/>
  <c r="U80" i="1"/>
  <c r="V80" i="1"/>
  <c r="W80" i="1"/>
  <c r="X80" i="1"/>
  <c r="Y80" i="1"/>
  <c r="Z80" i="1"/>
  <c r="J17" i="1"/>
  <c r="K17" i="1"/>
  <c r="K16" i="1" s="1"/>
  <c r="L17" i="1"/>
  <c r="L16" i="1" s="1"/>
  <c r="P17" i="1"/>
  <c r="P16" i="1" s="1"/>
  <c r="Q17" i="1"/>
  <c r="Q16" i="1" s="1"/>
  <c r="R17" i="1"/>
  <c r="R16" i="1" s="1"/>
  <c r="U17" i="1"/>
  <c r="V17" i="1"/>
  <c r="V16" i="1" s="1"/>
  <c r="W17" i="1"/>
  <c r="W16" i="1" s="1"/>
  <c r="X17" i="1"/>
  <c r="X16" i="1" s="1"/>
  <c r="Y17" i="1"/>
  <c r="Y16" i="1" s="1"/>
  <c r="Z17" i="1"/>
  <c r="Z16" i="1" s="1"/>
  <c r="F18" i="1"/>
  <c r="G18" i="1"/>
  <c r="H18" i="1"/>
  <c r="I18" i="1"/>
  <c r="J18" i="1"/>
  <c r="K18" i="1"/>
  <c r="L18" i="1"/>
  <c r="O18" i="1"/>
  <c r="P18" i="1"/>
  <c r="Q18" i="1"/>
  <c r="R18" i="1"/>
  <c r="S18" i="1"/>
  <c r="U18" i="1"/>
  <c r="U423" i="1" s="1"/>
  <c r="V18" i="1"/>
  <c r="W18" i="1"/>
  <c r="X18" i="1"/>
  <c r="Y18" i="1"/>
  <c r="Z18" i="1"/>
  <c r="Z423" i="1" s="1"/>
  <c r="W300" i="3" l="1"/>
  <c r="U299" i="3"/>
  <c r="W262" i="3"/>
  <c r="H262" i="3"/>
  <c r="J190" i="3"/>
  <c r="J298" i="3" s="1"/>
  <c r="K300" i="3"/>
  <c r="P262" i="3"/>
  <c r="X262" i="3"/>
  <c r="J300" i="3"/>
  <c r="G300" i="3"/>
  <c r="U262" i="3"/>
  <c r="Q262" i="3"/>
  <c r="Y300" i="3"/>
  <c r="E300" i="3"/>
  <c r="L424" i="1"/>
  <c r="W424" i="1"/>
  <c r="H424" i="1"/>
  <c r="F424" i="1"/>
  <c r="K299" i="3"/>
  <c r="F299" i="3"/>
  <c r="X299" i="3"/>
  <c r="AB72" i="1"/>
  <c r="X424" i="1"/>
  <c r="I424" i="1"/>
  <c r="J395" i="1"/>
  <c r="L423" i="1"/>
  <c r="J372" i="1"/>
  <c r="AB418" i="1"/>
  <c r="U332" i="1"/>
  <c r="Q299" i="3"/>
  <c r="I263" i="3"/>
  <c r="V300" i="3"/>
  <c r="I193" i="3"/>
  <c r="J406" i="1"/>
  <c r="W299" i="3"/>
  <c r="J375" i="1"/>
  <c r="U395" i="1"/>
  <c r="F190" i="3"/>
  <c r="N300" i="3"/>
  <c r="U250" i="1"/>
  <c r="O190" i="3"/>
  <c r="E299" i="3"/>
  <c r="Q422" i="1"/>
  <c r="I119" i="3"/>
  <c r="J261" i="1"/>
  <c r="J332" i="1"/>
  <c r="X300" i="3"/>
  <c r="P299" i="3"/>
  <c r="U425" i="1"/>
  <c r="AB154" i="1"/>
  <c r="J241" i="1"/>
  <c r="T193" i="3"/>
  <c r="J417" i="1"/>
  <c r="T197" i="3"/>
  <c r="J387" i="1"/>
  <c r="AA242" i="3"/>
  <c r="G299" i="3"/>
  <c r="I300" i="3"/>
  <c r="J68" i="1"/>
  <c r="J152" i="1"/>
  <c r="J262" i="3"/>
  <c r="V262" i="3"/>
  <c r="G190" i="3"/>
  <c r="N299" i="3"/>
  <c r="H299" i="3"/>
  <c r="V299" i="3"/>
  <c r="O299" i="3"/>
  <c r="V190" i="3"/>
  <c r="H300" i="3"/>
  <c r="AA122" i="3"/>
  <c r="O262" i="3"/>
  <c r="I421" i="1"/>
  <c r="W421" i="1"/>
  <c r="AB76" i="1"/>
  <c r="R424" i="1"/>
  <c r="S424" i="1"/>
  <c r="Y262" i="3"/>
  <c r="W190" i="3"/>
  <c r="AB334" i="1"/>
  <c r="I303" i="3"/>
  <c r="AA197" i="3"/>
  <c r="H421" i="1"/>
  <c r="I192" i="3"/>
  <c r="F421" i="1"/>
  <c r="K424" i="1"/>
  <c r="I286" i="3"/>
  <c r="AA290" i="3"/>
  <c r="Y424" i="1"/>
  <c r="AA272" i="3"/>
  <c r="V424" i="1"/>
  <c r="AB267" i="1"/>
  <c r="AB265" i="1"/>
  <c r="K262" i="3"/>
  <c r="P190" i="3"/>
  <c r="P298" i="3" s="1"/>
  <c r="AA289" i="3"/>
  <c r="W422" i="1"/>
  <c r="AB159" i="1"/>
  <c r="Z424" i="1"/>
  <c r="S421" i="1"/>
  <c r="P423" i="1"/>
  <c r="L422" i="1"/>
  <c r="I423" i="1"/>
  <c r="U190" i="3"/>
  <c r="AA194" i="3"/>
  <c r="X422" i="1"/>
  <c r="Q421" i="1"/>
  <c r="Q424" i="1"/>
  <c r="P424" i="1"/>
  <c r="AA287" i="3"/>
  <c r="P421" i="1"/>
  <c r="AB199" i="1"/>
  <c r="I196" i="3"/>
  <c r="G422" i="1"/>
  <c r="O424" i="1"/>
  <c r="AB264" i="1"/>
  <c r="AB337" i="1"/>
  <c r="K190" i="3"/>
  <c r="X190" i="3"/>
  <c r="X298" i="3" s="1"/>
  <c r="Q300" i="3"/>
  <c r="R299" i="3"/>
  <c r="T286" i="3"/>
  <c r="I285" i="3"/>
  <c r="Z421" i="1"/>
  <c r="Z422" i="1"/>
  <c r="I301" i="3"/>
  <c r="J422" i="1"/>
  <c r="I299" i="3"/>
  <c r="K423" i="1"/>
  <c r="Y190" i="3"/>
  <c r="Y423" i="1"/>
  <c r="W423" i="1"/>
  <c r="T198" i="3"/>
  <c r="AA246" i="3"/>
  <c r="AA230" i="3"/>
  <c r="AA162" i="3"/>
  <c r="AB196" i="1"/>
  <c r="T119" i="3"/>
  <c r="T301" i="3"/>
  <c r="AA120" i="3"/>
  <c r="AA121" i="3"/>
  <c r="AA96" i="3"/>
  <c r="AA93" i="3"/>
  <c r="AA94" i="3"/>
  <c r="AA92" i="3"/>
  <c r="AA244" i="3"/>
  <c r="T196" i="3"/>
  <c r="AA245" i="3"/>
  <c r="AA95" i="3"/>
  <c r="AA98" i="3"/>
  <c r="AA168" i="3"/>
  <c r="AA29" i="3"/>
  <c r="T195" i="3"/>
  <c r="AA205" i="3"/>
  <c r="T192" i="3"/>
  <c r="AA204" i="3"/>
  <c r="T191" i="3"/>
  <c r="AA203" i="3"/>
  <c r="AA199" i="3"/>
  <c r="AA24" i="3"/>
  <c r="T299" i="3"/>
  <c r="AA25" i="3"/>
  <c r="AA27" i="3"/>
  <c r="AA32" i="3"/>
  <c r="AA34" i="3"/>
  <c r="AA28" i="3"/>
  <c r="AA33" i="3"/>
  <c r="AA31" i="3"/>
  <c r="AA26" i="3"/>
  <c r="AA35" i="3"/>
  <c r="T190" i="3"/>
  <c r="T262" i="3"/>
  <c r="AA279" i="3"/>
  <c r="AA202" i="3"/>
  <c r="AA264" i="3"/>
  <c r="AA17" i="3"/>
  <c r="AA276" i="3"/>
  <c r="T285" i="3"/>
  <c r="AA293" i="3"/>
  <c r="U417" i="1"/>
  <c r="Z420" i="1"/>
  <c r="V420" i="1"/>
  <c r="Y420" i="1"/>
  <c r="W420" i="1"/>
  <c r="AA269" i="3"/>
  <c r="I262" i="3"/>
  <c r="I190" i="3"/>
  <c r="AA229" i="3"/>
  <c r="AB262" i="1"/>
  <c r="AA176" i="3"/>
  <c r="AA167" i="3"/>
  <c r="AA117" i="3"/>
  <c r="AA23" i="3"/>
  <c r="AB388" i="1"/>
  <c r="L420" i="1"/>
  <c r="AA16" i="3"/>
  <c r="W298" i="3"/>
  <c r="K420" i="1"/>
  <c r="Y422" i="1"/>
  <c r="Y421" i="1"/>
  <c r="L421" i="1"/>
  <c r="AB69" i="1"/>
  <c r="U152" i="1"/>
  <c r="AB153" i="1"/>
  <c r="V423" i="1"/>
  <c r="H423" i="1"/>
  <c r="AB162" i="1"/>
  <c r="AB78" i="1"/>
  <c r="AB74" i="1"/>
  <c r="AB269" i="1"/>
  <c r="K422" i="1"/>
  <c r="X421" i="1"/>
  <c r="K421" i="1"/>
  <c r="U68" i="1"/>
  <c r="J424" i="1"/>
  <c r="G423" i="1"/>
  <c r="AB77" i="1"/>
  <c r="AB18" i="1"/>
  <c r="J421" i="1"/>
  <c r="AB251" i="1"/>
  <c r="U375" i="1"/>
  <c r="AB376" i="1"/>
  <c r="AB75" i="1"/>
  <c r="V421" i="1"/>
  <c r="AB156" i="1"/>
  <c r="AB79" i="1"/>
  <c r="AB73" i="1"/>
  <c r="H422" i="1"/>
  <c r="AB70" i="1"/>
  <c r="G424" i="1"/>
  <c r="R423" i="1"/>
  <c r="U372" i="1"/>
  <c r="U422" i="1"/>
  <c r="AB71" i="1"/>
  <c r="V422" i="1"/>
  <c r="I422" i="1"/>
  <c r="S423" i="1"/>
  <c r="AB195" i="1"/>
  <c r="AB263" i="1"/>
  <c r="G421" i="1"/>
  <c r="Q423" i="1"/>
  <c r="AB242" i="1"/>
  <c r="U241" i="1"/>
  <c r="AB396" i="1"/>
  <c r="AB373" i="1"/>
  <c r="F422" i="1"/>
  <c r="AB198" i="1"/>
  <c r="AB335" i="1"/>
  <c r="AB80" i="1"/>
  <c r="AB268" i="1"/>
  <c r="U421" i="1"/>
  <c r="X420" i="1"/>
  <c r="R422" i="1"/>
  <c r="R421" i="1"/>
  <c r="O423" i="1"/>
  <c r="AB266" i="1"/>
  <c r="J16" i="1"/>
  <c r="J250" i="1"/>
  <c r="U16" i="1"/>
  <c r="AB17" i="1"/>
  <c r="O422" i="1"/>
  <c r="O421" i="1"/>
  <c r="X423" i="1"/>
  <c r="AB271" i="1"/>
  <c r="U261" i="1"/>
  <c r="U424" i="1"/>
  <c r="U406" i="1"/>
  <c r="AB407" i="1"/>
  <c r="AB336" i="1"/>
  <c r="AB157" i="1"/>
  <c r="AB270" i="1"/>
  <c r="U387" i="1"/>
  <c r="AB161" i="1"/>
  <c r="AB158" i="1"/>
  <c r="AB155" i="1"/>
  <c r="J193" i="1"/>
  <c r="AB333" i="1"/>
  <c r="AB197" i="1"/>
  <c r="U193" i="1"/>
  <c r="AB194" i="1"/>
  <c r="J423" i="1"/>
  <c r="AB160" i="1"/>
  <c r="E415" i="1"/>
  <c r="M415" i="1" s="1"/>
  <c r="F83" i="1"/>
  <c r="E38" i="3" s="1"/>
  <c r="U298" i="3" l="1"/>
  <c r="AB417" i="1"/>
  <c r="AB332" i="1"/>
  <c r="AA193" i="3"/>
  <c r="V298" i="3"/>
  <c r="AB395" i="1"/>
  <c r="T303" i="3"/>
  <c r="AB425" i="1"/>
  <c r="AA263" i="3"/>
  <c r="Y298" i="3"/>
  <c r="K298" i="3"/>
  <c r="I302" i="3"/>
  <c r="AA286" i="3"/>
  <c r="AA301" i="3"/>
  <c r="AA190" i="3"/>
  <c r="AA198" i="3"/>
  <c r="AA119" i="3"/>
  <c r="T298" i="3"/>
  <c r="AA196" i="3"/>
  <c r="T302" i="3"/>
  <c r="AA299" i="3"/>
  <c r="AA191" i="3"/>
  <c r="AA195" i="3"/>
  <c r="T300" i="3"/>
  <c r="AA192" i="3"/>
  <c r="AA285" i="3"/>
  <c r="AA262" i="3"/>
  <c r="I298" i="3"/>
  <c r="AB421" i="1"/>
  <c r="AB68" i="1"/>
  <c r="J420" i="1"/>
  <c r="AB387" i="1"/>
  <c r="AB406" i="1"/>
  <c r="AB424" i="1"/>
  <c r="AB422" i="1"/>
  <c r="AB375" i="1"/>
  <c r="AB152" i="1"/>
  <c r="AB372" i="1"/>
  <c r="AB423" i="1"/>
  <c r="AB193" i="1"/>
  <c r="AB241" i="1"/>
  <c r="AB16" i="1"/>
  <c r="U420" i="1"/>
  <c r="AB261" i="1"/>
  <c r="AB250" i="1"/>
  <c r="F313" i="1"/>
  <c r="AA298" i="3" l="1"/>
  <c r="AA303" i="3"/>
  <c r="AA302" i="3"/>
  <c r="AA300" i="3"/>
  <c r="AB420" i="1"/>
  <c r="S349" i="1"/>
  <c r="R208" i="3" s="1"/>
  <c r="O349" i="1"/>
  <c r="N208" i="3" s="1"/>
  <c r="S164" i="1" l="1"/>
  <c r="R99" i="3" s="1"/>
  <c r="O164" i="1"/>
  <c r="N99" i="3" s="1"/>
  <c r="O350" i="1" l="1"/>
  <c r="N210" i="3" s="1"/>
  <c r="F233" i="1"/>
  <c r="E159" i="3" s="1"/>
  <c r="S175" i="1"/>
  <c r="R110" i="3" s="1"/>
  <c r="R92" i="3" s="1"/>
  <c r="O175" i="1"/>
  <c r="N110" i="3" s="1"/>
  <c r="N92" i="3" s="1"/>
  <c r="F67" i="1"/>
  <c r="E297" i="3" s="1"/>
  <c r="E285" i="3" s="1"/>
  <c r="S67" i="1"/>
  <c r="R297" i="3" s="1"/>
  <c r="R285" i="3" s="1"/>
  <c r="O67" i="1"/>
  <c r="N297" i="3" s="1"/>
  <c r="N285" i="3" s="1"/>
  <c r="O344" i="1"/>
  <c r="I280" i="1"/>
  <c r="H183" i="3" s="1"/>
  <c r="F285" i="1"/>
  <c r="E189" i="3" s="1"/>
  <c r="F276" i="1"/>
  <c r="E179" i="3" s="1"/>
  <c r="F272" i="1"/>
  <c r="F274" i="1"/>
  <c r="E151" i="3" s="1"/>
  <c r="S58" i="1"/>
  <c r="R267" i="3" s="1"/>
  <c r="O58" i="1"/>
  <c r="N267" i="3" s="1"/>
  <c r="F58" i="1"/>
  <c r="E267" i="3" s="1"/>
  <c r="F389" i="1"/>
  <c r="F388" i="1" s="1"/>
  <c r="F387" i="1" s="1"/>
  <c r="F181" i="1"/>
  <c r="E116" i="3" s="1"/>
  <c r="F164" i="1"/>
  <c r="E99" i="3" s="1"/>
  <c r="E92" i="3" s="1"/>
  <c r="F132" i="1"/>
  <c r="F61" i="1"/>
  <c r="F39" i="1"/>
  <c r="E173" i="3" s="1"/>
  <c r="F38" i="1"/>
  <c r="S344" i="1"/>
  <c r="E171" i="3" l="1"/>
  <c r="I276" i="1"/>
  <c r="H179" i="3" s="1"/>
  <c r="G20" i="1" l="1"/>
  <c r="F20" i="1"/>
  <c r="G17" i="1" l="1"/>
  <c r="G16" i="1" s="1"/>
  <c r="G408" i="1"/>
  <c r="G407" i="1" s="1"/>
  <c r="G406" i="1" s="1"/>
  <c r="F408" i="1"/>
  <c r="G397" i="1"/>
  <c r="G396" i="1" s="1"/>
  <c r="G395" i="1" s="1"/>
  <c r="F397" i="1"/>
  <c r="G389" i="1"/>
  <c r="G388" i="1" s="1"/>
  <c r="G387" i="1" s="1"/>
  <c r="G377" i="1"/>
  <c r="G376" i="1" s="1"/>
  <c r="G375" i="1" s="1"/>
  <c r="F377" i="1"/>
  <c r="G374" i="1"/>
  <c r="G373" i="1" s="1"/>
  <c r="G372" i="1" s="1"/>
  <c r="F374" i="1"/>
  <c r="F373" i="1" s="1"/>
  <c r="F372" i="1" s="1"/>
  <c r="G338" i="1"/>
  <c r="G333" i="1" s="1"/>
  <c r="G332" i="1" s="1"/>
  <c r="F338" i="1"/>
  <c r="F333" i="1" s="1"/>
  <c r="F332" i="1" s="1"/>
  <c r="G272" i="1"/>
  <c r="G262" i="1" s="1"/>
  <c r="G261" i="1" s="1"/>
  <c r="G252" i="1"/>
  <c r="F252" i="1"/>
  <c r="G244" i="1"/>
  <c r="G242" i="1" s="1"/>
  <c r="G241" i="1" s="1"/>
  <c r="F244" i="1"/>
  <c r="G200" i="1"/>
  <c r="F200" i="1"/>
  <c r="G163" i="1"/>
  <c r="G153" i="1" s="1"/>
  <c r="G152" i="1" s="1"/>
  <c r="F163" i="1"/>
  <c r="G81" i="1"/>
  <c r="F81" i="1"/>
  <c r="F82" i="1" l="1"/>
  <c r="E36" i="3" s="1"/>
  <c r="S286" i="1" l="1"/>
  <c r="O286" i="1"/>
  <c r="G419" i="1"/>
  <c r="G418" i="1" s="1"/>
  <c r="G417" i="1" s="1"/>
  <c r="F419" i="1"/>
  <c r="F418" i="1" s="1"/>
  <c r="F417" i="1" s="1"/>
  <c r="F401" i="1"/>
  <c r="E223" i="3" s="1"/>
  <c r="S339" i="1"/>
  <c r="O339" i="1"/>
  <c r="F122" i="1"/>
  <c r="E84" i="3" s="1"/>
  <c r="N121" i="1"/>
  <c r="M83" i="3" s="1"/>
  <c r="E121" i="1"/>
  <c r="M121" i="1" s="1"/>
  <c r="C121" i="1"/>
  <c r="D121" i="1"/>
  <c r="B121" i="1"/>
  <c r="S83" i="1"/>
  <c r="R38" i="3" s="1"/>
  <c r="O83" i="1"/>
  <c r="N38" i="3" s="1"/>
  <c r="F57" i="1"/>
  <c r="E266" i="3" s="1"/>
  <c r="E264" i="3" s="1"/>
  <c r="F50" i="1"/>
  <c r="E243" i="3" s="1"/>
  <c r="E242" i="3" s="1"/>
  <c r="F41" i="1"/>
  <c r="E175" i="3" s="1"/>
  <c r="F22" i="1"/>
  <c r="E20" i="3" s="1"/>
  <c r="C197" i="3"/>
  <c r="N188" i="1"/>
  <c r="E188" i="1"/>
  <c r="S186" i="1"/>
  <c r="S153" i="1" s="1"/>
  <c r="S152" i="1" s="1"/>
  <c r="D199" i="1"/>
  <c r="N235" i="1"/>
  <c r="M161" i="3" s="1"/>
  <c r="E235" i="1"/>
  <c r="M235" i="1" s="1"/>
  <c r="N216" i="1"/>
  <c r="M142" i="3" s="1"/>
  <c r="E216" i="1"/>
  <c r="M216" i="1" s="1"/>
  <c r="F214" i="1"/>
  <c r="E140" i="3" s="1"/>
  <c r="N123" i="1"/>
  <c r="E123" i="1"/>
  <c r="M123" i="1" s="1"/>
  <c r="N122" i="1"/>
  <c r="E122" i="1"/>
  <c r="M122" i="1" s="1"/>
  <c r="B123" i="1"/>
  <c r="C123" i="1"/>
  <c r="D123" i="1"/>
  <c r="D72" i="1" s="1"/>
  <c r="C122" i="1"/>
  <c r="D122" i="1"/>
  <c r="B122" i="1"/>
  <c r="M85" i="3" l="1"/>
  <c r="Z85" i="3" s="1"/>
  <c r="AA123" i="1"/>
  <c r="M84" i="3"/>
  <c r="Z84" i="3" s="1"/>
  <c r="AA122" i="1"/>
  <c r="M252" i="3"/>
  <c r="Z252" i="3" s="1"/>
  <c r="AA188" i="1"/>
  <c r="M247" i="3"/>
  <c r="Z247" i="3" s="1"/>
  <c r="M26" i="3"/>
  <c r="M122" i="3"/>
  <c r="N72" i="1"/>
  <c r="AA72" i="1" s="1"/>
  <c r="T121" i="1"/>
  <c r="S83" i="3" s="1"/>
  <c r="D142" i="3"/>
  <c r="L142" i="3" s="1"/>
  <c r="D252" i="3"/>
  <c r="N199" i="1"/>
  <c r="N162" i="1"/>
  <c r="AA162" i="1" s="1"/>
  <c r="D84" i="3"/>
  <c r="L84" i="3" s="1"/>
  <c r="D161" i="3"/>
  <c r="L161" i="3" s="1"/>
  <c r="E72" i="1"/>
  <c r="M72" i="1" s="1"/>
  <c r="E199" i="1"/>
  <c r="M199" i="1" s="1"/>
  <c r="T188" i="1"/>
  <c r="E162" i="1"/>
  <c r="T216" i="1"/>
  <c r="T235" i="1"/>
  <c r="S161" i="3" s="1"/>
  <c r="D83" i="3"/>
  <c r="L83" i="3" s="1"/>
  <c r="D85" i="3"/>
  <c r="L85" i="3" s="1"/>
  <c r="T123" i="1"/>
  <c r="T122" i="1"/>
  <c r="S84" i="3" s="1"/>
  <c r="T162" i="1" l="1"/>
  <c r="T425" i="1" s="1"/>
  <c r="S252" i="3"/>
  <c r="S247" i="3" s="1"/>
  <c r="S197" i="3" s="1"/>
  <c r="S303" i="3" s="1"/>
  <c r="D26" i="3"/>
  <c r="L26" i="3" s="1"/>
  <c r="D247" i="3"/>
  <c r="T199" i="1"/>
  <c r="S142" i="3"/>
  <c r="S122" i="3" s="1"/>
  <c r="T72" i="1"/>
  <c r="S85" i="3"/>
  <c r="S26" i="3" s="1"/>
  <c r="D122" i="3"/>
  <c r="L122" i="3" s="1"/>
  <c r="M197" i="3"/>
  <c r="Z197" i="3" s="1"/>
  <c r="E425" i="1"/>
  <c r="N425" i="1"/>
  <c r="AA425" i="1" l="1"/>
  <c r="M303" i="3"/>
  <c r="Z303" i="3" s="1"/>
  <c r="D197" i="3"/>
  <c r="S129" i="1"/>
  <c r="S128" i="1"/>
  <c r="R90" i="3" s="1"/>
  <c r="S74" i="1" l="1"/>
  <c r="S422" i="1" s="1"/>
  <c r="R91" i="3"/>
  <c r="R28" i="3" s="1"/>
  <c r="R300" i="3" s="1"/>
  <c r="D303" i="3"/>
  <c r="F281" i="1"/>
  <c r="E184" i="3" s="1"/>
  <c r="E176" i="3" s="1"/>
  <c r="F315" i="1" l="1"/>
  <c r="E271" i="3" s="1"/>
  <c r="S359" i="1"/>
  <c r="O359" i="1"/>
  <c r="S348" i="1"/>
  <c r="R206" i="3" s="1"/>
  <c r="O348" i="1"/>
  <c r="N206" i="3" s="1"/>
  <c r="S288" i="1"/>
  <c r="O288" i="1"/>
  <c r="S281" i="1"/>
  <c r="R184" i="3" s="1"/>
  <c r="R176" i="3" s="1"/>
  <c r="O281" i="1"/>
  <c r="N184" i="3" s="1"/>
  <c r="N176" i="3" s="1"/>
  <c r="F203" i="1"/>
  <c r="E124" i="3" s="1"/>
  <c r="N127" i="1"/>
  <c r="E127" i="1"/>
  <c r="F60" i="1"/>
  <c r="E270" i="3" s="1"/>
  <c r="M89" i="3" l="1"/>
  <c r="Z89" i="3" s="1"/>
  <c r="AA127" i="1"/>
  <c r="E269" i="3"/>
  <c r="E262" i="3" s="1"/>
  <c r="D89" i="3"/>
  <c r="T127" i="1"/>
  <c r="S89" i="3" s="1"/>
  <c r="C199" i="3" l="1"/>
  <c r="S353" i="1" l="1"/>
  <c r="R214" i="3" s="1"/>
  <c r="O353" i="1"/>
  <c r="N214" i="3" s="1"/>
  <c r="S124" i="1" l="1"/>
  <c r="R86" i="3" s="1"/>
  <c r="O124" i="1"/>
  <c r="N86" i="3" s="1"/>
  <c r="O61" i="1" l="1"/>
  <c r="N271" i="3" s="1"/>
  <c r="N269" i="3" s="1"/>
  <c r="O57" i="1"/>
  <c r="N266" i="3" s="1"/>
  <c r="N264" i="3" s="1"/>
  <c r="N129" i="1"/>
  <c r="E129" i="1"/>
  <c r="D91" i="3" s="1"/>
  <c r="N128" i="1"/>
  <c r="AA128" i="1" s="1"/>
  <c r="E128" i="1"/>
  <c r="C128" i="1"/>
  <c r="D128" i="1"/>
  <c r="B128" i="1"/>
  <c r="S61" i="1"/>
  <c r="R271" i="3" s="1"/>
  <c r="R269" i="3" s="1"/>
  <c r="M91" i="3" l="1"/>
  <c r="Z91" i="3" s="1"/>
  <c r="AA129" i="1"/>
  <c r="M90" i="3"/>
  <c r="Z90" i="3" s="1"/>
  <c r="N262" i="3"/>
  <c r="T129" i="1"/>
  <c r="S91" i="3" s="1"/>
  <c r="T128" i="1"/>
  <c r="S90" i="3" s="1"/>
  <c r="P95" i="1" l="1"/>
  <c r="P94" i="1"/>
  <c r="O56" i="3" s="1"/>
  <c r="S350" i="1"/>
  <c r="R210" i="3" s="1"/>
  <c r="S57" i="1"/>
  <c r="R266" i="3" s="1"/>
  <c r="R264" i="3" s="1"/>
  <c r="R262" i="3" s="1"/>
  <c r="P74" i="1" l="1"/>
  <c r="P422" i="1" s="1"/>
  <c r="O57" i="3"/>
  <c r="O28" i="3" s="1"/>
  <c r="O300" i="3" s="1"/>
  <c r="C246" i="3"/>
  <c r="C198" i="3" s="1"/>
  <c r="D251" i="3"/>
  <c r="E337" i="1"/>
  <c r="D337" i="1"/>
  <c r="N361" i="1"/>
  <c r="M251" i="3" l="1"/>
  <c r="Z251" i="3" s="1"/>
  <c r="AA361" i="1"/>
  <c r="M246" i="3"/>
  <c r="Z246" i="3" s="1"/>
  <c r="D246" i="3"/>
  <c r="T361" i="1"/>
  <c r="N337" i="1"/>
  <c r="AA337" i="1" s="1"/>
  <c r="H20" i="1"/>
  <c r="O20" i="1"/>
  <c r="M198" i="3" l="1"/>
  <c r="Z198" i="3" s="1"/>
  <c r="O17" i="1"/>
  <c r="O16" i="1" s="1"/>
  <c r="T337" i="1"/>
  <c r="S251" i="3"/>
  <c r="S246" i="3" s="1"/>
  <c r="S198" i="3" s="1"/>
  <c r="D198" i="3"/>
  <c r="S401" i="1"/>
  <c r="O401" i="1"/>
  <c r="F399" i="1"/>
  <c r="F37" i="1"/>
  <c r="E170" i="3" s="1"/>
  <c r="F36" i="1"/>
  <c r="E169" i="3" s="1"/>
  <c r="F396" i="1" l="1"/>
  <c r="F395" i="1" s="1"/>
  <c r="E201" i="3"/>
  <c r="E200" i="3" s="1"/>
  <c r="O396" i="1"/>
  <c r="O395" i="1" s="1"/>
  <c r="N223" i="3"/>
  <c r="S396" i="1"/>
  <c r="S395" i="1" s="1"/>
  <c r="R223" i="3"/>
  <c r="E167" i="3"/>
  <c r="S301" i="1"/>
  <c r="O301" i="1"/>
  <c r="F301" i="1"/>
  <c r="F262" i="1" l="1"/>
  <c r="F261" i="1" s="1"/>
  <c r="E224" i="3"/>
  <c r="E202" i="3" s="1"/>
  <c r="O262" i="1"/>
  <c r="O261" i="1" s="1"/>
  <c r="N224" i="3"/>
  <c r="S262" i="1"/>
  <c r="S261" i="1" s="1"/>
  <c r="R224" i="3"/>
  <c r="F186" i="1"/>
  <c r="F153" i="1" l="1"/>
  <c r="F152" i="1" s="1"/>
  <c r="H57" i="1"/>
  <c r="H17" i="1" l="1"/>
  <c r="H16" i="1" s="1"/>
  <c r="G266" i="3"/>
  <c r="G264" i="3" s="1"/>
  <c r="G262" i="3" s="1"/>
  <c r="P83" i="1"/>
  <c r="P69" i="1" l="1"/>
  <c r="P68" i="1" s="1"/>
  <c r="O38" i="3"/>
  <c r="O23" i="3" s="1"/>
  <c r="O298" i="3" s="1"/>
  <c r="D84" i="1"/>
  <c r="F211" i="1"/>
  <c r="E132" i="3" s="1"/>
  <c r="F210" i="1"/>
  <c r="E131" i="3" s="1"/>
  <c r="F205" i="1"/>
  <c r="F204" i="1"/>
  <c r="E125" i="3" s="1"/>
  <c r="F197" i="1" l="1"/>
  <c r="F423" i="1" s="1"/>
  <c r="E126" i="3"/>
  <c r="E120" i="3" s="1"/>
  <c r="E301" i="3" s="1"/>
  <c r="S255" i="1"/>
  <c r="O255" i="1"/>
  <c r="O251" i="1" l="1"/>
  <c r="O250" i="1" s="1"/>
  <c r="N164" i="3"/>
  <c r="N162" i="3" s="1"/>
  <c r="S251" i="1"/>
  <c r="S250" i="1" s="1"/>
  <c r="R164" i="3"/>
  <c r="R162" i="3" s="1"/>
  <c r="C121" i="3"/>
  <c r="N215" i="1"/>
  <c r="M141" i="3" s="1"/>
  <c r="E215" i="1"/>
  <c r="M215" i="1" s="1"/>
  <c r="M121" i="3" l="1"/>
  <c r="N198" i="1"/>
  <c r="T215" i="1"/>
  <c r="D141" i="3"/>
  <c r="L141" i="3" s="1"/>
  <c r="E198" i="1"/>
  <c r="M198" i="1" s="1"/>
  <c r="T198" i="1" l="1"/>
  <c r="S141" i="3"/>
  <c r="S121" i="3" s="1"/>
  <c r="D121" i="3"/>
  <c r="L121" i="3" s="1"/>
  <c r="S354" i="1"/>
  <c r="O354" i="1"/>
  <c r="S99" i="1"/>
  <c r="R61" i="3" s="1"/>
  <c r="O99" i="1"/>
  <c r="N61" i="3" s="1"/>
  <c r="S82" i="1"/>
  <c r="R36" i="3" s="1"/>
  <c r="R23" i="3" s="1"/>
  <c r="O82" i="1"/>
  <c r="N36" i="3" s="1"/>
  <c r="N23" i="3" s="1"/>
  <c r="S20" i="1"/>
  <c r="S17" i="1" l="1"/>
  <c r="S16" i="1" s="1"/>
  <c r="O333" i="1"/>
  <c r="O332" i="1" s="1"/>
  <c r="N215" i="3"/>
  <c r="S333" i="1"/>
  <c r="S332" i="1" s="1"/>
  <c r="R215" i="3"/>
  <c r="S141" i="1"/>
  <c r="R249" i="3" s="1"/>
  <c r="O141" i="1"/>
  <c r="S69" i="1" l="1"/>
  <c r="S68" i="1" s="1"/>
  <c r="O69" i="1"/>
  <c r="O68" i="1" s="1"/>
  <c r="O186" i="1"/>
  <c r="O153" i="1" s="1"/>
  <c r="O152" i="1" s="1"/>
  <c r="N249" i="3" l="1"/>
  <c r="F232" i="1"/>
  <c r="E158" i="3" s="1"/>
  <c r="G232" i="1" l="1"/>
  <c r="H232" i="1"/>
  <c r="H194" i="1" l="1"/>
  <c r="H193" i="1" s="1"/>
  <c r="G158" i="3"/>
  <c r="G117" i="3" s="1"/>
  <c r="G194" i="1"/>
  <c r="G193" i="1" s="1"/>
  <c r="F158" i="3"/>
  <c r="F117" i="3" s="1"/>
  <c r="N308" i="1"/>
  <c r="AA308" i="1" s="1"/>
  <c r="E308" i="1"/>
  <c r="N307" i="1"/>
  <c r="AA307" i="1" s="1"/>
  <c r="E307" i="1"/>
  <c r="N139" i="1"/>
  <c r="AA139" i="1" s="1"/>
  <c r="E139" i="1"/>
  <c r="N138" i="1"/>
  <c r="AA138" i="1" s="1"/>
  <c r="E138" i="1"/>
  <c r="M227" i="3" l="1"/>
  <c r="Z227" i="3" s="1"/>
  <c r="M228" i="3"/>
  <c r="Z228" i="3" s="1"/>
  <c r="T139" i="1"/>
  <c r="T80" i="1" s="1"/>
  <c r="N80" i="1"/>
  <c r="AA80" i="1" s="1"/>
  <c r="E271" i="1"/>
  <c r="N271" i="1"/>
  <c r="AA271" i="1" s="1"/>
  <c r="T138" i="1"/>
  <c r="D227" i="3"/>
  <c r="D228" i="3"/>
  <c r="E80" i="1"/>
  <c r="T307" i="1"/>
  <c r="T308" i="1"/>
  <c r="T271" i="1" l="1"/>
  <c r="S228" i="3"/>
  <c r="S205" i="3" s="1"/>
  <c r="S195" i="3" s="1"/>
  <c r="S227" i="3"/>
  <c r="M205" i="3"/>
  <c r="Z205" i="3" s="1"/>
  <c r="D205" i="3"/>
  <c r="D58" i="1"/>
  <c r="D195" i="3" l="1"/>
  <c r="M195" i="3"/>
  <c r="Z195" i="3" s="1"/>
  <c r="F29" i="1"/>
  <c r="E138" i="3" s="1"/>
  <c r="I281" i="1"/>
  <c r="H184" i="3" s="1"/>
  <c r="H176" i="3" s="1"/>
  <c r="D286" i="1" l="1"/>
  <c r="E212" i="1" l="1"/>
  <c r="M212" i="1" s="1"/>
  <c r="F100" i="1" l="1"/>
  <c r="E63" i="3" s="1"/>
  <c r="G100" i="1"/>
  <c r="F63" i="3" s="1"/>
  <c r="G108" i="1"/>
  <c r="F108" i="1"/>
  <c r="E71" i="3" s="1"/>
  <c r="H83" i="1"/>
  <c r="G38" i="3" s="1"/>
  <c r="H82" i="1"/>
  <c r="I378" i="1"/>
  <c r="I376" i="1" s="1"/>
  <c r="I375" i="1" s="1"/>
  <c r="F378" i="1"/>
  <c r="F376" i="1" s="1"/>
  <c r="F375" i="1" s="1"/>
  <c r="H69" i="1" l="1"/>
  <c r="H68" i="1" s="1"/>
  <c r="G36" i="3"/>
  <c r="G23" i="3" s="1"/>
  <c r="G69" i="1"/>
  <c r="G68" i="1" s="1"/>
  <c r="F71" i="3"/>
  <c r="F23" i="3" s="1"/>
  <c r="N253" i="1"/>
  <c r="AA253" i="1" s="1"/>
  <c r="M62" i="3" l="1"/>
  <c r="Z62" i="3" s="1"/>
  <c r="N100" i="1"/>
  <c r="M63" i="3" l="1"/>
  <c r="I309" i="1"/>
  <c r="I262" i="1" l="1"/>
  <c r="I261" i="1" s="1"/>
  <c r="H249" i="3"/>
  <c r="N419" i="1"/>
  <c r="AA419" i="1" s="1"/>
  <c r="N418" i="1" l="1"/>
  <c r="AA418" i="1" s="1"/>
  <c r="F255" i="1"/>
  <c r="E164" i="3" s="1"/>
  <c r="N417" i="1" l="1"/>
  <c r="AA417" i="1" s="1"/>
  <c r="E377" i="1"/>
  <c r="M377" i="1" s="1"/>
  <c r="E20" i="1"/>
  <c r="M20" i="1" s="1"/>
  <c r="N254" i="1" l="1"/>
  <c r="AA254" i="1" s="1"/>
  <c r="M163" i="3" l="1"/>
  <c r="Z163" i="3" s="1"/>
  <c r="N27" i="1"/>
  <c r="AA27" i="1" s="1"/>
  <c r="M136" i="3" l="1"/>
  <c r="Z136" i="3" s="1"/>
  <c r="E282" i="1"/>
  <c r="M282" i="1" s="1"/>
  <c r="E283" i="1"/>
  <c r="M283" i="1" s="1"/>
  <c r="E284" i="1"/>
  <c r="M284" i="1" s="1"/>
  <c r="D185" i="3" l="1"/>
  <c r="L185" i="3" s="1"/>
  <c r="F130" i="1"/>
  <c r="F69" i="1" l="1"/>
  <c r="F68" i="1" s="1"/>
  <c r="E139" i="3"/>
  <c r="F207" i="1"/>
  <c r="E128" i="3" s="1"/>
  <c r="F28" i="1"/>
  <c r="E137" i="3" s="1"/>
  <c r="F206" i="1" l="1"/>
  <c r="F54" i="1"/>
  <c r="E257" i="3" s="1"/>
  <c r="F257" i="1"/>
  <c r="E166" i="3" s="1"/>
  <c r="E162" i="3" s="1"/>
  <c r="F410" i="1"/>
  <c r="F56" i="1"/>
  <c r="E259" i="3" s="1"/>
  <c r="F49" i="1"/>
  <c r="I47" i="1"/>
  <c r="H235" i="3" s="1"/>
  <c r="I45" i="1"/>
  <c r="I17" i="1" l="1"/>
  <c r="I16" i="1" s="1"/>
  <c r="H233" i="3"/>
  <c r="H229" i="3" s="1"/>
  <c r="F17" i="1"/>
  <c r="F16" i="1" s="1"/>
  <c r="E238" i="3"/>
  <c r="E229" i="3" s="1"/>
  <c r="F194" i="1"/>
  <c r="F193" i="1" s="1"/>
  <c r="E127" i="3"/>
  <c r="G255" i="1"/>
  <c r="G251" i="1" l="1"/>
  <c r="G250" i="1" s="1"/>
  <c r="F164" i="3"/>
  <c r="F162" i="3" s="1"/>
  <c r="N290" i="1"/>
  <c r="AA290" i="1" s="1"/>
  <c r="N291" i="1"/>
  <c r="AA291" i="1" s="1"/>
  <c r="N292" i="1"/>
  <c r="AA292" i="1" s="1"/>
  <c r="N293" i="1"/>
  <c r="AA293" i="1" s="1"/>
  <c r="N294" i="1"/>
  <c r="AA294" i="1" s="1"/>
  <c r="N295" i="1"/>
  <c r="N296" i="1"/>
  <c r="AA296" i="1" s="1"/>
  <c r="N297" i="1"/>
  <c r="N298" i="1"/>
  <c r="AA298" i="1" s="1"/>
  <c r="N299" i="1"/>
  <c r="AA299" i="1" s="1"/>
  <c r="N300" i="1"/>
  <c r="AA300" i="1" s="1"/>
  <c r="N301" i="1"/>
  <c r="AA301" i="1" s="1"/>
  <c r="E290" i="1"/>
  <c r="M290" i="1" s="1"/>
  <c r="E291" i="1"/>
  <c r="M291" i="1" s="1"/>
  <c r="E292" i="1"/>
  <c r="M292" i="1" s="1"/>
  <c r="E293" i="1"/>
  <c r="M293" i="1" s="1"/>
  <c r="E294" i="1"/>
  <c r="M294" i="1" s="1"/>
  <c r="E295" i="1"/>
  <c r="M295" i="1" s="1"/>
  <c r="E296" i="1"/>
  <c r="M296" i="1" s="1"/>
  <c r="E297" i="1"/>
  <c r="M297" i="1" s="1"/>
  <c r="E298" i="1"/>
  <c r="M298" i="1" s="1"/>
  <c r="E299" i="1"/>
  <c r="M299" i="1" s="1"/>
  <c r="E300" i="1"/>
  <c r="M300" i="1" s="1"/>
  <c r="E301" i="1"/>
  <c r="M301" i="1" s="1"/>
  <c r="M222" i="3" l="1"/>
  <c r="Z222" i="3" s="1"/>
  <c r="AA295" i="1"/>
  <c r="M237" i="3"/>
  <c r="AA297" i="1"/>
  <c r="M218" i="3"/>
  <c r="Z218" i="3" s="1"/>
  <c r="M221" i="3"/>
  <c r="Z221" i="3" s="1"/>
  <c r="M224" i="3"/>
  <c r="Z224" i="3" s="1"/>
  <c r="N265" i="1"/>
  <c r="AA265" i="1" s="1"/>
  <c r="N264" i="1"/>
  <c r="AA264" i="1" s="1"/>
  <c r="N267" i="1"/>
  <c r="AA267" i="1" s="1"/>
  <c r="T301" i="1"/>
  <c r="S224" i="3" s="1"/>
  <c r="T297" i="1"/>
  <c r="T293" i="1"/>
  <c r="T265" i="1" s="1"/>
  <c r="D224" i="3"/>
  <c r="L224" i="3" s="1"/>
  <c r="T294" i="1"/>
  <c r="S221" i="3" s="1"/>
  <c r="T300" i="1"/>
  <c r="T292" i="1"/>
  <c r="T298" i="1"/>
  <c r="T290" i="1"/>
  <c r="T296" i="1"/>
  <c r="T299" i="1"/>
  <c r="T291" i="1"/>
  <c r="S218" i="3" s="1"/>
  <c r="T295" i="1"/>
  <c r="T267" i="1" l="1"/>
  <c r="S222" i="3"/>
  <c r="T264" i="1"/>
  <c r="S237" i="3"/>
  <c r="F409" i="1"/>
  <c r="F407" i="1" l="1"/>
  <c r="F406" i="1" s="1"/>
  <c r="E249" i="3"/>
  <c r="F253" i="1"/>
  <c r="F251" i="1" l="1"/>
  <c r="F250" i="1" s="1"/>
  <c r="E62" i="3"/>
  <c r="E23" i="3" s="1"/>
  <c r="N50" i="1"/>
  <c r="AA50" i="1" s="1"/>
  <c r="M243" i="3" l="1"/>
  <c r="Z243" i="3" s="1"/>
  <c r="H281" i="1"/>
  <c r="E42" i="1"/>
  <c r="M42" i="1" s="1"/>
  <c r="E43" i="1"/>
  <c r="M43" i="1" s="1"/>
  <c r="E44" i="1"/>
  <c r="M44" i="1" s="1"/>
  <c r="E45" i="1"/>
  <c r="M45" i="1" s="1"/>
  <c r="H262" i="1" l="1"/>
  <c r="H261" i="1" s="1"/>
  <c r="G184" i="3"/>
  <c r="G176" i="3" s="1"/>
  <c r="M242" i="3"/>
  <c r="Z242" i="3" s="1"/>
  <c r="D233" i="3"/>
  <c r="L233" i="3" s="1"/>
  <c r="F246" i="1"/>
  <c r="F242" i="1" l="1"/>
  <c r="F241" i="1" s="1"/>
  <c r="E135" i="3"/>
  <c r="E117" i="3" s="1"/>
  <c r="E280" i="1"/>
  <c r="M280" i="1" s="1"/>
  <c r="N130" i="1" l="1"/>
  <c r="AA130" i="1" s="1"/>
  <c r="E130" i="1"/>
  <c r="M130" i="1" s="1"/>
  <c r="T130" i="1" l="1"/>
  <c r="E410" i="1"/>
  <c r="M410" i="1" s="1"/>
  <c r="E419" i="1"/>
  <c r="M419" i="1" s="1"/>
  <c r="T419" i="1" l="1"/>
  <c r="T418" i="1" s="1"/>
  <c r="T417" i="1" s="1"/>
  <c r="E418" i="1"/>
  <c r="M418" i="1" s="1"/>
  <c r="E417" i="1" l="1"/>
  <c r="M417" i="1" s="1"/>
  <c r="E82" i="1"/>
  <c r="M82" i="1" s="1"/>
  <c r="E83" i="1"/>
  <c r="M83" i="1" s="1"/>
  <c r="E84" i="1"/>
  <c r="E85" i="1"/>
  <c r="M85" i="1" s="1"/>
  <c r="E86" i="1"/>
  <c r="M86" i="1" s="1"/>
  <c r="E87" i="1"/>
  <c r="M87" i="1" s="1"/>
  <c r="E88" i="1"/>
  <c r="M88" i="1" s="1"/>
  <c r="E89" i="1"/>
  <c r="E90" i="1"/>
  <c r="M90" i="1" s="1"/>
  <c r="E91" i="1"/>
  <c r="M91" i="1" s="1"/>
  <c r="E92" i="1"/>
  <c r="M92" i="1" s="1"/>
  <c r="E93" i="1"/>
  <c r="M93" i="1" s="1"/>
  <c r="E94" i="1"/>
  <c r="M94" i="1" s="1"/>
  <c r="E95" i="1"/>
  <c r="M95" i="1" s="1"/>
  <c r="E96" i="1"/>
  <c r="M96" i="1" s="1"/>
  <c r="E97" i="1"/>
  <c r="M97" i="1" s="1"/>
  <c r="E98" i="1"/>
  <c r="M98" i="1" s="1"/>
  <c r="E99" i="1"/>
  <c r="M99" i="1" s="1"/>
  <c r="E100" i="1"/>
  <c r="M100" i="1" s="1"/>
  <c r="E101" i="1"/>
  <c r="M101" i="1" s="1"/>
  <c r="E102" i="1"/>
  <c r="M102" i="1" s="1"/>
  <c r="E103" i="1"/>
  <c r="M103" i="1" s="1"/>
  <c r="E104" i="1"/>
  <c r="M104" i="1" s="1"/>
  <c r="E105" i="1"/>
  <c r="M105" i="1" s="1"/>
  <c r="E106" i="1"/>
  <c r="M106" i="1" s="1"/>
  <c r="E107" i="1"/>
  <c r="M107" i="1" s="1"/>
  <c r="E108" i="1"/>
  <c r="M108" i="1" s="1"/>
  <c r="E109" i="1"/>
  <c r="M109" i="1" s="1"/>
  <c r="E110" i="1"/>
  <c r="M110" i="1" s="1"/>
  <c r="E111" i="1"/>
  <c r="M111" i="1" s="1"/>
  <c r="E112" i="1"/>
  <c r="M112" i="1" s="1"/>
  <c r="E113" i="1"/>
  <c r="M113" i="1" s="1"/>
  <c r="E114" i="1"/>
  <c r="M114" i="1" s="1"/>
  <c r="E115" i="1"/>
  <c r="M115" i="1" s="1"/>
  <c r="E116" i="1"/>
  <c r="M116" i="1" s="1"/>
  <c r="E117" i="1"/>
  <c r="M117" i="1" s="1"/>
  <c r="E118" i="1"/>
  <c r="M118" i="1" s="1"/>
  <c r="E119" i="1"/>
  <c r="M119" i="1" s="1"/>
  <c r="E120" i="1"/>
  <c r="M120" i="1" s="1"/>
  <c r="E124" i="1"/>
  <c r="E125" i="1"/>
  <c r="E126" i="1"/>
  <c r="E131" i="1"/>
  <c r="M131" i="1" s="1"/>
  <c r="E132" i="1"/>
  <c r="M132" i="1" s="1"/>
  <c r="E133" i="1"/>
  <c r="M133" i="1" s="1"/>
  <c r="E134" i="1"/>
  <c r="M134" i="1" s="1"/>
  <c r="E135" i="1"/>
  <c r="M135" i="1" s="1"/>
  <c r="E136" i="1"/>
  <c r="M136" i="1" s="1"/>
  <c r="E137" i="1"/>
  <c r="M137" i="1" s="1"/>
  <c r="E140" i="1"/>
  <c r="M140" i="1" s="1"/>
  <c r="E141" i="1"/>
  <c r="M141" i="1" s="1"/>
  <c r="E142" i="1"/>
  <c r="M142" i="1" s="1"/>
  <c r="E143" i="1"/>
  <c r="M143" i="1" s="1"/>
  <c r="E144" i="1"/>
  <c r="M144" i="1" s="1"/>
  <c r="E145" i="1"/>
  <c r="M145" i="1" s="1"/>
  <c r="E146" i="1"/>
  <c r="M146" i="1" s="1"/>
  <c r="E147" i="1"/>
  <c r="E81" i="1"/>
  <c r="M81" i="1" s="1"/>
  <c r="E73" i="1" l="1"/>
  <c r="M73" i="1" s="1"/>
  <c r="M89" i="1"/>
  <c r="E71" i="1"/>
  <c r="M71" i="1" s="1"/>
  <c r="D39" i="3"/>
  <c r="E74" i="1"/>
  <c r="E75" i="1"/>
  <c r="M75" i="1" s="1"/>
  <c r="E76" i="1"/>
  <c r="M76" i="1" s="1"/>
  <c r="D57" i="3"/>
  <c r="L57" i="3" s="1"/>
  <c r="D28" i="3" l="1"/>
  <c r="D34" i="3"/>
  <c r="E252" i="1"/>
  <c r="M252" i="1" s="1"/>
  <c r="E253" i="1"/>
  <c r="M253" i="1" s="1"/>
  <c r="E254" i="1"/>
  <c r="M254" i="1" s="1"/>
  <c r="E255" i="1"/>
  <c r="M255" i="1" s="1"/>
  <c r="E256" i="1"/>
  <c r="M256" i="1" s="1"/>
  <c r="E257" i="1"/>
  <c r="M257" i="1" s="1"/>
  <c r="D305" i="1" l="1"/>
  <c r="C305" i="1"/>
  <c r="B305" i="1"/>
  <c r="B304" i="1"/>
  <c r="N306" i="1" l="1"/>
  <c r="E305" i="1"/>
  <c r="M305" i="1" s="1"/>
  <c r="E306" i="1"/>
  <c r="M306" i="1" s="1"/>
  <c r="M241" i="3" l="1"/>
  <c r="Z241" i="3" s="1"/>
  <c r="AA306" i="1"/>
  <c r="M230" i="3"/>
  <c r="Z230" i="3" s="1"/>
  <c r="N263" i="1"/>
  <c r="AA263" i="1" s="1"/>
  <c r="D241" i="3"/>
  <c r="L241" i="3" s="1"/>
  <c r="T306" i="1"/>
  <c r="S241" i="3" s="1"/>
  <c r="S230" i="3" s="1"/>
  <c r="E263" i="1"/>
  <c r="M263" i="1" s="1"/>
  <c r="T263" i="1" l="1"/>
  <c r="E304" i="1"/>
  <c r="M304" i="1" s="1"/>
  <c r="N304" i="1"/>
  <c r="AA304" i="1" s="1"/>
  <c r="E303" i="1"/>
  <c r="M303" i="1" s="1"/>
  <c r="C304" i="1"/>
  <c r="D304" i="1"/>
  <c r="M239" i="3" l="1"/>
  <c r="Z239" i="3" s="1"/>
  <c r="D239" i="3"/>
  <c r="L239" i="3" s="1"/>
  <c r="T304" i="1"/>
  <c r="S239" i="3" s="1"/>
  <c r="N141" i="1" l="1"/>
  <c r="AA141" i="1" s="1"/>
  <c r="D230" i="1" l="1"/>
  <c r="D228" i="1"/>
  <c r="D226" i="1"/>
  <c r="N346" i="1" l="1"/>
  <c r="AA346" i="1" s="1"/>
  <c r="N340" i="1"/>
  <c r="AA340" i="1" s="1"/>
  <c r="N341" i="1"/>
  <c r="AA341" i="1" s="1"/>
  <c r="N342" i="1"/>
  <c r="AA342" i="1" s="1"/>
  <c r="N343" i="1"/>
  <c r="AA343" i="1" s="1"/>
  <c r="N344" i="1"/>
  <c r="AA344" i="1" s="1"/>
  <c r="N345" i="1"/>
  <c r="AA345" i="1" s="1"/>
  <c r="E340" i="1"/>
  <c r="E341" i="1"/>
  <c r="E342" i="1"/>
  <c r="E343" i="1"/>
  <c r="E344" i="1"/>
  <c r="E345" i="1"/>
  <c r="E346" i="1"/>
  <c r="E347" i="1"/>
  <c r="N335" i="1" l="1"/>
  <c r="AA335" i="1" s="1"/>
  <c r="D88" i="3"/>
  <c r="E335" i="1"/>
  <c r="D87" i="3"/>
  <c r="D86" i="3"/>
  <c r="T340" i="1"/>
  <c r="T343" i="1"/>
  <c r="T342" i="1"/>
  <c r="T341" i="1"/>
  <c r="T344" i="1"/>
  <c r="T346" i="1"/>
  <c r="T335" i="1" s="1"/>
  <c r="T345" i="1"/>
  <c r="D35" i="3" l="1"/>
  <c r="N117" i="1"/>
  <c r="M80" i="3" s="1"/>
  <c r="N118" i="1"/>
  <c r="N119" i="1"/>
  <c r="M82" i="3" s="1"/>
  <c r="N120" i="1"/>
  <c r="N124" i="1"/>
  <c r="AA124" i="1" s="1"/>
  <c r="N125" i="1"/>
  <c r="N126" i="1"/>
  <c r="N131" i="1"/>
  <c r="M88" i="3" l="1"/>
  <c r="Z88" i="3" s="1"/>
  <c r="M31" i="3"/>
  <c r="M87" i="3"/>
  <c r="Z87" i="3" s="1"/>
  <c r="M86" i="3"/>
  <c r="Z86" i="3" s="1"/>
  <c r="M81" i="3"/>
  <c r="M29" i="3"/>
  <c r="N76" i="1"/>
  <c r="N75" i="1"/>
  <c r="T124" i="1"/>
  <c r="S86" i="3" s="1"/>
  <c r="T126" i="1"/>
  <c r="S88" i="3" s="1"/>
  <c r="S35" i="3" s="1"/>
  <c r="T125" i="1"/>
  <c r="S87" i="3" s="1"/>
  <c r="M35" i="3" l="1"/>
  <c r="Z35" i="3" s="1"/>
  <c r="C194" i="3"/>
  <c r="D226" i="3"/>
  <c r="L226" i="3" s="1"/>
  <c r="N303" i="1"/>
  <c r="AA303" i="1" s="1"/>
  <c r="D303" i="1"/>
  <c r="D270" i="1" s="1"/>
  <c r="D302" i="1"/>
  <c r="N302" i="1"/>
  <c r="E302" i="1"/>
  <c r="M302" i="1" s="1"/>
  <c r="M225" i="3" l="1"/>
  <c r="Z225" i="3" s="1"/>
  <c r="AA302" i="1"/>
  <c r="M226" i="3"/>
  <c r="Z226" i="3" s="1"/>
  <c r="D194" i="3"/>
  <c r="L194" i="3" s="1"/>
  <c r="N270" i="1"/>
  <c r="AA270" i="1" s="1"/>
  <c r="D225" i="3"/>
  <c r="L225" i="3" s="1"/>
  <c r="T303" i="1"/>
  <c r="S226" i="3" s="1"/>
  <c r="S194" i="3" s="1"/>
  <c r="E270" i="1"/>
  <c r="M270" i="1" s="1"/>
  <c r="T302" i="1"/>
  <c r="T270" i="1" l="1"/>
  <c r="S225" i="3"/>
  <c r="M194" i="3"/>
  <c r="Z194" i="3" s="1"/>
  <c r="C193" i="3"/>
  <c r="C207" i="3" l="1"/>
  <c r="E286" i="1"/>
  <c r="E287" i="1"/>
  <c r="N287" i="1"/>
  <c r="M207" i="3" l="1"/>
  <c r="Z207" i="3" s="1"/>
  <c r="AA287" i="1"/>
  <c r="N269" i="1"/>
  <c r="AA269" i="1" s="1"/>
  <c r="D207" i="3"/>
  <c r="T287" i="1"/>
  <c r="E269" i="1"/>
  <c r="M269" i="1" s="1"/>
  <c r="T269" i="1" l="1"/>
  <c r="S193" i="3" s="1"/>
  <c r="S207" i="3"/>
  <c r="M193" i="3"/>
  <c r="Z193" i="3" s="1"/>
  <c r="D193" i="3"/>
  <c r="L193" i="3" s="1"/>
  <c r="N145" i="1" l="1"/>
  <c r="AA145" i="1" s="1"/>
  <c r="N144" i="1"/>
  <c r="AA144" i="1" s="1"/>
  <c r="C144" i="1"/>
  <c r="D144" i="1"/>
  <c r="B144" i="1"/>
  <c r="T145" i="1" l="1"/>
  <c r="T144" i="1"/>
  <c r="N289" i="1" l="1"/>
  <c r="AA289" i="1" s="1"/>
  <c r="N142" i="1" l="1"/>
  <c r="AA142" i="1" s="1"/>
  <c r="N143" i="1"/>
  <c r="AA143" i="1" s="1"/>
  <c r="N146" i="1"/>
  <c r="D146" i="1"/>
  <c r="C146" i="1"/>
  <c r="T146" i="1" l="1"/>
  <c r="N310" i="1"/>
  <c r="AA310" i="1" s="1"/>
  <c r="N288" i="1"/>
  <c r="AA288" i="1" s="1"/>
  <c r="N316" i="1" l="1"/>
  <c r="AA316" i="1" s="1"/>
  <c r="E316" i="1"/>
  <c r="M316" i="1" s="1"/>
  <c r="E310" i="1"/>
  <c r="N282" i="1"/>
  <c r="AA282" i="1" s="1"/>
  <c r="N283" i="1"/>
  <c r="AA283" i="1" s="1"/>
  <c r="N284" i="1"/>
  <c r="AA284" i="1" s="1"/>
  <c r="T143" i="1"/>
  <c r="C143" i="1"/>
  <c r="D143" i="1"/>
  <c r="B143" i="1"/>
  <c r="M185" i="3" l="1"/>
  <c r="Z185" i="3" s="1"/>
  <c r="M273" i="3"/>
  <c r="Z273" i="3" s="1"/>
  <c r="N266" i="1"/>
  <c r="AA266" i="1" s="1"/>
  <c r="D273" i="3"/>
  <c r="L273" i="3" s="1"/>
  <c r="T310" i="1"/>
  <c r="T283" i="1"/>
  <c r="T282" i="1"/>
  <c r="T266" i="1" s="1"/>
  <c r="T284" i="1"/>
  <c r="S185" i="3" s="1"/>
  <c r="T316" i="1"/>
  <c r="S273" i="3" s="1"/>
  <c r="T142" i="1"/>
  <c r="E67" i="1"/>
  <c r="M67" i="1" s="1"/>
  <c r="E315" i="1"/>
  <c r="M315" i="1" s="1"/>
  <c r="N313" i="1" l="1"/>
  <c r="AA313" i="1" s="1"/>
  <c r="N315" i="1"/>
  <c r="N314" i="1"/>
  <c r="AA314" i="1" s="1"/>
  <c r="E317" i="1"/>
  <c r="E318" i="1"/>
  <c r="M318" i="1" s="1"/>
  <c r="E319" i="1"/>
  <c r="M319" i="1" s="1"/>
  <c r="E320" i="1"/>
  <c r="M320" i="1" s="1"/>
  <c r="E321" i="1"/>
  <c r="M321" i="1" s="1"/>
  <c r="E322" i="1"/>
  <c r="M322" i="1" s="1"/>
  <c r="E314" i="1"/>
  <c r="M314" i="1" s="1"/>
  <c r="D315" i="1"/>
  <c r="C315" i="1"/>
  <c r="T315" i="1" l="1"/>
  <c r="T314" i="1"/>
  <c r="C378" i="1"/>
  <c r="D378" i="1"/>
  <c r="B378" i="1"/>
  <c r="C377" i="1"/>
  <c r="D377" i="1"/>
  <c r="B377" i="1"/>
  <c r="I331" i="1"/>
  <c r="H248" i="3" s="1"/>
  <c r="H244" i="3" s="1"/>
  <c r="H190" i="3" s="1"/>
  <c r="H298" i="3" s="1"/>
  <c r="F331" i="1"/>
  <c r="E248" i="3" s="1"/>
  <c r="E244" i="3" s="1"/>
  <c r="E190" i="3" s="1"/>
  <c r="H330" i="1"/>
  <c r="G330" i="1"/>
  <c r="F330" i="1"/>
  <c r="S378" i="1"/>
  <c r="O378" i="1"/>
  <c r="E378" i="1"/>
  <c r="M378" i="1" s="1"/>
  <c r="S377" i="1"/>
  <c r="S376" i="1" s="1"/>
  <c r="S375" i="1" s="1"/>
  <c r="O377" i="1"/>
  <c r="O376" i="1" s="1"/>
  <c r="O375" i="1" s="1"/>
  <c r="N377" i="1" l="1"/>
  <c r="N378" i="1"/>
  <c r="E376" i="1"/>
  <c r="M376" i="1" s="1"/>
  <c r="E375" i="1" l="1"/>
  <c r="M375" i="1" s="1"/>
  <c r="N376" i="1"/>
  <c r="T377" i="1"/>
  <c r="T378" i="1"/>
  <c r="E164" i="1"/>
  <c r="M164" i="1" s="1"/>
  <c r="T376" i="1" l="1"/>
  <c r="T375" i="1" s="1"/>
  <c r="N375" i="1"/>
  <c r="E416" i="1"/>
  <c r="M416" i="1" s="1"/>
  <c r="H381" i="1" l="1"/>
  <c r="G18" i="3" s="1"/>
  <c r="G16" i="3" s="1"/>
  <c r="G298" i="3" s="1"/>
  <c r="G381" i="1"/>
  <c r="F18" i="3" s="1"/>
  <c r="F16" i="3" s="1"/>
  <c r="F298" i="3" s="1"/>
  <c r="F381" i="1"/>
  <c r="E18" i="3" s="1"/>
  <c r="E16" i="3" s="1"/>
  <c r="E298" i="3" s="1"/>
  <c r="D87" i="1" l="1"/>
  <c r="D189" i="1" l="1"/>
  <c r="D164" i="1"/>
  <c r="D83" i="1"/>
  <c r="D53" i="1"/>
  <c r="E190" i="1" l="1"/>
  <c r="M190" i="1" s="1"/>
  <c r="D261" i="3" l="1"/>
  <c r="L261" i="3" s="1"/>
  <c r="N190" i="1"/>
  <c r="AA190" i="1" s="1"/>
  <c r="M261" i="3" l="1"/>
  <c r="Z261" i="3" s="1"/>
  <c r="D199" i="3"/>
  <c r="L199" i="3" s="1"/>
  <c r="T190" i="1"/>
  <c r="S261" i="3" s="1"/>
  <c r="S199" i="3" s="1"/>
  <c r="M199" i="3" l="1"/>
  <c r="Z199" i="3" s="1"/>
  <c r="C331" i="1"/>
  <c r="D331" i="1"/>
  <c r="B331" i="1"/>
  <c r="F329" i="1"/>
  <c r="G329" i="1"/>
  <c r="H329" i="1"/>
  <c r="I329" i="1"/>
  <c r="P329" i="1"/>
  <c r="Q329" i="1"/>
  <c r="R329" i="1"/>
  <c r="S331" i="1"/>
  <c r="O331" i="1"/>
  <c r="N248" i="3" s="1"/>
  <c r="N244" i="3" s="1"/>
  <c r="E331" i="1"/>
  <c r="M331" i="1" s="1"/>
  <c r="N331" i="1" l="1"/>
  <c r="AA331" i="1" s="1"/>
  <c r="R248" i="3"/>
  <c r="R244" i="3" s="1"/>
  <c r="T331" i="1"/>
  <c r="N317" i="1" l="1"/>
  <c r="AA317" i="1" s="1"/>
  <c r="C52" i="1" l="1"/>
  <c r="B52" i="1"/>
  <c r="N52" i="1" l="1"/>
  <c r="AA52" i="1" s="1"/>
  <c r="E52" i="1"/>
  <c r="E408" i="1"/>
  <c r="M408" i="1" s="1"/>
  <c r="T52" i="1" l="1"/>
  <c r="N411" i="1" l="1"/>
  <c r="E411" i="1"/>
  <c r="M411" i="1" s="1"/>
  <c r="T411" i="1" l="1"/>
  <c r="C402" i="1" l="1"/>
  <c r="D402" i="1"/>
  <c r="C403" i="1"/>
  <c r="D403" i="1"/>
  <c r="C404" i="1"/>
  <c r="D404" i="1"/>
  <c r="C405" i="1"/>
  <c r="D405" i="1"/>
  <c r="B405" i="1"/>
  <c r="B404" i="1"/>
  <c r="B403" i="1"/>
  <c r="B402" i="1"/>
  <c r="C401" i="1"/>
  <c r="D401" i="1"/>
  <c r="B401" i="1"/>
  <c r="C400" i="1"/>
  <c r="D400" i="1"/>
  <c r="B400" i="1"/>
  <c r="C399" i="1"/>
  <c r="D399" i="1"/>
  <c r="B399" i="1"/>
  <c r="C398" i="1"/>
  <c r="D398" i="1"/>
  <c r="B398" i="1"/>
  <c r="E405" i="1"/>
  <c r="M405" i="1" s="1"/>
  <c r="N404" i="1"/>
  <c r="AA404" i="1" s="1"/>
  <c r="E404" i="1"/>
  <c r="N403" i="1"/>
  <c r="AA403" i="1" s="1"/>
  <c r="E403" i="1"/>
  <c r="E402" i="1"/>
  <c r="M402" i="1" s="1"/>
  <c r="E401" i="1"/>
  <c r="M401" i="1" s="1"/>
  <c r="N400" i="1"/>
  <c r="AA400" i="1" s="1"/>
  <c r="E400" i="1"/>
  <c r="M400" i="1" s="1"/>
  <c r="N399" i="1"/>
  <c r="E399" i="1"/>
  <c r="M399" i="1" s="1"/>
  <c r="N398" i="1"/>
  <c r="E398" i="1"/>
  <c r="M398" i="1" s="1"/>
  <c r="C394" i="1"/>
  <c r="B394" i="1"/>
  <c r="C393" i="1"/>
  <c r="B393" i="1"/>
  <c r="C392" i="1"/>
  <c r="B392" i="1"/>
  <c r="C391" i="1"/>
  <c r="B391" i="1"/>
  <c r="C390" i="1"/>
  <c r="B390" i="1"/>
  <c r="C397" i="1"/>
  <c r="B397" i="1"/>
  <c r="C389" i="1"/>
  <c r="B389" i="1"/>
  <c r="C330" i="1"/>
  <c r="B330" i="1"/>
  <c r="D394" i="1"/>
  <c r="D393" i="1"/>
  <c r="D392" i="1"/>
  <c r="D391" i="1"/>
  <c r="D390" i="1"/>
  <c r="D389" i="1"/>
  <c r="D397" i="1"/>
  <c r="E397" i="1"/>
  <c r="M397" i="1" s="1"/>
  <c r="N394" i="1"/>
  <c r="E394" i="1"/>
  <c r="M394" i="1" s="1"/>
  <c r="N393" i="1"/>
  <c r="E393" i="1"/>
  <c r="M393" i="1" s="1"/>
  <c r="N392" i="1"/>
  <c r="E392" i="1"/>
  <c r="M392" i="1" s="1"/>
  <c r="N391" i="1"/>
  <c r="E391" i="1"/>
  <c r="M391" i="1" s="1"/>
  <c r="N390" i="1"/>
  <c r="E390" i="1"/>
  <c r="M390" i="1" s="1"/>
  <c r="N389" i="1"/>
  <c r="E389" i="1"/>
  <c r="M389" i="1" s="1"/>
  <c r="D330" i="1"/>
  <c r="S330" i="1"/>
  <c r="S329" i="1" s="1"/>
  <c r="S328" i="1" s="1"/>
  <c r="O330" i="1"/>
  <c r="O329" i="1" s="1"/>
  <c r="O328" i="1" s="1"/>
  <c r="E330" i="1"/>
  <c r="M330" i="1" s="1"/>
  <c r="Q328" i="1"/>
  <c r="P328" i="1"/>
  <c r="I328" i="1"/>
  <c r="H328" i="1"/>
  <c r="G328" i="1"/>
  <c r="F328" i="1"/>
  <c r="R328" i="1"/>
  <c r="E329" i="1" l="1"/>
  <c r="M329" i="1" s="1"/>
  <c r="N388" i="1"/>
  <c r="N330" i="1"/>
  <c r="AA330" i="1" s="1"/>
  <c r="N402" i="1"/>
  <c r="AA402" i="1" s="1"/>
  <c r="N397" i="1"/>
  <c r="N401" i="1"/>
  <c r="AA401" i="1" s="1"/>
  <c r="N405" i="1"/>
  <c r="T398" i="1"/>
  <c r="T399" i="1"/>
  <c r="T400" i="1"/>
  <c r="T403" i="1"/>
  <c r="T404" i="1"/>
  <c r="E396" i="1"/>
  <c r="M396" i="1" s="1"/>
  <c r="T390" i="1"/>
  <c r="T392" i="1"/>
  <c r="T394" i="1"/>
  <c r="E388" i="1"/>
  <c r="M388" i="1" s="1"/>
  <c r="T389" i="1"/>
  <c r="T391" i="1"/>
  <c r="T393" i="1"/>
  <c r="E328" i="1"/>
  <c r="M328" i="1" s="1"/>
  <c r="N387" i="1" l="1"/>
  <c r="E395" i="1"/>
  <c r="M395" i="1" s="1"/>
  <c r="N329" i="1"/>
  <c r="AA329" i="1" s="1"/>
  <c r="E387" i="1"/>
  <c r="M387" i="1" s="1"/>
  <c r="N396" i="1"/>
  <c r="AA396" i="1" s="1"/>
  <c r="T388" i="1"/>
  <c r="T387" i="1" s="1"/>
  <c r="T330" i="1"/>
  <c r="T329" i="1" s="1"/>
  <c r="T328" i="1" s="1"/>
  <c r="T405" i="1"/>
  <c r="T397" i="1"/>
  <c r="T402" i="1"/>
  <c r="T401" i="1"/>
  <c r="N395" i="1" l="1"/>
  <c r="AA395" i="1" s="1"/>
  <c r="N328" i="1"/>
  <c r="AA328" i="1" s="1"/>
  <c r="T396" i="1"/>
  <c r="T395" i="1" s="1"/>
  <c r="N277" i="1" l="1"/>
  <c r="N278" i="1"/>
  <c r="N279" i="1"/>
  <c r="M182" i="3" l="1"/>
  <c r="M181" i="3"/>
  <c r="M180" i="3"/>
  <c r="N285" i="1"/>
  <c r="D277" i="1" l="1"/>
  <c r="N66" i="1" l="1"/>
  <c r="AA66" i="1" s="1"/>
  <c r="E66" i="1"/>
  <c r="M66" i="1" s="1"/>
  <c r="T66" i="1" l="1"/>
  <c r="D104" i="3" l="1"/>
  <c r="L104" i="3" s="1"/>
  <c r="C97" i="3"/>
  <c r="C104" i="3"/>
  <c r="E154" i="1"/>
  <c r="M154" i="1" s="1"/>
  <c r="N168" i="1"/>
  <c r="C60" i="3"/>
  <c r="D40" i="3"/>
  <c r="L40" i="3" s="1"/>
  <c r="C40" i="3"/>
  <c r="N84" i="1"/>
  <c r="AA84" i="1" s="1"/>
  <c r="M104" i="3" l="1"/>
  <c r="Z104" i="3" s="1"/>
  <c r="AA168" i="1"/>
  <c r="M39" i="3"/>
  <c r="Z39" i="3" s="1"/>
  <c r="M40" i="3"/>
  <c r="Z40" i="3" s="1"/>
  <c r="M98" i="3"/>
  <c r="Z98" i="3" s="1"/>
  <c r="D98" i="3"/>
  <c r="L98" i="3" s="1"/>
  <c r="N154" i="1"/>
  <c r="AA154" i="1" s="1"/>
  <c r="T168" i="1"/>
  <c r="S104" i="3" s="1"/>
  <c r="S98" i="3" s="1"/>
  <c r="T84" i="1"/>
  <c r="S39" i="3" l="1"/>
  <c r="S34" i="3" s="1"/>
  <c r="S40" i="3"/>
  <c r="M34" i="3"/>
  <c r="Z34" i="3" s="1"/>
  <c r="T154" i="1"/>
  <c r="E239" i="1"/>
  <c r="M239" i="1" s="1"/>
  <c r="E172" i="1" l="1"/>
  <c r="M172" i="1" s="1"/>
  <c r="N172" i="1"/>
  <c r="M107" i="3" l="1"/>
  <c r="D107" i="3"/>
  <c r="L107" i="3" s="1"/>
  <c r="N140" i="1"/>
  <c r="AA140" i="1" s="1"/>
  <c r="T140" i="1" l="1"/>
  <c r="N318" i="1"/>
  <c r="AA318" i="1" s="1"/>
  <c r="D281" i="3"/>
  <c r="L281" i="3" s="1"/>
  <c r="M281" i="3" l="1"/>
  <c r="Z281" i="3" s="1"/>
  <c r="T318" i="1"/>
  <c r="S281" i="3" s="1"/>
  <c r="C238" i="1" l="1"/>
  <c r="D238" i="1"/>
  <c r="B238" i="1"/>
  <c r="C319" i="1"/>
  <c r="D319" i="1"/>
  <c r="B319" i="1"/>
  <c r="C324" i="1"/>
  <c r="D324" i="1"/>
  <c r="B324" i="1"/>
  <c r="N324" i="1"/>
  <c r="AA324" i="1" s="1"/>
  <c r="E324" i="1"/>
  <c r="M324" i="1" s="1"/>
  <c r="N319" i="1"/>
  <c r="AA319" i="1" s="1"/>
  <c r="N238" i="1"/>
  <c r="M283" i="3" s="1"/>
  <c r="Z283" i="3" s="1"/>
  <c r="E238" i="1"/>
  <c r="M238" i="1" s="1"/>
  <c r="M282" i="3" l="1"/>
  <c r="Z282" i="3" s="1"/>
  <c r="T238" i="1"/>
  <c r="S283" i="3" s="1"/>
  <c r="T319" i="1"/>
  <c r="S282" i="3" s="1"/>
  <c r="T324" i="1"/>
  <c r="D282" i="3"/>
  <c r="L282" i="3" s="1"/>
  <c r="D283" i="3"/>
  <c r="L283" i="3" s="1"/>
  <c r="C277" i="1" l="1"/>
  <c r="B277" i="1"/>
  <c r="E277" i="1"/>
  <c r="M277" i="1" s="1"/>
  <c r="T277" i="1" l="1"/>
  <c r="S180" i="3" s="1"/>
  <c r="D180" i="3"/>
  <c r="L180" i="3" s="1"/>
  <c r="C61" i="1" l="1"/>
  <c r="D61" i="1"/>
  <c r="B61" i="1"/>
  <c r="N61" i="1"/>
  <c r="AA61" i="1" s="1"/>
  <c r="E61" i="1"/>
  <c r="M61" i="1" s="1"/>
  <c r="N320" i="1"/>
  <c r="AA320" i="1" s="1"/>
  <c r="M271" i="3" l="1"/>
  <c r="D271" i="3"/>
  <c r="L271" i="3" s="1"/>
  <c r="T61" i="1"/>
  <c r="S271" i="3" s="1"/>
  <c r="T320" i="1"/>
  <c r="E65" i="1" l="1"/>
  <c r="M65" i="1" s="1"/>
  <c r="E192" i="1"/>
  <c r="M192" i="1" s="1"/>
  <c r="N239" i="1"/>
  <c r="N192" i="1"/>
  <c r="AA192" i="1" s="1"/>
  <c r="N65" i="1"/>
  <c r="AA65" i="1" s="1"/>
  <c r="M284" i="3" l="1"/>
  <c r="Z284" i="3" s="1"/>
  <c r="T239" i="1"/>
  <c r="D284" i="3"/>
  <c r="L284" i="3" s="1"/>
  <c r="T192" i="1"/>
  <c r="T65" i="1"/>
  <c r="S284" i="3" s="1"/>
  <c r="T172" i="1"/>
  <c r="S107" i="3" s="1"/>
  <c r="N322" i="1" l="1"/>
  <c r="AA322" i="1" s="1"/>
  <c r="D295" i="3"/>
  <c r="L295" i="3" s="1"/>
  <c r="M295" i="3" l="1"/>
  <c r="Z295" i="3" s="1"/>
  <c r="T322" i="1"/>
  <c r="S295" i="3" s="1"/>
  <c r="N339" i="1" l="1"/>
  <c r="AA339" i="1" s="1"/>
  <c r="E339" i="1"/>
  <c r="T339" i="1" l="1"/>
  <c r="N101" i="1" l="1"/>
  <c r="N102" i="1"/>
  <c r="D63" i="3"/>
  <c r="L63" i="3" s="1"/>
  <c r="D64" i="3"/>
  <c r="L64" i="3" s="1"/>
  <c r="D65" i="3"/>
  <c r="L65" i="3" s="1"/>
  <c r="D101" i="1"/>
  <c r="D100" i="1"/>
  <c r="D92" i="1"/>
  <c r="M65" i="3" l="1"/>
  <c r="M64" i="3"/>
  <c r="T100" i="1"/>
  <c r="S63" i="3" s="1"/>
  <c r="T102" i="1"/>
  <c r="S65" i="3" s="1"/>
  <c r="T101" i="1"/>
  <c r="S64" i="3" s="1"/>
  <c r="D201" i="1" l="1"/>
  <c r="D213" i="1"/>
  <c r="D219" i="1"/>
  <c r="D223" i="1"/>
  <c r="D236" i="1"/>
  <c r="D253" i="1"/>
  <c r="D258" i="1"/>
  <c r="D272" i="1"/>
  <c r="D284" i="1"/>
  <c r="D288" i="1"/>
  <c r="D347" i="1"/>
  <c r="D349" i="1"/>
  <c r="D350" i="1"/>
  <c r="D351" i="1"/>
  <c r="D352" i="1"/>
  <c r="D353" i="1"/>
  <c r="D359" i="1"/>
  <c r="D368" i="1"/>
  <c r="D370" i="1"/>
  <c r="D408" i="1"/>
  <c r="D381" i="1"/>
  <c r="D374" i="1"/>
  <c r="D366" i="1"/>
  <c r="D338" i="1"/>
  <c r="D327" i="1"/>
  <c r="D252" i="1"/>
  <c r="D244" i="1"/>
  <c r="D200" i="1"/>
  <c r="D182" i="1"/>
  <c r="D173" i="1"/>
  <c r="D170" i="1"/>
  <c r="D163" i="1"/>
  <c r="D150" i="1"/>
  <c r="D147" i="1"/>
  <c r="D134" i="1"/>
  <c r="D132" i="1"/>
  <c r="D120" i="1"/>
  <c r="D112" i="1"/>
  <c r="D109" i="1"/>
  <c r="D108" i="1"/>
  <c r="D106" i="1"/>
  <c r="D105" i="1"/>
  <c r="D104" i="1"/>
  <c r="D103" i="1"/>
  <c r="D99" i="1"/>
  <c r="D90" i="1"/>
  <c r="D86" i="1"/>
  <c r="D85" i="1"/>
  <c r="D82" i="1"/>
  <c r="D81" i="1"/>
  <c r="D50" i="1"/>
  <c r="D49" i="1"/>
  <c r="D47" i="1"/>
  <c r="D44" i="1"/>
  <c r="D43" i="1"/>
  <c r="D42" i="1"/>
  <c r="D40" i="1"/>
  <c r="D39" i="1"/>
  <c r="D38" i="1"/>
  <c r="D37" i="1"/>
  <c r="D36" i="1"/>
  <c r="D35" i="1"/>
  <c r="D34" i="1"/>
  <c r="D33" i="1"/>
  <c r="D31" i="1"/>
  <c r="D30" i="1"/>
  <c r="D29" i="1"/>
  <c r="D27" i="1"/>
  <c r="D20" i="1"/>
  <c r="N247" i="1" l="1"/>
  <c r="AA247" i="1" s="1"/>
  <c r="E247" i="1"/>
  <c r="M247" i="1" s="1"/>
  <c r="E29" i="1"/>
  <c r="M29" i="1" s="1"/>
  <c r="T247" i="1" l="1"/>
  <c r="F365" i="1"/>
  <c r="G365" i="1"/>
  <c r="H365" i="1"/>
  <c r="I365" i="1"/>
  <c r="P365" i="1"/>
  <c r="Q365" i="1"/>
  <c r="R365" i="1"/>
  <c r="N368" i="1"/>
  <c r="AA368" i="1" s="1"/>
  <c r="E368" i="1"/>
  <c r="M368" i="1" s="1"/>
  <c r="T368" i="1" l="1"/>
  <c r="N237" i="1"/>
  <c r="E237" i="1"/>
  <c r="M237" i="1" s="1"/>
  <c r="N213" i="1"/>
  <c r="E213" i="1"/>
  <c r="M213" i="1" s="1"/>
  <c r="T237" i="1" l="1"/>
  <c r="T213" i="1"/>
  <c r="D138" i="3" l="1"/>
  <c r="L138" i="3" s="1"/>
  <c r="N29" i="1"/>
  <c r="N42" i="1"/>
  <c r="AA42" i="1" s="1"/>
  <c r="N43" i="1"/>
  <c r="AA43" i="1" s="1"/>
  <c r="M138" i="3" l="1"/>
  <c r="T29" i="1"/>
  <c r="S138" i="3" s="1"/>
  <c r="T42" i="1"/>
  <c r="E357" i="1" l="1"/>
  <c r="N357" i="1"/>
  <c r="AA357" i="1" s="1"/>
  <c r="N334" i="1" l="1"/>
  <c r="AA334" i="1" s="1"/>
  <c r="E334" i="1"/>
  <c r="M334" i="1" s="1"/>
  <c r="T357" i="1"/>
  <c r="T334" i="1" s="1"/>
  <c r="N63" i="1" l="1"/>
  <c r="AA63" i="1" s="1"/>
  <c r="N64" i="1"/>
  <c r="AA64" i="1" s="1"/>
  <c r="E64" i="1"/>
  <c r="M277" i="3" l="1"/>
  <c r="Z277" i="3" s="1"/>
  <c r="T64" i="1"/>
  <c r="M276" i="3" l="1"/>
  <c r="Z276" i="3" s="1"/>
  <c r="E266" i="1"/>
  <c r="M266" i="1" s="1"/>
  <c r="N93" i="1" l="1"/>
  <c r="N92" i="1"/>
  <c r="N86" i="1"/>
  <c r="M48" i="3" l="1"/>
  <c r="M54" i="3"/>
  <c r="M55" i="3"/>
  <c r="T86" i="1"/>
  <c r="S48" i="3" s="1"/>
  <c r="T93" i="1"/>
  <c r="S55" i="3" s="1"/>
  <c r="T92" i="1"/>
  <c r="S54" i="3" s="1"/>
  <c r="D48" i="3"/>
  <c r="L48" i="3" s="1"/>
  <c r="D54" i="3"/>
  <c r="L54" i="3" s="1"/>
  <c r="D55" i="3"/>
  <c r="L55" i="3" s="1"/>
  <c r="D209" i="3" l="1"/>
  <c r="N135" i="1"/>
  <c r="AA135" i="1" s="1"/>
  <c r="N113" i="1"/>
  <c r="AA113" i="1" s="1"/>
  <c r="D76" i="3"/>
  <c r="L76" i="3" s="1"/>
  <c r="M76" i="3" l="1"/>
  <c r="M209" i="3"/>
  <c r="Z209" i="3" s="1"/>
  <c r="D232" i="3"/>
  <c r="D221" i="3"/>
  <c r="L221" i="3" s="1"/>
  <c r="E267" i="1"/>
  <c r="M267" i="1" s="1"/>
  <c r="D222" i="3"/>
  <c r="L222" i="3" s="1"/>
  <c r="T135" i="1"/>
  <c r="S209" i="3" s="1"/>
  <c r="S204" i="3" s="1"/>
  <c r="S192" i="3" s="1"/>
  <c r="T113" i="1"/>
  <c r="S76" i="3" s="1"/>
  <c r="D204" i="3" l="1"/>
  <c r="L204" i="3" s="1"/>
  <c r="M204" i="3"/>
  <c r="Z204" i="3" s="1"/>
  <c r="N150" i="1"/>
  <c r="AA150" i="1" s="1"/>
  <c r="E150" i="1"/>
  <c r="M150" i="1" s="1"/>
  <c r="M192" i="3" l="1"/>
  <c r="Z192" i="3" s="1"/>
  <c r="D192" i="3"/>
  <c r="L192" i="3" s="1"/>
  <c r="T150" i="1"/>
  <c r="N321" i="1" l="1"/>
  <c r="AA321" i="1" s="1"/>
  <c r="D294" i="3"/>
  <c r="L294" i="3" s="1"/>
  <c r="N112" i="1"/>
  <c r="AA112" i="1" s="1"/>
  <c r="D75" i="3"/>
  <c r="L75" i="3" s="1"/>
  <c r="N109" i="1"/>
  <c r="AA109" i="1" s="1"/>
  <c r="D72" i="3"/>
  <c r="L72" i="3" s="1"/>
  <c r="N47" i="1"/>
  <c r="E47" i="1"/>
  <c r="M47" i="1" s="1"/>
  <c r="N351" i="1"/>
  <c r="AA351" i="1" s="1"/>
  <c r="E351" i="1"/>
  <c r="M235" i="3" l="1"/>
  <c r="M72" i="3"/>
  <c r="M75" i="3"/>
  <c r="M294" i="3"/>
  <c r="Z294" i="3" s="1"/>
  <c r="D235" i="3"/>
  <c r="L235" i="3" s="1"/>
  <c r="T112" i="1"/>
  <c r="S75" i="3" s="1"/>
  <c r="T321" i="1"/>
  <c r="S294" i="3" s="1"/>
  <c r="T351" i="1"/>
  <c r="T47" i="1"/>
  <c r="S235" i="3" s="1"/>
  <c r="T109" i="1"/>
  <c r="S72" i="3" s="1"/>
  <c r="N229" i="1"/>
  <c r="E229" i="1"/>
  <c r="M229" i="1" s="1"/>
  <c r="N228" i="1"/>
  <c r="E228" i="1"/>
  <c r="M228" i="1" s="1"/>
  <c r="N133" i="1"/>
  <c r="AA133" i="1" s="1"/>
  <c r="D77" i="3"/>
  <c r="L77" i="3" s="1"/>
  <c r="D73" i="3"/>
  <c r="L73" i="3" s="1"/>
  <c r="N115" i="1"/>
  <c r="N114" i="1"/>
  <c r="AA114" i="1" s="1"/>
  <c r="N111" i="1"/>
  <c r="N110" i="1"/>
  <c r="AA110" i="1" s="1"/>
  <c r="M78" i="3" l="1"/>
  <c r="AA115" i="1"/>
  <c r="M74" i="3"/>
  <c r="AA111" i="1"/>
  <c r="M32" i="3"/>
  <c r="Z32" i="3" s="1"/>
  <c r="M77" i="3"/>
  <c r="M172" i="3"/>
  <c r="Z172" i="3" s="1"/>
  <c r="M154" i="3"/>
  <c r="Z154" i="3" s="1"/>
  <c r="M33" i="3"/>
  <c r="Z33" i="3" s="1"/>
  <c r="M155" i="3"/>
  <c r="Z155" i="3" s="1"/>
  <c r="M73" i="3"/>
  <c r="N78" i="1"/>
  <c r="AA78" i="1" s="1"/>
  <c r="N77" i="1"/>
  <c r="AA77" i="1" s="1"/>
  <c r="T114" i="1"/>
  <c r="S77" i="3" s="1"/>
  <c r="T110" i="1"/>
  <c r="S73" i="3" s="1"/>
  <c r="D155" i="3"/>
  <c r="L155" i="3" s="1"/>
  <c r="T111" i="1"/>
  <c r="T115" i="1"/>
  <c r="D74" i="3"/>
  <c r="L74" i="3" s="1"/>
  <c r="E78" i="1"/>
  <c r="M78" i="1" s="1"/>
  <c r="D78" i="3"/>
  <c r="L78" i="3" s="1"/>
  <c r="E77" i="1"/>
  <c r="M77" i="1" s="1"/>
  <c r="T133" i="1"/>
  <c r="S172" i="3" s="1"/>
  <c r="S168" i="3" s="1"/>
  <c r="D172" i="3"/>
  <c r="L172" i="3" s="1"/>
  <c r="T228" i="1"/>
  <c r="S154" i="3" s="1"/>
  <c r="D154" i="3"/>
  <c r="L154" i="3" s="1"/>
  <c r="T229" i="1"/>
  <c r="S155" i="3" s="1"/>
  <c r="D168" i="3" l="1"/>
  <c r="L168" i="3" s="1"/>
  <c r="M168" i="3"/>
  <c r="Z168" i="3" s="1"/>
  <c r="D33" i="3"/>
  <c r="L33" i="3" s="1"/>
  <c r="D32" i="3"/>
  <c r="L32" i="3" s="1"/>
  <c r="T77" i="1"/>
  <c r="S78" i="3"/>
  <c r="S33" i="3" s="1"/>
  <c r="T78" i="1"/>
  <c r="S74" i="3"/>
  <c r="S32" i="3" s="1"/>
  <c r="S369" i="1"/>
  <c r="R216" i="3" s="1"/>
  <c r="R202" i="3" s="1"/>
  <c r="R190" i="3" s="1"/>
  <c r="O369" i="1"/>
  <c r="N370" i="1"/>
  <c r="AA370" i="1" s="1"/>
  <c r="N137" i="1"/>
  <c r="AA137" i="1" s="1"/>
  <c r="N136" i="1"/>
  <c r="AA136" i="1" s="1"/>
  <c r="O365" i="1" l="1"/>
  <c r="N216" i="3"/>
  <c r="N202" i="3" s="1"/>
  <c r="N190" i="3" s="1"/>
  <c r="N79" i="1"/>
  <c r="AA79" i="1" s="1"/>
  <c r="E79" i="1"/>
  <c r="S365" i="1"/>
  <c r="N369" i="1"/>
  <c r="AA369" i="1" s="1"/>
  <c r="T137" i="1"/>
  <c r="E370" i="1"/>
  <c r="M370" i="1" s="1"/>
  <c r="T136" i="1"/>
  <c r="T79" i="1" l="1"/>
  <c r="M216" i="3"/>
  <c r="Z216" i="3" s="1"/>
  <c r="T370" i="1"/>
  <c r="N95" i="1" l="1"/>
  <c r="M57" i="3" s="1"/>
  <c r="Z57" i="3" s="1"/>
  <c r="N273" i="1"/>
  <c r="E273" i="1"/>
  <c r="M273" i="1" s="1"/>
  <c r="S245" i="1"/>
  <c r="R134" i="3" s="1"/>
  <c r="R117" i="3" s="1"/>
  <c r="O245" i="1"/>
  <c r="N134" i="3" s="1"/>
  <c r="N117" i="3" s="1"/>
  <c r="S244" i="1"/>
  <c r="O244" i="1"/>
  <c r="O242" i="1" l="1"/>
  <c r="O241" i="1" s="1"/>
  <c r="N18" i="3"/>
  <c r="N16" i="3" s="1"/>
  <c r="N298" i="3" s="1"/>
  <c r="S242" i="1"/>
  <c r="S241" i="1" s="1"/>
  <c r="R18" i="3"/>
  <c r="R16" i="3" s="1"/>
  <c r="R298" i="3" s="1"/>
  <c r="M28" i="3"/>
  <c r="Z28" i="3" s="1"/>
  <c r="N74" i="1"/>
  <c r="AA74" i="1" s="1"/>
  <c r="T273" i="1"/>
  <c r="T95" i="1"/>
  <c r="N149" i="1"/>
  <c r="AA149" i="1" s="1"/>
  <c r="N148" i="1"/>
  <c r="AA148" i="1" s="1"/>
  <c r="E149" i="1"/>
  <c r="M149" i="1" s="1"/>
  <c r="E148" i="1"/>
  <c r="M148" i="1" s="1"/>
  <c r="N98" i="1"/>
  <c r="AA98" i="1" s="1"/>
  <c r="N97" i="1"/>
  <c r="AA97" i="1" s="1"/>
  <c r="M291" i="3" l="1"/>
  <c r="Z291" i="3" s="1"/>
  <c r="M292" i="3"/>
  <c r="Z292" i="3" s="1"/>
  <c r="T74" i="1"/>
  <c r="S57" i="3"/>
  <c r="S28" i="3" s="1"/>
  <c r="M60" i="3"/>
  <c r="Z60" i="3" s="1"/>
  <c r="M59" i="3"/>
  <c r="Z59" i="3" s="1"/>
  <c r="T97" i="1"/>
  <c r="S59" i="3" s="1"/>
  <c r="T98" i="1"/>
  <c r="S60" i="3" s="1"/>
  <c r="T148" i="1"/>
  <c r="S291" i="3" s="1"/>
  <c r="S289" i="3" s="1"/>
  <c r="T149" i="1"/>
  <c r="S292" i="3" s="1"/>
  <c r="S290" i="3" s="1"/>
  <c r="S286" i="3" s="1"/>
  <c r="D292" i="3"/>
  <c r="L292" i="3" s="1"/>
  <c r="D60" i="3"/>
  <c r="L60" i="3" s="1"/>
  <c r="D59" i="3"/>
  <c r="L59" i="3" s="1"/>
  <c r="D291" i="3"/>
  <c r="L291" i="3" s="1"/>
  <c r="D289" i="3" l="1"/>
  <c r="L289" i="3" s="1"/>
  <c r="M290" i="3"/>
  <c r="Z290" i="3" s="1"/>
  <c r="D290" i="3"/>
  <c r="L290" i="3" s="1"/>
  <c r="M289" i="3"/>
  <c r="Z289" i="3" s="1"/>
  <c r="N201" i="1"/>
  <c r="AA201" i="1" s="1"/>
  <c r="D286" i="3" l="1"/>
  <c r="L286" i="3" s="1"/>
  <c r="M286" i="3"/>
  <c r="Z286" i="3" s="1"/>
  <c r="E201" i="1"/>
  <c r="M201" i="1" s="1"/>
  <c r="T201" i="1" l="1"/>
  <c r="N96" i="1"/>
  <c r="M58" i="3" s="1"/>
  <c r="M25" i="3" l="1"/>
  <c r="N71" i="1"/>
  <c r="T96" i="1"/>
  <c r="D58" i="3"/>
  <c r="L58" i="3" s="1"/>
  <c r="T71" i="1" l="1"/>
  <c r="S58" i="3"/>
  <c r="S25" i="3" s="1"/>
  <c r="D25" i="3"/>
  <c r="L25" i="3" s="1"/>
  <c r="N94" i="1" l="1"/>
  <c r="N363" i="1"/>
  <c r="AA363" i="1" s="1"/>
  <c r="E363" i="1"/>
  <c r="M363" i="1" s="1"/>
  <c r="M56" i="3" l="1"/>
  <c r="D56" i="3"/>
  <c r="L56" i="3" s="1"/>
  <c r="T363" i="1"/>
  <c r="T94" i="1"/>
  <c r="S56" i="3" s="1"/>
  <c r="N151" i="1"/>
  <c r="AA151" i="1" s="1"/>
  <c r="E151" i="1" l="1"/>
  <c r="M151" i="1" s="1"/>
  <c r="E69" i="1" l="1"/>
  <c r="M69" i="1" s="1"/>
  <c r="D81" i="3"/>
  <c r="L81" i="3" s="1"/>
  <c r="T118" i="1"/>
  <c r="S81" i="3" s="1"/>
  <c r="D82" i="3"/>
  <c r="L82" i="3" s="1"/>
  <c r="T119" i="1"/>
  <c r="T151" i="1"/>
  <c r="T76" i="1" l="1"/>
  <c r="S82" i="3"/>
  <c r="S31" i="3" s="1"/>
  <c r="D31" i="3"/>
  <c r="L31" i="3" s="1"/>
  <c r="D62" i="3"/>
  <c r="L62" i="3" s="1"/>
  <c r="T253" i="1"/>
  <c r="S62" i="3" s="1"/>
  <c r="B71" i="3" l="1"/>
  <c r="N147" i="1" l="1"/>
  <c r="AA147" i="1" s="1"/>
  <c r="N134" i="1"/>
  <c r="AA134" i="1" s="1"/>
  <c r="N132" i="1"/>
  <c r="T120" i="1"/>
  <c r="T132" i="1" l="1"/>
  <c r="T141" i="1"/>
  <c r="T134" i="1"/>
  <c r="T147" i="1"/>
  <c r="T131" i="1"/>
  <c r="N107" i="1"/>
  <c r="N91" i="1"/>
  <c r="D53" i="3"/>
  <c r="L53" i="3" s="1"/>
  <c r="M70" i="3" l="1"/>
  <c r="M53" i="3"/>
  <c r="D70" i="3"/>
  <c r="L70" i="3" s="1"/>
  <c r="T107" i="1"/>
  <c r="S70" i="3" s="1"/>
  <c r="T91" i="1"/>
  <c r="S53" i="3" s="1"/>
  <c r="D255" i="1" l="1"/>
  <c r="E369" i="1" l="1"/>
  <c r="M369" i="1" s="1"/>
  <c r="E311" i="1"/>
  <c r="M311" i="1" s="1"/>
  <c r="N311" i="1"/>
  <c r="E258" i="1"/>
  <c r="M258" i="1" s="1"/>
  <c r="N258" i="1"/>
  <c r="AA258" i="1" s="1"/>
  <c r="M256" i="3" l="1"/>
  <c r="Z256" i="3" s="1"/>
  <c r="AA311" i="1"/>
  <c r="M212" i="3"/>
  <c r="Z212" i="3" s="1"/>
  <c r="N268" i="1"/>
  <c r="AA268" i="1" s="1"/>
  <c r="D256" i="3"/>
  <c r="L256" i="3" s="1"/>
  <c r="D212" i="3"/>
  <c r="D216" i="3"/>
  <c r="T258" i="1"/>
  <c r="S212" i="3" s="1"/>
  <c r="T311" i="1"/>
  <c r="E268" i="1"/>
  <c r="M268" i="1" s="1"/>
  <c r="T369" i="1"/>
  <c r="S216" i="3" s="1"/>
  <c r="T268" i="1" l="1"/>
  <c r="S256" i="3"/>
  <c r="N49" i="1"/>
  <c r="E49" i="1"/>
  <c r="M49" i="1" s="1"/>
  <c r="N21" i="1"/>
  <c r="AA21" i="1" s="1"/>
  <c r="E21" i="1"/>
  <c r="M21" i="1" s="1"/>
  <c r="M238" i="3" l="1"/>
  <c r="M19" i="3"/>
  <c r="Z19" i="3" s="1"/>
  <c r="D238" i="3"/>
  <c r="L238" i="3" s="1"/>
  <c r="T49" i="1"/>
  <c r="S238" i="3" s="1"/>
  <c r="T21" i="1"/>
  <c r="S19" i="3" s="1"/>
  <c r="D19" i="3"/>
  <c r="L19" i="3" s="1"/>
  <c r="F243" i="1" l="1"/>
  <c r="G243" i="1"/>
  <c r="H243" i="1"/>
  <c r="I243" i="1"/>
  <c r="O243" i="1"/>
  <c r="P243" i="1"/>
  <c r="Q243" i="1"/>
  <c r="R243" i="1"/>
  <c r="S243" i="1"/>
  <c r="E169" i="1" l="1"/>
  <c r="M169" i="1" s="1"/>
  <c r="N169" i="1"/>
  <c r="AA169" i="1" s="1"/>
  <c r="D169" i="1"/>
  <c r="M103" i="3" l="1"/>
  <c r="Z103" i="3" s="1"/>
  <c r="T169" i="1"/>
  <c r="S103" i="3" s="1"/>
  <c r="D103" i="3"/>
  <c r="L103" i="3" s="1"/>
  <c r="D237" i="3" l="1"/>
  <c r="L237" i="3" s="1"/>
  <c r="D231" i="3"/>
  <c r="E264" i="1"/>
  <c r="M264" i="1" s="1"/>
  <c r="E249" i="1"/>
  <c r="M249" i="1" s="1"/>
  <c r="N249" i="1"/>
  <c r="AA249" i="1" s="1"/>
  <c r="E227" i="1"/>
  <c r="M227" i="1" s="1"/>
  <c r="E226" i="1"/>
  <c r="M226" i="1" s="1"/>
  <c r="N227" i="1"/>
  <c r="M153" i="3" s="1"/>
  <c r="Z153" i="3" s="1"/>
  <c r="N226" i="1"/>
  <c r="N230" i="1"/>
  <c r="N231" i="1"/>
  <c r="M157" i="3" s="1"/>
  <c r="Z157" i="3" s="1"/>
  <c r="E230" i="1"/>
  <c r="M230" i="1" s="1"/>
  <c r="E231" i="1"/>
  <c r="M231" i="1" s="1"/>
  <c r="N22" i="1"/>
  <c r="N23" i="1"/>
  <c r="N24" i="1"/>
  <c r="M22" i="3" s="1"/>
  <c r="Z22" i="3" s="1"/>
  <c r="E24" i="1"/>
  <c r="M24" i="1" s="1"/>
  <c r="D19" i="1"/>
  <c r="D24" i="1"/>
  <c r="F19" i="1"/>
  <c r="G19" i="1"/>
  <c r="H19" i="1"/>
  <c r="I19" i="1"/>
  <c r="O19" i="1"/>
  <c r="P19" i="1"/>
  <c r="Q19" i="1"/>
  <c r="R19" i="1"/>
  <c r="S19" i="1"/>
  <c r="M156" i="3" l="1"/>
  <c r="Z156" i="3" s="1"/>
  <c r="M187" i="3"/>
  <c r="Z187" i="3" s="1"/>
  <c r="M21" i="3"/>
  <c r="Z21" i="3" s="1"/>
  <c r="M20" i="3"/>
  <c r="M152" i="3"/>
  <c r="Z152" i="3" s="1"/>
  <c r="M118" i="3"/>
  <c r="Z118" i="3" s="1"/>
  <c r="M17" i="3"/>
  <c r="Z17" i="3" s="1"/>
  <c r="N196" i="1"/>
  <c r="N195" i="1"/>
  <c r="AA195" i="1" s="1"/>
  <c r="D22" i="3"/>
  <c r="L22" i="3" s="1"/>
  <c r="N19" i="1"/>
  <c r="AA19" i="1" s="1"/>
  <c r="D152" i="3"/>
  <c r="L152" i="3" s="1"/>
  <c r="D156" i="3"/>
  <c r="L156" i="3" s="1"/>
  <c r="E243" i="1"/>
  <c r="M243" i="1" s="1"/>
  <c r="D187" i="3"/>
  <c r="L187" i="3" s="1"/>
  <c r="D153" i="3"/>
  <c r="L153" i="3" s="1"/>
  <c r="T249" i="1"/>
  <c r="S187" i="3" s="1"/>
  <c r="S177" i="3" s="1"/>
  <c r="N243" i="1"/>
  <c r="T227" i="1"/>
  <c r="D157" i="3"/>
  <c r="L157" i="3" s="1"/>
  <c r="T226" i="1"/>
  <c r="S152" i="3" s="1"/>
  <c r="T230" i="1"/>
  <c r="S156" i="3" s="1"/>
  <c r="E195" i="1"/>
  <c r="M195" i="1" s="1"/>
  <c r="T231" i="1"/>
  <c r="E196" i="1"/>
  <c r="M196" i="1" s="1"/>
  <c r="T24" i="1"/>
  <c r="S22" i="3" s="1"/>
  <c r="S17" i="3" s="1"/>
  <c r="E19" i="1"/>
  <c r="M19" i="1" s="1"/>
  <c r="M119" i="3" l="1"/>
  <c r="Z119" i="3" s="1"/>
  <c r="AA196" i="1"/>
  <c r="T196" i="1"/>
  <c r="S119" i="3" s="1"/>
  <c r="S157" i="3"/>
  <c r="M177" i="3"/>
  <c r="Z177" i="3" s="1"/>
  <c r="D17" i="3"/>
  <c r="L17" i="3" s="1"/>
  <c r="T195" i="1"/>
  <c r="S153" i="3"/>
  <c r="S118" i="3" s="1"/>
  <c r="D177" i="3"/>
  <c r="L177" i="3" s="1"/>
  <c r="T19" i="1"/>
  <c r="D119" i="3"/>
  <c r="L119" i="3" s="1"/>
  <c r="T243" i="1"/>
  <c r="D118" i="3"/>
  <c r="L118" i="3" s="1"/>
  <c r="N248" i="1" l="1"/>
  <c r="AA248" i="1" s="1"/>
  <c r="E248" i="1"/>
  <c r="M248" i="1" s="1"/>
  <c r="E360" i="1"/>
  <c r="E358" i="1"/>
  <c r="E23" i="1"/>
  <c r="M23" i="1" s="1"/>
  <c r="M186" i="3" l="1"/>
  <c r="Z186" i="3" s="1"/>
  <c r="D223" i="3"/>
  <c r="L223" i="3" s="1"/>
  <c r="D186" i="3"/>
  <c r="L186" i="3" s="1"/>
  <c r="T248" i="1"/>
  <c r="S186" i="3" s="1"/>
  <c r="T23" i="1"/>
  <c r="S21" i="3" s="1"/>
  <c r="D21" i="3"/>
  <c r="L21" i="3" s="1"/>
  <c r="N191" i="1"/>
  <c r="AA191" i="1" s="1"/>
  <c r="E191" i="1"/>
  <c r="M191" i="1" s="1"/>
  <c r="T191" i="1" l="1"/>
  <c r="N358" i="1" l="1"/>
  <c r="AA358" i="1" s="1"/>
  <c r="M223" i="3" l="1"/>
  <c r="Z223" i="3" s="1"/>
  <c r="T358" i="1"/>
  <c r="S223" i="3" s="1"/>
  <c r="N104" i="1" l="1"/>
  <c r="M67" i="3" l="1"/>
  <c r="D67" i="3"/>
  <c r="L67" i="3" s="1"/>
  <c r="T104" i="1"/>
  <c r="S67" i="3" s="1"/>
  <c r="N354" i="1" l="1"/>
  <c r="AA354" i="1" s="1"/>
  <c r="E354" i="1"/>
  <c r="E352" i="1"/>
  <c r="M215" i="3" l="1"/>
  <c r="Z215" i="3" s="1"/>
  <c r="T354" i="1"/>
  <c r="N184" i="1" l="1"/>
  <c r="AA184" i="1" s="1"/>
  <c r="N185" i="1"/>
  <c r="E184" i="1"/>
  <c r="M184" i="1" s="1"/>
  <c r="E185" i="1"/>
  <c r="M185" i="1" s="1"/>
  <c r="M220" i="3" l="1"/>
  <c r="Z220" i="3" s="1"/>
  <c r="AA185" i="1"/>
  <c r="M203" i="3"/>
  <c r="Z203" i="3" s="1"/>
  <c r="N156" i="1"/>
  <c r="AA156" i="1" s="1"/>
  <c r="N159" i="1"/>
  <c r="AA159" i="1" s="1"/>
  <c r="E156" i="1"/>
  <c r="M156" i="1" s="1"/>
  <c r="E159" i="1"/>
  <c r="M159" i="1" s="1"/>
  <c r="T185" i="1"/>
  <c r="S220" i="3" s="1"/>
  <c r="S203" i="3" s="1"/>
  <c r="S191" i="3" s="1"/>
  <c r="T184" i="1"/>
  <c r="M191" i="3" l="1"/>
  <c r="Z191" i="3" s="1"/>
  <c r="T156" i="1"/>
  <c r="T159" i="1"/>
  <c r="D289" i="1"/>
  <c r="E336" i="1" l="1"/>
  <c r="H313" i="3" l="1"/>
  <c r="G313" i="3"/>
  <c r="E313" i="3"/>
  <c r="F313" i="3"/>
  <c r="P313" i="3" l="1"/>
  <c r="Q313" i="3"/>
  <c r="R313" i="3"/>
  <c r="N313" i="3"/>
  <c r="O313" i="3"/>
  <c r="N236" i="1" l="1"/>
  <c r="E236" i="1"/>
  <c r="M236" i="1" s="1"/>
  <c r="N182" i="1"/>
  <c r="AA182" i="1" s="1"/>
  <c r="E182" i="1"/>
  <c r="M182" i="1" s="1"/>
  <c r="N44" i="1"/>
  <c r="AA44" i="1" s="1"/>
  <c r="M211" i="3" l="1"/>
  <c r="Z211" i="3" s="1"/>
  <c r="D211" i="3"/>
  <c r="T44" i="1"/>
  <c r="D213" i="3"/>
  <c r="T43" i="1"/>
  <c r="T182" i="1"/>
  <c r="T236" i="1"/>
  <c r="S211" i="3" s="1"/>
  <c r="E187" i="1" l="1"/>
  <c r="M187" i="1" s="1"/>
  <c r="N187" i="1"/>
  <c r="AA187" i="1" s="1"/>
  <c r="N161" i="1" l="1"/>
  <c r="AA161" i="1" s="1"/>
  <c r="T187" i="1"/>
  <c r="D250" i="3"/>
  <c r="E161" i="1"/>
  <c r="M161" i="1" s="1"/>
  <c r="N360" i="1"/>
  <c r="M250" i="3" l="1"/>
  <c r="Z250" i="3" s="1"/>
  <c r="AA360" i="1"/>
  <c r="M245" i="3"/>
  <c r="Z245" i="3" s="1"/>
  <c r="T161" i="1"/>
  <c r="N336" i="1"/>
  <c r="AA336" i="1" s="1"/>
  <c r="E424" i="1"/>
  <c r="N424" i="1"/>
  <c r="D245" i="3"/>
  <c r="T360" i="1"/>
  <c r="T336" i="1" s="1"/>
  <c r="T424" i="1" s="1"/>
  <c r="AA424" i="1" l="1"/>
  <c r="S250" i="3"/>
  <c r="S245" i="3" s="1"/>
  <c r="S196" i="3" s="1"/>
  <c r="S302" i="3" s="1"/>
  <c r="M196" i="3"/>
  <c r="Z196" i="3" s="1"/>
  <c r="D196" i="3"/>
  <c r="M302" i="3" l="1"/>
  <c r="M313" i="3"/>
  <c r="D302" i="3"/>
  <c r="Z302" i="3" l="1"/>
  <c r="D313" i="3"/>
  <c r="S313" i="3" l="1"/>
  <c r="N167" i="1"/>
  <c r="E167" i="1"/>
  <c r="M167" i="1" s="1"/>
  <c r="N166" i="1"/>
  <c r="N165" i="1"/>
  <c r="E165" i="1"/>
  <c r="M165" i="1" s="1"/>
  <c r="N174" i="1"/>
  <c r="AA174" i="1" s="1"/>
  <c r="E174" i="1"/>
  <c r="M174" i="1" s="1"/>
  <c r="E171" i="1"/>
  <c r="M171" i="1" s="1"/>
  <c r="M100" i="3" l="1"/>
  <c r="Z100" i="3" s="1"/>
  <c r="AA165" i="1"/>
  <c r="M102" i="3"/>
  <c r="Z102" i="3" s="1"/>
  <c r="AA167" i="1"/>
  <c r="M101" i="3"/>
  <c r="Z101" i="3" s="1"/>
  <c r="AA166" i="1"/>
  <c r="M109" i="3"/>
  <c r="Z109" i="3" s="1"/>
  <c r="M96" i="3"/>
  <c r="Z96" i="3" s="1"/>
  <c r="N155" i="1"/>
  <c r="AA155" i="1" s="1"/>
  <c r="N160" i="1"/>
  <c r="AA160" i="1" s="1"/>
  <c r="D100" i="3"/>
  <c r="L100" i="3" s="1"/>
  <c r="T171" i="1"/>
  <c r="S106" i="3" s="1"/>
  <c r="D109" i="3"/>
  <c r="L109" i="3" s="1"/>
  <c r="E160" i="1"/>
  <c r="M160" i="1" s="1"/>
  <c r="D102" i="3"/>
  <c r="L102" i="3" s="1"/>
  <c r="D106" i="3"/>
  <c r="L106" i="3" s="1"/>
  <c r="E155" i="1"/>
  <c r="M155" i="1" s="1"/>
  <c r="E166" i="1"/>
  <c r="M166" i="1" s="1"/>
  <c r="T174" i="1"/>
  <c r="S109" i="3" s="1"/>
  <c r="T165" i="1"/>
  <c r="S100" i="3" s="1"/>
  <c r="T167" i="1"/>
  <c r="M93" i="3" l="1"/>
  <c r="Z93" i="3" s="1"/>
  <c r="S93" i="3"/>
  <c r="T160" i="1"/>
  <c r="S102" i="3"/>
  <c r="S96" i="3" s="1"/>
  <c r="D96" i="3"/>
  <c r="L96" i="3" s="1"/>
  <c r="T155" i="1"/>
  <c r="T166" i="1"/>
  <c r="S101" i="3" s="1"/>
  <c r="D101" i="3"/>
  <c r="L101" i="3" s="1"/>
  <c r="H311" i="3" l="1"/>
  <c r="Q311" i="3"/>
  <c r="E311" i="3"/>
  <c r="N311" i="3"/>
  <c r="R311" i="3"/>
  <c r="F311" i="3"/>
  <c r="O311" i="3"/>
  <c r="G311" i="3"/>
  <c r="N234" i="1"/>
  <c r="N220" i="1"/>
  <c r="E220" i="1"/>
  <c r="M220" i="1" s="1"/>
  <c r="N218" i="1"/>
  <c r="E218" i="1"/>
  <c r="M218" i="1" s="1"/>
  <c r="N211" i="1"/>
  <c r="E211" i="1"/>
  <c r="M211" i="1" s="1"/>
  <c r="N209" i="1"/>
  <c r="E209" i="1"/>
  <c r="M209" i="1" s="1"/>
  <c r="N205" i="1"/>
  <c r="M126" i="3" s="1"/>
  <c r="N179" i="1"/>
  <c r="AA179" i="1" s="1"/>
  <c r="E179" i="1"/>
  <c r="M179" i="1" s="1"/>
  <c r="N178" i="1"/>
  <c r="E178" i="1"/>
  <c r="M178" i="1" s="1"/>
  <c r="N176" i="1"/>
  <c r="E176" i="1"/>
  <c r="M176" i="1" s="1"/>
  <c r="N103" i="1"/>
  <c r="D66" i="3"/>
  <c r="L66" i="3" s="1"/>
  <c r="N89" i="1"/>
  <c r="M51" i="3" s="1"/>
  <c r="N88" i="1"/>
  <c r="M50" i="3" s="1"/>
  <c r="E70" i="1"/>
  <c r="M70" i="1" s="1"/>
  <c r="N85" i="1"/>
  <c r="M111" i="3" l="1"/>
  <c r="Z111" i="3" s="1"/>
  <c r="AA176" i="1"/>
  <c r="M113" i="3"/>
  <c r="Z113" i="3" s="1"/>
  <c r="AA178" i="1"/>
  <c r="M146" i="3"/>
  <c r="Z146" i="3" s="1"/>
  <c r="M24" i="3"/>
  <c r="M160" i="3"/>
  <c r="M27" i="3"/>
  <c r="M94" i="3"/>
  <c r="Z94" i="3" s="1"/>
  <c r="M130" i="3"/>
  <c r="M132" i="3"/>
  <c r="M114" i="3"/>
  <c r="Z114" i="3" s="1"/>
  <c r="M66" i="3"/>
  <c r="M46" i="3"/>
  <c r="M144" i="3"/>
  <c r="E422" i="1"/>
  <c r="E421" i="1"/>
  <c r="N73" i="1"/>
  <c r="N70" i="1"/>
  <c r="N197" i="1"/>
  <c r="N158" i="1"/>
  <c r="AA158" i="1" s="1"/>
  <c r="N157" i="1"/>
  <c r="AA157" i="1" s="1"/>
  <c r="D220" i="3"/>
  <c r="L220" i="3" s="1"/>
  <c r="D132" i="3"/>
  <c r="L132" i="3" s="1"/>
  <c r="D146" i="3"/>
  <c r="L146" i="3" s="1"/>
  <c r="D130" i="3"/>
  <c r="L130" i="3" s="1"/>
  <c r="D144" i="3"/>
  <c r="L144" i="3" s="1"/>
  <c r="P311" i="3"/>
  <c r="T117" i="1"/>
  <c r="D51" i="3"/>
  <c r="L51" i="3" s="1"/>
  <c r="D50" i="3"/>
  <c r="L50" i="3" s="1"/>
  <c r="E265" i="1"/>
  <c r="M265" i="1" s="1"/>
  <c r="D114" i="3"/>
  <c r="L114" i="3" s="1"/>
  <c r="E158" i="1"/>
  <c r="M158" i="1" s="1"/>
  <c r="D111" i="3"/>
  <c r="L111" i="3" s="1"/>
  <c r="D80" i="3"/>
  <c r="L80" i="3" s="1"/>
  <c r="E205" i="1"/>
  <c r="M205" i="1" s="1"/>
  <c r="E234" i="1"/>
  <c r="M234" i="1" s="1"/>
  <c r="E157" i="1"/>
  <c r="M157" i="1" s="1"/>
  <c r="D113" i="3"/>
  <c r="L113" i="3" s="1"/>
  <c r="D46" i="3"/>
  <c r="L46" i="3" s="1"/>
  <c r="T209" i="1"/>
  <c r="S130" i="3" s="1"/>
  <c r="T211" i="1"/>
  <c r="S132" i="3" s="1"/>
  <c r="T218" i="1"/>
  <c r="S144" i="3" s="1"/>
  <c r="T220" i="1"/>
  <c r="S146" i="3" s="1"/>
  <c r="T176" i="1"/>
  <c r="S111" i="3" s="1"/>
  <c r="T178" i="1"/>
  <c r="T179" i="1"/>
  <c r="S114" i="3" s="1"/>
  <c r="T88" i="1"/>
  <c r="T89" i="1"/>
  <c r="T103" i="1"/>
  <c r="S66" i="3" s="1"/>
  <c r="M421" i="1" l="1"/>
  <c r="M422" i="1"/>
  <c r="M120" i="3"/>
  <c r="T73" i="1"/>
  <c r="S51" i="3"/>
  <c r="S27" i="3" s="1"/>
  <c r="T70" i="1"/>
  <c r="T421" i="1" s="1"/>
  <c r="S50" i="3"/>
  <c r="S24" i="3" s="1"/>
  <c r="S299" i="3" s="1"/>
  <c r="M95" i="3"/>
  <c r="Z95" i="3" s="1"/>
  <c r="M299" i="3"/>
  <c r="Z299" i="3" s="1"/>
  <c r="T75" i="1"/>
  <c r="S80" i="3"/>
  <c r="S29" i="3" s="1"/>
  <c r="D203" i="3"/>
  <c r="L203" i="3" s="1"/>
  <c r="D27" i="3"/>
  <c r="L27" i="3" s="1"/>
  <c r="D29" i="3"/>
  <c r="L29" i="3" s="1"/>
  <c r="T157" i="1"/>
  <c r="S113" i="3"/>
  <c r="S94" i="3" s="1"/>
  <c r="M300" i="3"/>
  <c r="Z300" i="3" s="1"/>
  <c r="S95" i="3"/>
  <c r="D24" i="3"/>
  <c r="L24" i="3" s="1"/>
  <c r="N422" i="1"/>
  <c r="N421" i="1"/>
  <c r="T158" i="1"/>
  <c r="E197" i="1"/>
  <c r="M197" i="1" s="1"/>
  <c r="D95" i="3"/>
  <c r="L95" i="3" s="1"/>
  <c r="D126" i="3"/>
  <c r="L126" i="3" s="1"/>
  <c r="T234" i="1"/>
  <c r="S160" i="3" s="1"/>
  <c r="D160" i="3"/>
  <c r="L160" i="3" s="1"/>
  <c r="T205" i="1"/>
  <c r="T85" i="1"/>
  <c r="S46" i="3" s="1"/>
  <c r="AA422" i="1" l="1"/>
  <c r="AA421" i="1"/>
  <c r="D300" i="3"/>
  <c r="D299" i="3"/>
  <c r="S300" i="3"/>
  <c r="T197" i="1"/>
  <c r="S126" i="3"/>
  <c r="S120" i="3" s="1"/>
  <c r="T422" i="1"/>
  <c r="M311" i="3"/>
  <c r="D120" i="3"/>
  <c r="L120" i="3" s="1"/>
  <c r="C265" i="3"/>
  <c r="D59" i="1"/>
  <c r="N59" i="1"/>
  <c r="M268" i="3" s="1"/>
  <c r="E59" i="1"/>
  <c r="M59" i="1" s="1"/>
  <c r="L299" i="3" l="1"/>
  <c r="L300" i="3"/>
  <c r="M265" i="3"/>
  <c r="N18" i="1"/>
  <c r="E18" i="1"/>
  <c r="M18" i="1" s="1"/>
  <c r="G312" i="3"/>
  <c r="P312" i="3"/>
  <c r="H312" i="3"/>
  <c r="Q312" i="3"/>
  <c r="N312" i="3"/>
  <c r="R312" i="3"/>
  <c r="F312" i="3"/>
  <c r="O312" i="3"/>
  <c r="T59" i="1"/>
  <c r="D268" i="3"/>
  <c r="L268" i="3" s="1"/>
  <c r="T18" i="1" l="1"/>
  <c r="T423" i="1" s="1"/>
  <c r="S268" i="3"/>
  <c r="S265" i="3" s="1"/>
  <c r="S263" i="3" s="1"/>
  <c r="S301" i="3" s="1"/>
  <c r="M263" i="3"/>
  <c r="E423" i="1"/>
  <c r="N423" i="1"/>
  <c r="E312" i="3"/>
  <c r="D265" i="3"/>
  <c r="L265" i="3" s="1"/>
  <c r="AA423" i="1" l="1"/>
  <c r="M423" i="1"/>
  <c r="D263" i="3"/>
  <c r="L263" i="3" s="1"/>
  <c r="M301" i="3"/>
  <c r="Z301" i="3" s="1"/>
  <c r="E181" i="1"/>
  <c r="M181" i="1" s="1"/>
  <c r="N67" i="1"/>
  <c r="AA67" i="1" s="1"/>
  <c r="M297" i="3" l="1"/>
  <c r="Z297" i="3" s="1"/>
  <c r="D301" i="3"/>
  <c r="D297" i="3"/>
  <c r="L297" i="3" s="1"/>
  <c r="T67" i="1"/>
  <c r="S297" i="3" s="1"/>
  <c r="L301" i="3" l="1"/>
  <c r="E289" i="1"/>
  <c r="C289" i="1"/>
  <c r="D215" i="3" l="1"/>
  <c r="T289" i="1"/>
  <c r="S215" i="3" s="1"/>
  <c r="E313" i="1" l="1"/>
  <c r="M313" i="1" s="1"/>
  <c r="C313" i="1"/>
  <c r="D313" i="1"/>
  <c r="B313" i="1"/>
  <c r="T313" i="1" l="1"/>
  <c r="C314" i="1" l="1"/>
  <c r="D314" i="1"/>
  <c r="B314" i="1"/>
  <c r="E46" i="1" l="1"/>
  <c r="M46" i="1" s="1"/>
  <c r="E48" i="1"/>
  <c r="M48" i="1" s="1"/>
  <c r="N45" i="1"/>
  <c r="N46" i="1"/>
  <c r="N48" i="1"/>
  <c r="C46" i="1"/>
  <c r="D46" i="1"/>
  <c r="D48" i="1"/>
  <c r="B48" i="1"/>
  <c r="B46" i="1"/>
  <c r="M233" i="3" l="1"/>
  <c r="M236" i="3"/>
  <c r="M234" i="3"/>
  <c r="Z234" i="3" s="1"/>
  <c r="D234" i="3"/>
  <c r="L234" i="3" s="1"/>
  <c r="D236" i="3"/>
  <c r="L236" i="3" s="1"/>
  <c r="T48" i="1"/>
  <c r="S236" i="3" s="1"/>
  <c r="T46" i="1"/>
  <c r="S234" i="3" s="1"/>
  <c r="N305" i="1" l="1"/>
  <c r="AA305" i="1" s="1"/>
  <c r="D240" i="3"/>
  <c r="L240" i="3" s="1"/>
  <c r="D229" i="3" l="1"/>
  <c r="L229" i="3" s="1"/>
  <c r="M240" i="3"/>
  <c r="Z240" i="3" s="1"/>
  <c r="T305" i="1"/>
  <c r="S240" i="3" s="1"/>
  <c r="N183" i="1"/>
  <c r="AA183" i="1" s="1"/>
  <c r="E183" i="1"/>
  <c r="M183" i="1" s="1"/>
  <c r="D183" i="1"/>
  <c r="C183" i="1"/>
  <c r="B183" i="1"/>
  <c r="D355" i="1"/>
  <c r="C355" i="1"/>
  <c r="B355" i="1"/>
  <c r="D290" i="1"/>
  <c r="C290" i="1"/>
  <c r="B290" i="1"/>
  <c r="M229" i="3" l="1"/>
  <c r="T183" i="1"/>
  <c r="N355" i="1"/>
  <c r="AA355" i="1" s="1"/>
  <c r="E355" i="1"/>
  <c r="M217" i="3" l="1"/>
  <c r="Z217" i="3" s="1"/>
  <c r="D217" i="3"/>
  <c r="T355" i="1"/>
  <c r="S217" i="3" s="1"/>
  <c r="O380" i="1" l="1"/>
  <c r="N362" i="1" l="1"/>
  <c r="AA362" i="1" s="1"/>
  <c r="E362" i="1"/>
  <c r="M362" i="1" s="1"/>
  <c r="T362" i="1" l="1"/>
  <c r="N356" i="1" l="1"/>
  <c r="AA356" i="1" s="1"/>
  <c r="E356" i="1"/>
  <c r="M219" i="3" l="1"/>
  <c r="Z219" i="3" s="1"/>
  <c r="D219" i="3"/>
  <c r="L219" i="3" s="1"/>
  <c r="T356" i="1"/>
  <c r="S219" i="3" s="1"/>
  <c r="N189" i="1" l="1"/>
  <c r="AA189" i="1" s="1"/>
  <c r="E189" i="1"/>
  <c r="M189" i="1" s="1"/>
  <c r="M260" i="3" l="1"/>
  <c r="Z260" i="3" s="1"/>
  <c r="D260" i="3"/>
  <c r="L260" i="3" s="1"/>
  <c r="T189" i="1"/>
  <c r="S260" i="3" s="1"/>
  <c r="D203" i="1"/>
  <c r="B352" i="1" l="1"/>
  <c r="N352" i="1"/>
  <c r="AA352" i="1" s="1"/>
  <c r="M213" i="3" l="1"/>
  <c r="Z213" i="3" s="1"/>
  <c r="T352" i="1"/>
  <c r="S213" i="3" s="1"/>
  <c r="D240" i="1" l="1"/>
  <c r="G380" i="1"/>
  <c r="H380" i="1"/>
  <c r="P380" i="1"/>
  <c r="Q380" i="1"/>
  <c r="R380" i="1"/>
  <c r="S380" i="1"/>
  <c r="I380" i="1" l="1"/>
  <c r="F380" i="1" l="1"/>
  <c r="D323" i="1" l="1"/>
  <c r="N260" i="1" l="1"/>
  <c r="AA260" i="1" s="1"/>
  <c r="E260" i="1"/>
  <c r="C260" i="1"/>
  <c r="D260" i="1"/>
  <c r="B260" i="1"/>
  <c r="T260" i="1" l="1"/>
  <c r="D280" i="3"/>
  <c r="L280" i="3" s="1"/>
  <c r="N82" i="1"/>
  <c r="AA82" i="1" s="1"/>
  <c r="N409" i="1"/>
  <c r="N410" i="1"/>
  <c r="N412" i="1"/>
  <c r="N413" i="1"/>
  <c r="AA413" i="1" s="1"/>
  <c r="N414" i="1"/>
  <c r="N415" i="1"/>
  <c r="N416" i="1"/>
  <c r="AA416" i="1" s="1"/>
  <c r="N408" i="1"/>
  <c r="N382" i="1"/>
  <c r="AA382" i="1" s="1"/>
  <c r="N383" i="1"/>
  <c r="AA383" i="1" s="1"/>
  <c r="N384" i="1"/>
  <c r="AA384" i="1" s="1"/>
  <c r="N385" i="1"/>
  <c r="AA385" i="1" s="1"/>
  <c r="N386" i="1"/>
  <c r="AA386" i="1" s="1"/>
  <c r="N381" i="1"/>
  <c r="AA381" i="1" s="1"/>
  <c r="N374" i="1"/>
  <c r="N347" i="1"/>
  <c r="AA347" i="1" s="1"/>
  <c r="N348" i="1"/>
  <c r="AA348" i="1" s="1"/>
  <c r="N349" i="1"/>
  <c r="AA349" i="1" s="1"/>
  <c r="N350" i="1"/>
  <c r="AA350" i="1" s="1"/>
  <c r="N353" i="1"/>
  <c r="AA353" i="1" s="1"/>
  <c r="N366" i="1"/>
  <c r="AA366" i="1" s="1"/>
  <c r="N367" i="1"/>
  <c r="AA367" i="1" s="1"/>
  <c r="N371" i="1"/>
  <c r="AA371" i="1" s="1"/>
  <c r="N338" i="1"/>
  <c r="N327" i="1"/>
  <c r="AA327" i="1" s="1"/>
  <c r="N274" i="1"/>
  <c r="N275" i="1"/>
  <c r="N276" i="1"/>
  <c r="N280" i="1"/>
  <c r="AA280" i="1" s="1"/>
  <c r="N281" i="1"/>
  <c r="AA281" i="1" s="1"/>
  <c r="N286" i="1"/>
  <c r="AA286" i="1" s="1"/>
  <c r="N309" i="1"/>
  <c r="N323" i="1"/>
  <c r="AA323" i="1" s="1"/>
  <c r="N272" i="1"/>
  <c r="N255" i="1"/>
  <c r="N256" i="1"/>
  <c r="N257" i="1"/>
  <c r="N259" i="1"/>
  <c r="AA259" i="1" s="1"/>
  <c r="N252" i="1"/>
  <c r="N245" i="1"/>
  <c r="N246" i="1"/>
  <c r="N244" i="1"/>
  <c r="N203" i="1"/>
  <c r="N204" i="1"/>
  <c r="N206" i="1"/>
  <c r="N207" i="1"/>
  <c r="N208" i="1"/>
  <c r="N210" i="1"/>
  <c r="N212" i="1"/>
  <c r="N214" i="1"/>
  <c r="N217" i="1"/>
  <c r="N219" i="1"/>
  <c r="N221" i="1"/>
  <c r="N222" i="1"/>
  <c r="N223" i="1"/>
  <c r="N224" i="1"/>
  <c r="N225" i="1"/>
  <c r="N232" i="1"/>
  <c r="N233" i="1"/>
  <c r="N240" i="1"/>
  <c r="N200" i="1"/>
  <c r="N164" i="1"/>
  <c r="AA164" i="1" s="1"/>
  <c r="N170" i="1"/>
  <c r="N173" i="1"/>
  <c r="N175" i="1"/>
  <c r="AA175" i="1" s="1"/>
  <c r="N177" i="1"/>
  <c r="AA177" i="1" s="1"/>
  <c r="N180" i="1"/>
  <c r="N181" i="1"/>
  <c r="AA181" i="1" s="1"/>
  <c r="N163" i="1"/>
  <c r="N87" i="1"/>
  <c r="N90" i="1"/>
  <c r="N99" i="1"/>
  <c r="AA99" i="1" s="1"/>
  <c r="N105" i="1"/>
  <c r="N106" i="1"/>
  <c r="N108" i="1"/>
  <c r="N116" i="1"/>
  <c r="N81" i="1"/>
  <c r="N25" i="1"/>
  <c r="N26" i="1"/>
  <c r="N28" i="1"/>
  <c r="N30" i="1"/>
  <c r="AA30" i="1" s="1"/>
  <c r="N31" i="1"/>
  <c r="N32" i="1"/>
  <c r="N33" i="1"/>
  <c r="N34" i="1"/>
  <c r="N35" i="1"/>
  <c r="AA35" i="1" s="1"/>
  <c r="N36" i="1"/>
  <c r="N37" i="1"/>
  <c r="N38" i="1"/>
  <c r="AA38" i="1" s="1"/>
  <c r="N39" i="1"/>
  <c r="N40" i="1"/>
  <c r="AA40" i="1" s="1"/>
  <c r="N41" i="1"/>
  <c r="N51" i="1"/>
  <c r="AA51" i="1" s="1"/>
  <c r="N53" i="1"/>
  <c r="AA53" i="1" s="1"/>
  <c r="N54" i="1"/>
  <c r="N55" i="1"/>
  <c r="AA55" i="1" s="1"/>
  <c r="N56" i="1"/>
  <c r="N57" i="1"/>
  <c r="AA57" i="1" s="1"/>
  <c r="N58" i="1"/>
  <c r="AA58" i="1" s="1"/>
  <c r="N60" i="1"/>
  <c r="N62" i="1"/>
  <c r="AA62" i="1" s="1"/>
  <c r="N20" i="1"/>
  <c r="AA20" i="1" s="1"/>
  <c r="M173" i="3" l="1"/>
  <c r="M280" i="3"/>
  <c r="M270" i="3"/>
  <c r="M151" i="3"/>
  <c r="M175" i="3"/>
  <c r="M125" i="3"/>
  <c r="M112" i="3"/>
  <c r="Z112" i="3" s="1"/>
  <c r="M278" i="3"/>
  <c r="M108" i="3"/>
  <c r="M169" i="3"/>
  <c r="M71" i="3"/>
  <c r="M105" i="3"/>
  <c r="M143" i="3"/>
  <c r="M178" i="3"/>
  <c r="Z178" i="3" s="1"/>
  <c r="M274" i="3"/>
  <c r="M288" i="3"/>
  <c r="Z288" i="3" s="1"/>
  <c r="M148" i="3"/>
  <c r="M135" i="3"/>
  <c r="M170" i="3"/>
  <c r="M79" i="3"/>
  <c r="M69" i="3"/>
  <c r="M140" i="3"/>
  <c r="M150" i="3"/>
  <c r="M174" i="3"/>
  <c r="Z174" i="3" s="1"/>
  <c r="M210" i="3"/>
  <c r="Z210" i="3" s="1"/>
  <c r="M184" i="3"/>
  <c r="Z184" i="3" s="1"/>
  <c r="M206" i="3"/>
  <c r="Z206" i="3" s="1"/>
  <c r="M134" i="3"/>
  <c r="M166" i="3"/>
  <c r="M259" i="3"/>
  <c r="M165" i="3"/>
  <c r="M68" i="3"/>
  <c r="M133" i="3"/>
  <c r="M248" i="3"/>
  <c r="M127" i="3"/>
  <c r="M137" i="3"/>
  <c r="M214" i="3"/>
  <c r="Z214" i="3" s="1"/>
  <c r="M124" i="3"/>
  <c r="M208" i="3"/>
  <c r="Z208" i="3" s="1"/>
  <c r="M110" i="3"/>
  <c r="Z110" i="3" s="1"/>
  <c r="M188" i="3"/>
  <c r="Z188" i="3" s="1"/>
  <c r="M266" i="3"/>
  <c r="Z266" i="3" s="1"/>
  <c r="M164" i="3"/>
  <c r="M61" i="3"/>
  <c r="Z61" i="3" s="1"/>
  <c r="M296" i="3"/>
  <c r="Z296" i="3" s="1"/>
  <c r="M131" i="3"/>
  <c r="M254" i="3"/>
  <c r="Z254" i="3" s="1"/>
  <c r="M36" i="3"/>
  <c r="Z36" i="3" s="1"/>
  <c r="M201" i="3"/>
  <c r="M116" i="3"/>
  <c r="Z116" i="3" s="1"/>
  <c r="M149" i="3"/>
  <c r="M18" i="3"/>
  <c r="Z18" i="3" s="1"/>
  <c r="M171" i="3"/>
  <c r="Z171" i="3" s="1"/>
  <c r="M147" i="3"/>
  <c r="Z147" i="3" s="1"/>
  <c r="M145" i="3"/>
  <c r="Z145" i="3" s="1"/>
  <c r="M267" i="3"/>
  <c r="Z267" i="3" s="1"/>
  <c r="M159" i="3"/>
  <c r="M129" i="3"/>
  <c r="M253" i="3"/>
  <c r="Z253" i="3" s="1"/>
  <c r="D279" i="3"/>
  <c r="L279" i="3" s="1"/>
  <c r="M139" i="3"/>
  <c r="M115" i="3"/>
  <c r="M275" i="3"/>
  <c r="Z275" i="3" s="1"/>
  <c r="M183" i="3"/>
  <c r="Z183" i="3" s="1"/>
  <c r="M179" i="3"/>
  <c r="M99" i="3"/>
  <c r="Z99" i="3" s="1"/>
  <c r="M257" i="3"/>
  <c r="M52" i="3"/>
  <c r="M255" i="3"/>
  <c r="Z255" i="3" s="1"/>
  <c r="M49" i="3"/>
  <c r="M158" i="3"/>
  <c r="M128" i="3"/>
  <c r="M189" i="3"/>
  <c r="N242" i="1"/>
  <c r="N407" i="1"/>
  <c r="AA407" i="1" s="1"/>
  <c r="N373" i="1"/>
  <c r="T20" i="1"/>
  <c r="N17" i="1"/>
  <c r="AA17" i="1" s="1"/>
  <c r="N251" i="1"/>
  <c r="AA251" i="1" s="1"/>
  <c r="N365" i="1"/>
  <c r="AA365" i="1" s="1"/>
  <c r="N380" i="1"/>
  <c r="AA380" i="1" s="1"/>
  <c r="N359" i="1"/>
  <c r="AA359" i="1" s="1"/>
  <c r="N312" i="1"/>
  <c r="AA312" i="1" s="1"/>
  <c r="M92" i="3" l="1"/>
  <c r="Z92" i="3" s="1"/>
  <c r="M16" i="3"/>
  <c r="Z16" i="3" s="1"/>
  <c r="M264" i="3"/>
  <c r="Z264" i="3" s="1"/>
  <c r="M293" i="3"/>
  <c r="Z293" i="3" s="1"/>
  <c r="M202" i="3"/>
  <c r="Z202" i="3" s="1"/>
  <c r="M269" i="3"/>
  <c r="M287" i="3"/>
  <c r="Z287" i="3" s="1"/>
  <c r="M176" i="3"/>
  <c r="Z176" i="3" s="1"/>
  <c r="M279" i="3"/>
  <c r="M167" i="3"/>
  <c r="Z167" i="3" s="1"/>
  <c r="M272" i="3"/>
  <c r="Z272" i="3" s="1"/>
  <c r="M200" i="3"/>
  <c r="M162" i="3"/>
  <c r="Z162" i="3" s="1"/>
  <c r="M258" i="3"/>
  <c r="Z258" i="3" s="1"/>
  <c r="N16" i="1"/>
  <c r="AA16" i="1" s="1"/>
  <c r="N372" i="1"/>
  <c r="N250" i="1"/>
  <c r="AA250" i="1" s="1"/>
  <c r="N333" i="1"/>
  <c r="AA333" i="1" s="1"/>
  <c r="N364" i="1"/>
  <c r="AA364" i="1" s="1"/>
  <c r="N262" i="1"/>
  <c r="AA262" i="1" s="1"/>
  <c r="N406" i="1"/>
  <c r="AA406" i="1" s="1"/>
  <c r="N241" i="1"/>
  <c r="E412" i="1"/>
  <c r="M412" i="1" s="1"/>
  <c r="D412" i="1"/>
  <c r="B412" i="1"/>
  <c r="M285" i="3" l="1"/>
  <c r="Z285" i="3" s="1"/>
  <c r="M262" i="3"/>
  <c r="Z262" i="3" s="1"/>
  <c r="N261" i="1"/>
  <c r="AA261" i="1" s="1"/>
  <c r="N332" i="1"/>
  <c r="AA332" i="1" s="1"/>
  <c r="D274" i="3"/>
  <c r="L274" i="3" s="1"/>
  <c r="N186" i="1"/>
  <c r="T412" i="1"/>
  <c r="S274" i="3" s="1"/>
  <c r="M249" i="3" l="1"/>
  <c r="Z249" i="3" s="1"/>
  <c r="AA186" i="1"/>
  <c r="N153" i="1"/>
  <c r="AA153" i="1" s="1"/>
  <c r="M244" i="3" l="1"/>
  <c r="Z244" i="3" s="1"/>
  <c r="M190" i="3"/>
  <c r="Z190" i="3" s="1"/>
  <c r="N152" i="1"/>
  <c r="AA152" i="1" s="1"/>
  <c r="C291" i="1"/>
  <c r="D291" i="1"/>
  <c r="B291" i="1"/>
  <c r="D218" i="3" l="1"/>
  <c r="L218" i="3" s="1"/>
  <c r="N83" i="1" l="1"/>
  <c r="M38" i="3" l="1"/>
  <c r="Z38" i="3" s="1"/>
  <c r="AA83" i="1"/>
  <c r="M23" i="3"/>
  <c r="Z23" i="3" s="1"/>
  <c r="N69" i="1"/>
  <c r="AA69" i="1" s="1"/>
  <c r="D55" i="1"/>
  <c r="D371" i="1"/>
  <c r="D312" i="1"/>
  <c r="C255" i="1"/>
  <c r="B255" i="1"/>
  <c r="D245" i="1"/>
  <c r="T415" i="1"/>
  <c r="S280" i="3" s="1"/>
  <c r="S279" i="3" s="1"/>
  <c r="E409" i="1"/>
  <c r="M409" i="1" s="1"/>
  <c r="E413" i="1"/>
  <c r="E414" i="1"/>
  <c r="M414" i="1" s="1"/>
  <c r="D288" i="3"/>
  <c r="L288" i="3" s="1"/>
  <c r="E382" i="1"/>
  <c r="M382" i="1" s="1"/>
  <c r="E383" i="1"/>
  <c r="M383" i="1" s="1"/>
  <c r="E384" i="1"/>
  <c r="M384" i="1" s="1"/>
  <c r="E385" i="1"/>
  <c r="M385" i="1" s="1"/>
  <c r="E386" i="1"/>
  <c r="M386" i="1" s="1"/>
  <c r="E381" i="1"/>
  <c r="M381" i="1" s="1"/>
  <c r="O379" i="1"/>
  <c r="P379" i="1"/>
  <c r="Q379" i="1"/>
  <c r="R379" i="1"/>
  <c r="S379" i="1"/>
  <c r="F379" i="1"/>
  <c r="G379" i="1"/>
  <c r="H379" i="1"/>
  <c r="I379" i="1"/>
  <c r="E374" i="1"/>
  <c r="M374" i="1" s="1"/>
  <c r="E367" i="1"/>
  <c r="M367" i="1" s="1"/>
  <c r="E371" i="1"/>
  <c r="M371" i="1" s="1"/>
  <c r="E366" i="1"/>
  <c r="M366" i="1" s="1"/>
  <c r="O364" i="1"/>
  <c r="P364" i="1"/>
  <c r="Q364" i="1"/>
  <c r="R364" i="1"/>
  <c r="S364" i="1"/>
  <c r="F364" i="1"/>
  <c r="G364" i="1"/>
  <c r="H364" i="1"/>
  <c r="I364" i="1"/>
  <c r="D188" i="3"/>
  <c r="E348" i="1"/>
  <c r="E349" i="1"/>
  <c r="E350" i="1"/>
  <c r="E353" i="1"/>
  <c r="E359" i="1"/>
  <c r="E338" i="1"/>
  <c r="M338" i="1" s="1"/>
  <c r="N326" i="1"/>
  <c r="AA326" i="1" s="1"/>
  <c r="E327" i="1"/>
  <c r="M327" i="1" s="1"/>
  <c r="O326" i="1"/>
  <c r="O325" i="1" s="1"/>
  <c r="P326" i="1"/>
  <c r="P325" i="1" s="1"/>
  <c r="Q326" i="1"/>
  <c r="Q325" i="1" s="1"/>
  <c r="R326" i="1"/>
  <c r="R325" i="1" s="1"/>
  <c r="S326" i="1"/>
  <c r="S325" i="1" s="1"/>
  <c r="S420" i="1" s="1"/>
  <c r="F326" i="1"/>
  <c r="F325" i="1" s="1"/>
  <c r="F420" i="1" s="1"/>
  <c r="G326" i="1"/>
  <c r="G325" i="1" s="1"/>
  <c r="G420" i="1" s="1"/>
  <c r="H326" i="1"/>
  <c r="H325" i="1" s="1"/>
  <c r="H420" i="1" s="1"/>
  <c r="I326" i="1"/>
  <c r="I325" i="1" s="1"/>
  <c r="E274" i="1"/>
  <c r="M274" i="1" s="1"/>
  <c r="E275" i="1"/>
  <c r="M275" i="1" s="1"/>
  <c r="E276" i="1"/>
  <c r="M276" i="1" s="1"/>
  <c r="E278" i="1"/>
  <c r="M278" i="1" s="1"/>
  <c r="E279" i="1"/>
  <c r="M279" i="1" s="1"/>
  <c r="E281" i="1"/>
  <c r="M281" i="1" s="1"/>
  <c r="E285" i="1"/>
  <c r="M285" i="1" s="1"/>
  <c r="E288" i="1"/>
  <c r="E309" i="1"/>
  <c r="M309" i="1" s="1"/>
  <c r="E312" i="1"/>
  <c r="T317" i="1"/>
  <c r="E323" i="1"/>
  <c r="M323" i="1" s="1"/>
  <c r="E272" i="1"/>
  <c r="M272" i="1" s="1"/>
  <c r="E259" i="1"/>
  <c r="M259" i="1" s="1"/>
  <c r="E245" i="1"/>
  <c r="M245" i="1" s="1"/>
  <c r="E246" i="1"/>
  <c r="M246" i="1" s="1"/>
  <c r="E244" i="1"/>
  <c r="M244" i="1" s="1"/>
  <c r="E202" i="1"/>
  <c r="M202" i="1" s="1"/>
  <c r="E203" i="1"/>
  <c r="M203" i="1" s="1"/>
  <c r="E204" i="1"/>
  <c r="M204" i="1" s="1"/>
  <c r="E206" i="1"/>
  <c r="M206" i="1" s="1"/>
  <c r="E207" i="1"/>
  <c r="M207" i="1" s="1"/>
  <c r="E208" i="1"/>
  <c r="M208" i="1" s="1"/>
  <c r="E210" i="1"/>
  <c r="M210" i="1" s="1"/>
  <c r="E214" i="1"/>
  <c r="M214" i="1" s="1"/>
  <c r="E217" i="1"/>
  <c r="M217" i="1" s="1"/>
  <c r="E219" i="1"/>
  <c r="M219" i="1" s="1"/>
  <c r="E221" i="1"/>
  <c r="M221" i="1" s="1"/>
  <c r="E222" i="1"/>
  <c r="M222" i="1" s="1"/>
  <c r="E223" i="1"/>
  <c r="M223" i="1" s="1"/>
  <c r="E224" i="1"/>
  <c r="M224" i="1" s="1"/>
  <c r="E225" i="1"/>
  <c r="M225" i="1" s="1"/>
  <c r="E232" i="1"/>
  <c r="M232" i="1" s="1"/>
  <c r="E233" i="1"/>
  <c r="M233" i="1" s="1"/>
  <c r="E240" i="1"/>
  <c r="M240" i="1" s="1"/>
  <c r="E200" i="1"/>
  <c r="M200" i="1" s="1"/>
  <c r="D99" i="3"/>
  <c r="L99" i="3" s="1"/>
  <c r="E170" i="1"/>
  <c r="M170" i="1" s="1"/>
  <c r="E173" i="1"/>
  <c r="M173" i="1" s="1"/>
  <c r="E175" i="1"/>
  <c r="M175" i="1" s="1"/>
  <c r="E177" i="1"/>
  <c r="M177" i="1" s="1"/>
  <c r="E180" i="1"/>
  <c r="M180" i="1" s="1"/>
  <c r="D116" i="3"/>
  <c r="L116" i="3" s="1"/>
  <c r="E186" i="1"/>
  <c r="M186" i="1" s="1"/>
  <c r="E163" i="1"/>
  <c r="M163" i="1" s="1"/>
  <c r="D52" i="3"/>
  <c r="L52" i="3" s="1"/>
  <c r="D61" i="3"/>
  <c r="L61" i="3" s="1"/>
  <c r="D68" i="3"/>
  <c r="L68" i="3" s="1"/>
  <c r="D69" i="3"/>
  <c r="L69" i="3" s="1"/>
  <c r="D71" i="3"/>
  <c r="L71" i="3" s="1"/>
  <c r="D79" i="3"/>
  <c r="L79" i="3" s="1"/>
  <c r="E22" i="1"/>
  <c r="M22" i="1" s="1"/>
  <c r="E25" i="1"/>
  <c r="M25" i="1" s="1"/>
  <c r="E26" i="1"/>
  <c r="M26" i="1" s="1"/>
  <c r="E27" i="1"/>
  <c r="M27" i="1" s="1"/>
  <c r="E28" i="1"/>
  <c r="M28" i="1" s="1"/>
  <c r="E30" i="1"/>
  <c r="M30" i="1" s="1"/>
  <c r="E31" i="1"/>
  <c r="M31" i="1" s="1"/>
  <c r="E32" i="1"/>
  <c r="M32" i="1" s="1"/>
  <c r="E33" i="1"/>
  <c r="M33" i="1" s="1"/>
  <c r="E34" i="1"/>
  <c r="M34" i="1" s="1"/>
  <c r="E35" i="1"/>
  <c r="M35" i="1" s="1"/>
  <c r="E36" i="1"/>
  <c r="M36" i="1" s="1"/>
  <c r="E37" i="1"/>
  <c r="M37" i="1" s="1"/>
  <c r="E38" i="1"/>
  <c r="M38" i="1" s="1"/>
  <c r="E39" i="1"/>
  <c r="M39" i="1" s="1"/>
  <c r="E40" i="1"/>
  <c r="M40" i="1" s="1"/>
  <c r="E41" i="1"/>
  <c r="M41" i="1" s="1"/>
  <c r="E50" i="1"/>
  <c r="M50" i="1" s="1"/>
  <c r="E51" i="1"/>
  <c r="M51" i="1" s="1"/>
  <c r="E53" i="1"/>
  <c r="E54" i="1"/>
  <c r="M54" i="1" s="1"/>
  <c r="E55" i="1"/>
  <c r="E56" i="1"/>
  <c r="M56" i="1" s="1"/>
  <c r="E57" i="1"/>
  <c r="M57" i="1" s="1"/>
  <c r="E58" i="1"/>
  <c r="M58" i="1" s="1"/>
  <c r="E60" i="1"/>
  <c r="M60" i="1" s="1"/>
  <c r="E62" i="1"/>
  <c r="E63" i="1"/>
  <c r="D287" i="3" l="1"/>
  <c r="L287" i="3" s="1"/>
  <c r="I420" i="1"/>
  <c r="Q420" i="1"/>
  <c r="P420" i="1"/>
  <c r="O420" i="1"/>
  <c r="N325" i="1"/>
  <c r="AA325" i="1" s="1"/>
  <c r="N68" i="1"/>
  <c r="AA68" i="1" s="1"/>
  <c r="E194" i="1"/>
  <c r="M194" i="1" s="1"/>
  <c r="E333" i="1"/>
  <c r="M333" i="1" s="1"/>
  <c r="E262" i="1"/>
  <c r="M262" i="1" s="1"/>
  <c r="E251" i="1"/>
  <c r="M251" i="1" s="1"/>
  <c r="E242" i="1"/>
  <c r="M242" i="1" s="1"/>
  <c r="E407" i="1"/>
  <c r="M407" i="1" s="1"/>
  <c r="E153" i="1"/>
  <c r="M153" i="1" s="1"/>
  <c r="E17" i="1"/>
  <c r="M17" i="1" s="1"/>
  <c r="D139" i="3"/>
  <c r="L139" i="3" s="1"/>
  <c r="E326" i="1"/>
  <c r="M326" i="1" s="1"/>
  <c r="E373" i="1"/>
  <c r="M373" i="1" s="1"/>
  <c r="T288" i="1"/>
  <c r="T312" i="1"/>
  <c r="D18" i="3"/>
  <c r="L18" i="3" s="1"/>
  <c r="D115" i="3"/>
  <c r="L115" i="3" s="1"/>
  <c r="D129" i="3"/>
  <c r="L129" i="3" s="1"/>
  <c r="D135" i="3"/>
  <c r="L135" i="3" s="1"/>
  <c r="D181" i="3"/>
  <c r="L181" i="3" s="1"/>
  <c r="D253" i="3"/>
  <c r="D266" i="3"/>
  <c r="L266" i="3" s="1"/>
  <c r="D255" i="3"/>
  <c r="D137" i="3"/>
  <c r="L137" i="3" s="1"/>
  <c r="D112" i="3"/>
  <c r="L112" i="3" s="1"/>
  <c r="D134" i="3"/>
  <c r="L134" i="3" s="1"/>
  <c r="D210" i="3"/>
  <c r="D278" i="3"/>
  <c r="L278" i="3" s="1"/>
  <c r="D147" i="3"/>
  <c r="L147" i="3" s="1"/>
  <c r="D178" i="3"/>
  <c r="L178" i="3" s="1"/>
  <c r="D208" i="3"/>
  <c r="D201" i="3"/>
  <c r="L201" i="3" s="1"/>
  <c r="D136" i="3"/>
  <c r="L136" i="3" s="1"/>
  <c r="D110" i="3"/>
  <c r="L110" i="3" s="1"/>
  <c r="D108" i="3"/>
  <c r="L108" i="3" s="1"/>
  <c r="D145" i="3"/>
  <c r="L145" i="3" s="1"/>
  <c r="D131" i="3"/>
  <c r="L131" i="3" s="1"/>
  <c r="D254" i="3"/>
  <c r="D150" i="3"/>
  <c r="L150" i="3" s="1"/>
  <c r="D149" i="3"/>
  <c r="L149" i="3" s="1"/>
  <c r="D148" i="3"/>
  <c r="L148" i="3" s="1"/>
  <c r="D127" i="3"/>
  <c r="L127" i="3" s="1"/>
  <c r="D123" i="3"/>
  <c r="L123" i="3" s="1"/>
  <c r="D257" i="3"/>
  <c r="L257" i="3" s="1"/>
  <c r="D173" i="3"/>
  <c r="L173" i="3" s="1"/>
  <c r="D170" i="3"/>
  <c r="L170" i="3" s="1"/>
  <c r="D169" i="3"/>
  <c r="L169" i="3" s="1"/>
  <c r="D20" i="3"/>
  <c r="L20" i="3" s="1"/>
  <c r="D267" i="3"/>
  <c r="L267" i="3" s="1"/>
  <c r="E68" i="1"/>
  <c r="M68" i="1" s="1"/>
  <c r="D259" i="3"/>
  <c r="L259" i="3" s="1"/>
  <c r="D36" i="3"/>
  <c r="L36" i="3" s="1"/>
  <c r="D189" i="3"/>
  <c r="L189" i="3" s="1"/>
  <c r="D248" i="3"/>
  <c r="L248" i="3" s="1"/>
  <c r="D249" i="3"/>
  <c r="L249" i="3" s="1"/>
  <c r="D296" i="3"/>
  <c r="L296" i="3" s="1"/>
  <c r="D277" i="3"/>
  <c r="L277" i="3" s="1"/>
  <c r="D38" i="3"/>
  <c r="L38" i="3" s="1"/>
  <c r="D49" i="3"/>
  <c r="L49" i="3" s="1"/>
  <c r="D275" i="3"/>
  <c r="D159" i="3"/>
  <c r="L159" i="3" s="1"/>
  <c r="E365" i="1"/>
  <c r="M365" i="1" s="1"/>
  <c r="D140" i="3"/>
  <c r="L140" i="3" s="1"/>
  <c r="T30" i="1"/>
  <c r="S139" i="3" s="1"/>
  <c r="D175" i="3"/>
  <c r="L175" i="3" s="1"/>
  <c r="E380" i="1"/>
  <c r="M380" i="1" s="1"/>
  <c r="D171" i="3"/>
  <c r="L171" i="3" s="1"/>
  <c r="D163" i="3"/>
  <c r="L163" i="3" s="1"/>
  <c r="D133" i="3"/>
  <c r="L133" i="3" s="1"/>
  <c r="D258" i="3"/>
  <c r="D174" i="3"/>
  <c r="L174" i="3" s="1"/>
  <c r="D243" i="3"/>
  <c r="L243" i="3" s="1"/>
  <c r="D214" i="3"/>
  <c r="T233" i="1"/>
  <c r="T274" i="1"/>
  <c r="D124" i="3"/>
  <c r="L124" i="3" s="1"/>
  <c r="D105" i="3"/>
  <c r="L105" i="3" s="1"/>
  <c r="D182" i="3"/>
  <c r="L182" i="3" s="1"/>
  <c r="D270" i="3"/>
  <c r="L270" i="3" s="1"/>
  <c r="D183" i="3"/>
  <c r="L183" i="3" s="1"/>
  <c r="T323" i="1"/>
  <c r="D179" i="3"/>
  <c r="L179" i="3" s="1"/>
  <c r="D184" i="3"/>
  <c r="L184" i="3" s="1"/>
  <c r="D143" i="3"/>
  <c r="L143" i="3" s="1"/>
  <c r="T272" i="1"/>
  <c r="D165" i="3"/>
  <c r="L165" i="3" s="1"/>
  <c r="D151" i="3"/>
  <c r="L151" i="3" s="1"/>
  <c r="D206" i="3"/>
  <c r="D166" i="3"/>
  <c r="L166" i="3" s="1"/>
  <c r="D164" i="3"/>
  <c r="L164" i="3" s="1"/>
  <c r="T240" i="1"/>
  <c r="D158" i="3"/>
  <c r="L158" i="3" s="1"/>
  <c r="D128" i="3"/>
  <c r="L128" i="3" s="1"/>
  <c r="D125" i="3"/>
  <c r="L125" i="3" s="1"/>
  <c r="T62" i="1"/>
  <c r="T58" i="1"/>
  <c r="S267" i="3" s="1"/>
  <c r="T56" i="1"/>
  <c r="T54" i="1"/>
  <c r="S257" i="3" s="1"/>
  <c r="T51" i="1"/>
  <c r="T116" i="1"/>
  <c r="S79" i="3" s="1"/>
  <c r="T108" i="1"/>
  <c r="S71" i="3" s="1"/>
  <c r="T106" i="1"/>
  <c r="S69" i="3" s="1"/>
  <c r="T90" i="1"/>
  <c r="S52" i="3" s="1"/>
  <c r="T87" i="1"/>
  <c r="S49" i="3" s="1"/>
  <c r="T83" i="1"/>
  <c r="S38" i="3" s="1"/>
  <c r="T163" i="1"/>
  <c r="T224" i="1"/>
  <c r="S150" i="3" s="1"/>
  <c r="T222" i="1"/>
  <c r="S148" i="3" s="1"/>
  <c r="T219" i="1"/>
  <c r="S145" i="3" s="1"/>
  <c r="T214" i="1"/>
  <c r="S140" i="3" s="1"/>
  <c r="T210" i="1"/>
  <c r="S131" i="3" s="1"/>
  <c r="T207" i="1"/>
  <c r="T204" i="1"/>
  <c r="T285" i="1"/>
  <c r="T280" i="1"/>
  <c r="S183" i="3" s="1"/>
  <c r="T276" i="1"/>
  <c r="S179" i="3" s="1"/>
  <c r="T349" i="1"/>
  <c r="S208" i="3" s="1"/>
  <c r="T416" i="1"/>
  <c r="S288" i="3" s="1"/>
  <c r="S287" i="3" s="1"/>
  <c r="T63" i="1"/>
  <c r="S277" i="3" s="1"/>
  <c r="S276" i="3" s="1"/>
  <c r="T60" i="1"/>
  <c r="S270" i="3" s="1"/>
  <c r="S269" i="3" s="1"/>
  <c r="T57" i="1"/>
  <c r="S266" i="3" s="1"/>
  <c r="T55" i="1"/>
  <c r="S258" i="3" s="1"/>
  <c r="T53" i="1"/>
  <c r="S255" i="3" s="1"/>
  <c r="T50" i="1"/>
  <c r="S243" i="3" s="1"/>
  <c r="S242" i="3" s="1"/>
  <c r="T105" i="1"/>
  <c r="S68" i="3" s="1"/>
  <c r="T99" i="1"/>
  <c r="S61" i="3" s="1"/>
  <c r="T200" i="1"/>
  <c r="T225" i="1"/>
  <c r="T223" i="1"/>
  <c r="S149" i="3" s="1"/>
  <c r="T221" i="1"/>
  <c r="S147" i="3" s="1"/>
  <c r="T217" i="1"/>
  <c r="S143" i="3" s="1"/>
  <c r="T212" i="1"/>
  <c r="S133" i="3" s="1"/>
  <c r="T208" i="1"/>
  <c r="S129" i="3" s="1"/>
  <c r="T206" i="1"/>
  <c r="S127" i="3" s="1"/>
  <c r="T203" i="1"/>
  <c r="S124" i="3" s="1"/>
  <c r="T281" i="1"/>
  <c r="S184" i="3" s="1"/>
  <c r="T279" i="1"/>
  <c r="S182" i="3" s="1"/>
  <c r="T278" i="1"/>
  <c r="S181" i="3" s="1"/>
  <c r="T350" i="1"/>
  <c r="S210" i="3" s="1"/>
  <c r="T408" i="1"/>
  <c r="T309" i="1"/>
  <c r="T366" i="1"/>
  <c r="T367" i="1"/>
  <c r="T384" i="1"/>
  <c r="S253" i="3" s="1"/>
  <c r="N379" i="1"/>
  <c r="AA379" i="1" s="1"/>
  <c r="T413" i="1"/>
  <c r="T409" i="1"/>
  <c r="T246" i="1"/>
  <c r="S135" i="3" s="1"/>
  <c r="T245" i="1"/>
  <c r="S134" i="3" s="1"/>
  <c r="T45" i="1"/>
  <c r="S233" i="3" s="1"/>
  <c r="S229" i="3" s="1"/>
  <c r="T38" i="1"/>
  <c r="S171" i="3" s="1"/>
  <c r="T36" i="1"/>
  <c r="S169" i="3" s="1"/>
  <c r="T34" i="1"/>
  <c r="T32" i="1"/>
  <c r="T27" i="1"/>
  <c r="S136" i="3" s="1"/>
  <c r="T25" i="1"/>
  <c r="T252" i="1"/>
  <c r="T359" i="1"/>
  <c r="T374" i="1"/>
  <c r="T373" i="1" s="1"/>
  <c r="T372" i="1" s="1"/>
  <c r="T385" i="1"/>
  <c r="S254" i="3" s="1"/>
  <c r="T383" i="1"/>
  <c r="T382" i="1"/>
  <c r="S201" i="3" s="1"/>
  <c r="S200" i="3" s="1"/>
  <c r="T386" i="1"/>
  <c r="T286" i="1"/>
  <c r="T41" i="1"/>
  <c r="S175" i="3" s="1"/>
  <c r="T39" i="1"/>
  <c r="S173" i="3" s="1"/>
  <c r="T37" i="1"/>
  <c r="S170" i="3" s="1"/>
  <c r="T35" i="1"/>
  <c r="T31" i="1"/>
  <c r="T28" i="1"/>
  <c r="S137" i="3" s="1"/>
  <c r="T26" i="1"/>
  <c r="T186" i="1"/>
  <c r="T181" i="1"/>
  <c r="S116" i="3" s="1"/>
  <c r="T180" i="1"/>
  <c r="S115" i="3" s="1"/>
  <c r="T177" i="1"/>
  <c r="S112" i="3" s="1"/>
  <c r="T175" i="1"/>
  <c r="S110" i="3" s="1"/>
  <c r="T173" i="1"/>
  <c r="S108" i="3" s="1"/>
  <c r="T170" i="1"/>
  <c r="S105" i="3" s="1"/>
  <c r="T164" i="1"/>
  <c r="S99" i="3" s="1"/>
  <c r="T257" i="1"/>
  <c r="T259" i="1"/>
  <c r="T254" i="1"/>
  <c r="S163" i="3" s="1"/>
  <c r="T353" i="1"/>
  <c r="T348" i="1"/>
  <c r="S206" i="3" s="1"/>
  <c r="T22" i="1"/>
  <c r="S20" i="3" s="1"/>
  <c r="T33" i="1"/>
  <c r="T275" i="1"/>
  <c r="S178" i="3" s="1"/>
  <c r="T371" i="1"/>
  <c r="T40" i="1"/>
  <c r="S174" i="3" s="1"/>
  <c r="T82" i="1"/>
  <c r="S36" i="3" s="1"/>
  <c r="T244" i="1"/>
  <c r="T256" i="1"/>
  <c r="T255" i="1"/>
  <c r="T410" i="1"/>
  <c r="T338" i="1"/>
  <c r="T414" i="1"/>
  <c r="S278" i="3" s="1"/>
  <c r="T381" i="1"/>
  <c r="T327" i="1"/>
  <c r="T326" i="1" s="1"/>
  <c r="T325" i="1" s="1"/>
  <c r="T81" i="1"/>
  <c r="T232" i="1"/>
  <c r="S264" i="3" l="1"/>
  <c r="S166" i="3"/>
  <c r="S151" i="3"/>
  <c r="S23" i="3"/>
  <c r="S92" i="3"/>
  <c r="D276" i="3"/>
  <c r="L276" i="3" s="1"/>
  <c r="D272" i="3"/>
  <c r="L272" i="3" s="1"/>
  <c r="S159" i="3"/>
  <c r="S158" i="3"/>
  <c r="S167" i="3"/>
  <c r="D200" i="3"/>
  <c r="L200" i="3" s="1"/>
  <c r="S296" i="3"/>
  <c r="S293" i="3" s="1"/>
  <c r="S285" i="3" s="1"/>
  <c r="D269" i="3"/>
  <c r="L269" i="3" s="1"/>
  <c r="S165" i="3"/>
  <c r="S164" i="3"/>
  <c r="S189" i="3"/>
  <c r="S259" i="3"/>
  <c r="S275" i="3"/>
  <c r="S272" i="3" s="1"/>
  <c r="S262" i="3" s="1"/>
  <c r="S125" i="3"/>
  <c r="D242" i="3"/>
  <c r="L242" i="3" s="1"/>
  <c r="S18" i="3"/>
  <c r="S16" i="3" s="1"/>
  <c r="S249" i="3"/>
  <c r="S128" i="3"/>
  <c r="S214" i="3"/>
  <c r="S202" i="3" s="1"/>
  <c r="S248" i="3"/>
  <c r="E250" i="1"/>
  <c r="M250" i="1" s="1"/>
  <c r="E261" i="1"/>
  <c r="M261" i="1" s="1"/>
  <c r="T262" i="1"/>
  <c r="T261" i="1" s="1"/>
  <c r="E364" i="1"/>
  <c r="M364" i="1" s="1"/>
  <c r="E372" i="1"/>
  <c r="M372" i="1" s="1"/>
  <c r="T251" i="1"/>
  <c r="T250" i="1" s="1"/>
  <c r="E325" i="1"/>
  <c r="M325" i="1" s="1"/>
  <c r="T153" i="1"/>
  <c r="T152" i="1" s="1"/>
  <c r="E16" i="1"/>
  <c r="M16" i="1" s="1"/>
  <c r="T407" i="1"/>
  <c r="T406" i="1" s="1"/>
  <c r="E332" i="1"/>
  <c r="M332" i="1" s="1"/>
  <c r="T242" i="1"/>
  <c r="T241" i="1" s="1"/>
  <c r="E379" i="1"/>
  <c r="M379" i="1" s="1"/>
  <c r="E193" i="1"/>
  <c r="M193" i="1" s="1"/>
  <c r="E241" i="1"/>
  <c r="M241" i="1" s="1"/>
  <c r="T69" i="1"/>
  <c r="T68" i="1" s="1"/>
  <c r="T17" i="1"/>
  <c r="T16" i="1" s="1"/>
  <c r="E406" i="1"/>
  <c r="M406" i="1" s="1"/>
  <c r="D117" i="3"/>
  <c r="L117" i="3" s="1"/>
  <c r="D202" i="3"/>
  <c r="L202" i="3" s="1"/>
  <c r="D16" i="3"/>
  <c r="L16" i="3" s="1"/>
  <c r="D176" i="3"/>
  <c r="L176" i="3" s="1"/>
  <c r="E310" i="3"/>
  <c r="E152" i="1"/>
  <c r="M152" i="1" s="1"/>
  <c r="D264" i="3"/>
  <c r="L264" i="3" s="1"/>
  <c r="D92" i="3"/>
  <c r="L92" i="3" s="1"/>
  <c r="P310" i="3"/>
  <c r="F310" i="3"/>
  <c r="H310" i="3"/>
  <c r="G310" i="3"/>
  <c r="D244" i="3"/>
  <c r="L244" i="3" s="1"/>
  <c r="T365" i="1"/>
  <c r="D293" i="3"/>
  <c r="L293" i="3" s="1"/>
  <c r="D167" i="3"/>
  <c r="L167" i="3" s="1"/>
  <c r="T380" i="1"/>
  <c r="D162" i="3"/>
  <c r="L162" i="3" s="1"/>
  <c r="S162" i="3" l="1"/>
  <c r="S244" i="3"/>
  <c r="S190" i="3"/>
  <c r="D262" i="3"/>
  <c r="L262" i="3" s="1"/>
  <c r="D285" i="3"/>
  <c r="L285" i="3" s="1"/>
  <c r="D190" i="3"/>
  <c r="L190" i="3" s="1"/>
  <c r="E420" i="1"/>
  <c r="T347" i="1"/>
  <c r="M420" i="1" l="1"/>
  <c r="T333" i="1"/>
  <c r="T332" i="1" s="1"/>
  <c r="S188" i="3"/>
  <c r="S176" i="3" s="1"/>
  <c r="O310" i="3"/>
  <c r="N202" i="1" l="1"/>
  <c r="M123" i="3" s="1"/>
  <c r="M117" i="3" l="1"/>
  <c r="N194" i="1"/>
  <c r="T202" i="1"/>
  <c r="T364" i="1"/>
  <c r="T194" i="1" l="1"/>
  <c r="T193" i="1" s="1"/>
  <c r="S123" i="3"/>
  <c r="S117" i="3" s="1"/>
  <c r="S298" i="3" s="1"/>
  <c r="M298" i="3"/>
  <c r="Z298" i="3" s="1"/>
  <c r="N193" i="1"/>
  <c r="R310" i="3"/>
  <c r="N310" i="3"/>
  <c r="T379" i="1"/>
  <c r="T420" i="1" s="1"/>
  <c r="N420" i="1" l="1"/>
  <c r="C58" i="1"/>
  <c r="AA420" i="1" l="1"/>
  <c r="M310" i="3"/>
  <c r="S310" i="3"/>
  <c r="C410" i="1"/>
  <c r="D410" i="1"/>
  <c r="B410" i="1"/>
  <c r="C310" i="1"/>
  <c r="D310" i="1"/>
  <c r="B310" i="1"/>
  <c r="C206" i="1" l="1"/>
  <c r="D206" i="1"/>
  <c r="B206" i="1"/>
  <c r="C33" i="1"/>
  <c r="B33" i="1"/>
  <c r="B177" i="1"/>
  <c r="C177" i="1"/>
  <c r="D177" i="1"/>
  <c r="B217" i="1"/>
  <c r="C217" i="1"/>
  <c r="B219" i="1"/>
  <c r="C219" i="1"/>
  <c r="C210" i="1"/>
  <c r="D210" i="1"/>
  <c r="B210" i="1"/>
  <c r="C371" i="1"/>
  <c r="B371" i="1"/>
  <c r="C367" i="1"/>
  <c r="D367" i="1"/>
  <c r="B367" i="1"/>
  <c r="D181" i="1"/>
  <c r="C181" i="1"/>
  <c r="B181" i="1"/>
  <c r="C180" i="1"/>
  <c r="D180" i="1"/>
  <c r="B180" i="1"/>
  <c r="C55" i="1"/>
  <c r="B55" i="1"/>
  <c r="C240" i="1"/>
  <c r="B240" i="1"/>
  <c r="C232" i="1"/>
  <c r="D232" i="1"/>
  <c r="C233" i="1"/>
  <c r="B233" i="1"/>
  <c r="B232" i="1"/>
  <c r="C225" i="1"/>
  <c r="D225" i="1"/>
  <c r="B225" i="1"/>
  <c r="C224" i="1"/>
  <c r="D224" i="1"/>
  <c r="B224" i="1"/>
  <c r="C223" i="1"/>
  <c r="B223" i="1"/>
  <c r="C222" i="1"/>
  <c r="D222" i="1"/>
  <c r="B222" i="1"/>
  <c r="C221" i="1"/>
  <c r="D221" i="1"/>
  <c r="B221" i="1"/>
  <c r="C214" i="1"/>
  <c r="D214" i="1"/>
  <c r="B214" i="1"/>
  <c r="C212" i="1"/>
  <c r="D212" i="1"/>
  <c r="B212" i="1"/>
  <c r="C208" i="1"/>
  <c r="D208" i="1"/>
  <c r="B208" i="1"/>
  <c r="C207" i="1"/>
  <c r="D207" i="1"/>
  <c r="B207" i="1"/>
  <c r="C204" i="1"/>
  <c r="B204" i="1"/>
  <c r="C203" i="1"/>
  <c r="B203" i="1"/>
  <c r="C202" i="1"/>
  <c r="D202" i="1"/>
  <c r="B202" i="1"/>
  <c r="C186" i="1"/>
  <c r="B186" i="1"/>
  <c r="C175" i="1"/>
  <c r="D175" i="1"/>
  <c r="B175" i="1"/>
  <c r="C173" i="1"/>
  <c r="B173" i="1"/>
  <c r="C170" i="1"/>
  <c r="B170" i="1"/>
  <c r="C164" i="1"/>
  <c r="B164" i="1"/>
  <c r="C106" i="1"/>
  <c r="C108" i="1"/>
  <c r="C83" i="1"/>
  <c r="B83" i="1"/>
  <c r="C82" i="1"/>
  <c r="B82" i="1"/>
  <c r="C63" i="1"/>
  <c r="D63" i="1"/>
  <c r="B63" i="1"/>
  <c r="C62" i="1"/>
  <c r="D62" i="1"/>
  <c r="B62" i="1"/>
  <c r="C60" i="1"/>
  <c r="D60" i="1"/>
  <c r="B60" i="1"/>
  <c r="B58" i="1"/>
  <c r="C57" i="1"/>
  <c r="D57" i="1"/>
  <c r="B57" i="1"/>
  <c r="C56" i="1"/>
  <c r="D56" i="1"/>
  <c r="B56" i="1"/>
  <c r="C54" i="1"/>
  <c r="D54" i="1"/>
  <c r="B54" i="1"/>
  <c r="C53" i="1"/>
  <c r="B53" i="1"/>
  <c r="C51" i="1"/>
  <c r="D51" i="1"/>
  <c r="B51" i="1"/>
  <c r="C50" i="1"/>
  <c r="B50" i="1"/>
  <c r="C45" i="1"/>
  <c r="D45" i="1"/>
  <c r="B45" i="1"/>
  <c r="C31" i="1"/>
  <c r="C32" i="1"/>
  <c r="B32" i="1"/>
  <c r="B31" i="1"/>
  <c r="C34" i="1"/>
  <c r="C35" i="1"/>
  <c r="B34" i="1"/>
  <c r="C41" i="1"/>
  <c r="D41" i="1"/>
  <c r="B41" i="1"/>
  <c r="C40" i="1"/>
  <c r="B40" i="1"/>
  <c r="C39" i="1"/>
  <c r="B39" i="1"/>
  <c r="C38" i="1"/>
  <c r="B38" i="1"/>
  <c r="C37" i="1"/>
  <c r="B37" i="1"/>
  <c r="C36" i="1"/>
  <c r="B36" i="1"/>
  <c r="C30" i="1"/>
  <c r="B30" i="1"/>
  <c r="C28" i="1"/>
  <c r="D28" i="1"/>
  <c r="B28" i="1"/>
  <c r="C27" i="1"/>
  <c r="B27" i="1"/>
  <c r="C26" i="1"/>
  <c r="D26" i="1"/>
  <c r="B26" i="1"/>
  <c r="C25" i="1"/>
  <c r="B25" i="1"/>
  <c r="C22" i="1"/>
  <c r="D22" i="1"/>
  <c r="B22" i="1"/>
  <c r="D246" i="1"/>
  <c r="C246" i="1"/>
  <c r="B246" i="1"/>
  <c r="C254" i="1"/>
  <c r="D254" i="1"/>
  <c r="B254" i="1"/>
  <c r="C256" i="1"/>
  <c r="D256" i="1"/>
  <c r="C257" i="1"/>
  <c r="D257" i="1"/>
  <c r="B257" i="1"/>
  <c r="B256" i="1"/>
  <c r="C259" i="1"/>
  <c r="B259" i="1"/>
  <c r="C274" i="1"/>
  <c r="D274" i="1"/>
  <c r="B274" i="1"/>
  <c r="C279" i="1"/>
  <c r="D279" i="1"/>
  <c r="B279" i="1"/>
  <c r="C278" i="1"/>
  <c r="D278" i="1"/>
  <c r="B278" i="1"/>
  <c r="C276" i="1"/>
  <c r="D276" i="1"/>
  <c r="B276" i="1"/>
  <c r="C275" i="1"/>
  <c r="D275" i="1"/>
  <c r="B275" i="1"/>
  <c r="C280" i="1"/>
  <c r="D280" i="1"/>
  <c r="B280" i="1"/>
  <c r="C281" i="1"/>
  <c r="D281" i="1"/>
  <c r="B281" i="1"/>
  <c r="C285" i="1"/>
  <c r="D285" i="1"/>
  <c r="B285" i="1"/>
  <c r="C286" i="1"/>
  <c r="B286" i="1"/>
  <c r="C288" i="1"/>
  <c r="B288" i="1"/>
  <c r="C309" i="1"/>
  <c r="B309" i="1"/>
  <c r="C317" i="1"/>
  <c r="D317" i="1"/>
  <c r="B317" i="1"/>
  <c r="C323" i="1"/>
  <c r="B323" i="1"/>
  <c r="C343" i="1"/>
  <c r="D343" i="1"/>
  <c r="B343" i="1"/>
  <c r="C347" i="1"/>
  <c r="B347" i="1"/>
  <c r="C348" i="1"/>
  <c r="B348" i="1"/>
  <c r="C350" i="1"/>
  <c r="B350" i="1"/>
  <c r="C349" i="1"/>
  <c r="B349" i="1"/>
  <c r="C353" i="1"/>
  <c r="B353" i="1"/>
  <c r="C359" i="1"/>
  <c r="B359" i="1"/>
  <c r="C382" i="1"/>
  <c r="D382" i="1"/>
  <c r="B382" i="1"/>
  <c r="C383" i="1"/>
  <c r="D383" i="1"/>
  <c r="B383" i="1"/>
  <c r="C384" i="1"/>
  <c r="D384" i="1"/>
  <c r="B384" i="1"/>
  <c r="C385" i="1"/>
  <c r="D385" i="1"/>
  <c r="B385" i="1"/>
  <c r="C386" i="1"/>
  <c r="D386" i="1"/>
  <c r="B386" i="1"/>
  <c r="C409" i="1"/>
  <c r="B409" i="1"/>
  <c r="C413" i="1"/>
  <c r="D413" i="1"/>
  <c r="B413" i="1"/>
  <c r="C414" i="1"/>
  <c r="D414" i="1"/>
  <c r="B414" i="1"/>
  <c r="C415" i="1"/>
  <c r="D415" i="1"/>
  <c r="C416" i="1"/>
  <c r="D416" i="1"/>
  <c r="B416" i="1"/>
  <c r="C408" i="1"/>
  <c r="B408" i="1"/>
  <c r="C381" i="1"/>
  <c r="B381" i="1"/>
  <c r="C374" i="1"/>
  <c r="B374" i="1"/>
  <c r="C366" i="1"/>
  <c r="B366" i="1"/>
  <c r="C338" i="1"/>
  <c r="B338" i="1"/>
  <c r="C327" i="1"/>
  <c r="B327" i="1"/>
  <c r="C272" i="1"/>
  <c r="B272" i="1"/>
  <c r="C252" i="1"/>
  <c r="B252" i="1"/>
  <c r="C244" i="1"/>
  <c r="B244" i="1"/>
  <c r="C200" i="1"/>
  <c r="B200" i="1"/>
  <c r="C163" i="1"/>
  <c r="B163" i="1"/>
  <c r="C81" i="1"/>
  <c r="B81" i="1"/>
  <c r="C20" i="1"/>
  <c r="B20" i="1"/>
  <c r="D94" i="3" l="1"/>
  <c r="L94" i="3" s="1"/>
  <c r="D93" i="3" l="1"/>
  <c r="L93" i="3" s="1"/>
  <c r="D230" i="3" l="1"/>
  <c r="L230" i="3" s="1"/>
  <c r="M312" i="3" l="1"/>
  <c r="D312" i="3" l="1"/>
  <c r="S312" i="3"/>
  <c r="D311" i="3"/>
  <c r="D191" i="3"/>
  <c r="L191" i="3" s="1"/>
  <c r="S311" i="3" l="1"/>
  <c r="D90" i="3" l="1"/>
  <c r="D23" i="3" l="1"/>
  <c r="L23" i="3" s="1"/>
  <c r="D298" i="3" l="1"/>
  <c r="L298" i="3" l="1"/>
  <c r="D310" i="3"/>
  <c r="R262" i="1"/>
  <c r="R261" i="1"/>
  <c r="R420" i="1"/>
  <c r="Q298" i="3"/>
  <c r="Q310" i="3"/>
  <c r="R310" i="1"/>
  <c r="Q255" i="3"/>
  <c r="Q244" i="3"/>
  <c r="Q190" i="3"/>
</calcChain>
</file>

<file path=xl/sharedStrings.xml><?xml version="1.0" encoding="utf-8"?>
<sst xmlns="http://schemas.openxmlformats.org/spreadsheetml/2006/main" count="1264" uniqueCount="732">
  <si>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</si>
  <si>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</si>
  <si>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</si>
  <si>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</si>
  <si>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</si>
  <si>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</si>
  <si>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</si>
  <si>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</si>
  <si>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</si>
  <si>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</si>
  <si>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</si>
  <si>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</si>
  <si>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</si>
  <si>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</si>
  <si>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</si>
  <si>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</si>
  <si>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</si>
  <si>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</si>
  <si>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</si>
  <si>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</si>
  <si>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</si>
  <si>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</si>
  <si>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</si>
  <si>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</si>
  <si>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</si>
  <si>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</si>
  <si>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</si>
  <si>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</si>
  <si>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</si>
  <si>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</si>
  <si>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</si>
  <si>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</si>
  <si>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</si>
  <si>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</si>
  <si>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</si>
  <si>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</si>
  <si>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</si>
  <si>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</si>
  <si>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</si>
  <si>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</si>
  <si>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</si>
  <si>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</si>
  <si>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</si>
  <si>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Державне управління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</si>
  <si>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</si>
  <si>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</si>
  <si>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</si>
  <si>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</si>
  <si>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</si>
  <si>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</si>
  <si>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</si>
  <si>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</si>
  <si>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</si>
  <si>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</si>
  <si>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</si>
  <si>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</si>
  <si>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</si>
  <si>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</si>
  <si>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</si>
  <si>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</si>
  <si>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</si>
  <si>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</si>
  <si>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</si>
  <si>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</si>
  <si>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</si>
  <si>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</si>
  <si>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Житлово-комунальне господарство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</si>
  <si>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</si>
  <si>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</si>
  <si>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</si>
  <si>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</si>
  <si>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</si>
  <si>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</si>
  <si>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</si>
  <si>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</si>
  <si>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</si>
  <si>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</si>
  <si>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</si>
  <si>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</si>
  <si>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</si>
  <si>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</si>
  <si>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</si>
  <si>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</si>
  <si>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</si>
  <si>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</si>
  <si>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</si>
  <si>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</si>
  <si>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</si>
  <si>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</si>
  <si>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</si>
  <si>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</si>
  <si>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</si>
  <si>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</si>
  <si>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</si>
  <si>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</si>
  <si>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</si>
  <si>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</si>
  <si>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</si>
  <si>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</si>
  <si>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</si>
  <si>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</si>
  <si>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</si>
  <si>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</si>
  <si>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</si>
  <si>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</si>
  <si>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</si>
  <si>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</si>
  <si>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</si>
  <si>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</si>
  <si>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</si>
  <si>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</si>
  <si>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</si>
  <si>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</si>
  <si>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</si>
  <si>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</si>
  <si>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</si>
  <si>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</si>
  <si>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</si>
  <si>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</si>
  <si>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</si>
  <si>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</si>
  <si>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</si>
  <si>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</si>
  <si>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</si>
  <si>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</si>
  <si>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</si>
  <si>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</si>
  <si>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</si>
  <si>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</si>
  <si>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</si>
  <si>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</si>
  <si>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</si>
  <si>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</si>
  <si>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</si>
  <si>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</si>
  <si>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</si>
  <si>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</si>
  <si>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</si>
  <si>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</si>
  <si>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</si>
  <si>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</si>
  <si>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</si>
  <si>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</si>
  <si>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</si>
  <si>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</si>
  <si>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</si>
  <si>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</si>
  <si>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</si>
  <si>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</si>
  <si>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</si>
  <si>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</si>
  <si>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</si>
  <si>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</si>
  <si>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</si>
  <si>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</si>
  <si>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</si>
  <si>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</si>
  <si>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</si>
  <si>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</si>
  <si>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</si>
  <si>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</si>
  <si>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</si>
  <si>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</si>
  <si>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</si>
  <si>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</si>
  <si>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</si>
  <si>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</si>
  <si>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</si>
  <si>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</si>
  <si>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</si>
  <si>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</si>
  <si>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</si>
  <si>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</si>
  <si>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</si>
  <si>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</si>
  <si>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</si>
  <si>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</si>
  <si>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</si>
  <si>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</si>
  <si>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</si>
  <si>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</si>
  <si>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</si>
  <si>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</si>
  <si>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</si>
  <si>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</si>
  <si>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</si>
  <si>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</si>
  <si>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</si>
  <si>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</si>
  <si>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</si>
  <si>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</si>
  <si>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</si>
  <si>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</si>
  <si>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</si>
  <si>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</si>
  <si>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</si>
  <si>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</si>
  <si>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</si>
  <si>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</si>
  <si>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</si>
  <si>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</si>
  <si>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</si>
  <si>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</si>
  <si>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</si>
  <si>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</si>
  <si>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</si>
  <si>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</si>
  <si>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</si>
  <si>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</si>
  <si>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</si>
  <si>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</si>
  <si>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</si>
  <si>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</si>
  <si>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</si>
  <si>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</si>
  <si>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</si>
  <si>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</si>
  <si>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</si>
  <si>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</si>
  <si>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</si>
  <si>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</si>
  <si>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</si>
  <si>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</si>
  <si>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</si>
  <si>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</si>
  <si>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</si>
  <si>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</si>
  <si>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</si>
  <si>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</si>
  <si>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</si>
  <si>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</si>
  <si>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</si>
  <si>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</si>
  <si>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</si>
  <si>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</si>
  <si>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</si>
  <si>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</si>
  <si>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</si>
  <si>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</si>
  <si>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</si>
  <si>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</si>
  <si>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</si>
  <si>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</si>
  <si>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</si>
  <si>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</si>
  <si>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</si>
  <si>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</si>
  <si>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</si>
  <si>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</si>
  <si>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</si>
  <si>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</si>
  <si>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</si>
  <si>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</si>
  <si>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</si>
  <si>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</si>
  <si>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</si>
  <si>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</si>
  <si>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</si>
  <si>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</si>
  <si>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</si>
  <si>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</si>
  <si>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</si>
  <si>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</si>
  <si>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</si>
  <si>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</si>
  <si>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</si>
  <si>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</si>
  <si>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</si>
  <si>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</si>
  <si>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</si>
  <si>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</si>
  <si>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</si>
  <si>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</si>
  <si>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</si>
  <si>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</si>
  <si>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</si>
  <si>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</si>
  <si>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</si>
  <si>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</si>
  <si>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</si>
  <si>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</si>
  <si>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</si>
  <si>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</si>
  <si>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</si>
  <si>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</si>
  <si>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</si>
  <si>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</si>
  <si>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</si>
  <si>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</si>
  <si>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</si>
  <si>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</si>
  <si>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</si>
  <si>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</si>
  <si>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</si>
  <si>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</si>
  <si>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</si>
  <si>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</si>
  <si>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</si>
  <si>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</si>
  <si>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</si>
  <si>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</si>
  <si>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</si>
  <si>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</si>
  <si>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</si>
  <si>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</si>
  <si>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</si>
  <si>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</si>
  <si>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</si>
  <si>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</si>
  <si>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</si>
  <si>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</si>
  <si>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</si>
  <si>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</si>
  <si>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</si>
  <si>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</si>
  <si>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</si>
  <si>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</si>
  <si>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</si>
  <si>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</si>
  <si>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</si>
  <si>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</si>
  <si>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</si>
  <si>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</si>
  <si>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</si>
  <si>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</si>
  <si>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</si>
  <si>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</si>
  <si>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</si>
  <si>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</si>
  <si>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</si>
  <si>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</si>
  <si>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</si>
  <si>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</si>
  <si>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</si>
  <si>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</si>
  <si>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</si>
  <si>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</si>
  <si>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</si>
  <si>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</si>
  <si>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</si>
  <si>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</si>
  <si>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</si>
  <si>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</si>
  <si>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</si>
  <si>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</si>
  <si>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</si>
  <si>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</si>
  <si>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</si>
  <si>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</si>
  <si>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</si>
  <si>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</si>
  <si>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</si>
  <si>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</si>
  <si>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</si>
  <si>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</si>
  <si>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</si>
  <si>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</si>
  <si>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</si>
  <si>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</si>
  <si>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</si>
  <si>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</si>
  <si>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</si>
  <si>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</si>
  <si>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</si>
  <si>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</si>
  <si>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</si>
  <si>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</si>
  <si>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</si>
  <si>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</si>
  <si>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</si>
  <si>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</si>
  <si>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</si>
  <si>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</si>
  <si>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</si>
  <si>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</si>
  <si>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</si>
  <si>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</si>
  <si>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</si>
  <si>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</si>
  <si>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</si>
  <si>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</si>
  <si>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</si>
  <si>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</si>
  <si>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</si>
  <si>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</si>
  <si>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</si>
  <si>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</si>
  <si>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</si>
  <si>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</si>
  <si>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</si>
  <si>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</si>
  <si>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</si>
  <si>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</si>
  <si>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</si>
  <si>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</si>
  <si>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</si>
  <si>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</si>
  <si>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</si>
  <si>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</si>
  <si>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</si>
  <si>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</si>
  <si>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</si>
  <si>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</si>
  <si>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</si>
  <si>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</si>
  <si>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</si>
  <si>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</si>
  <si>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</si>
  <si>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</si>
  <si>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</si>
  <si>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</si>
  <si>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</si>
  <si>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</si>
  <si>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</si>
  <si>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</si>
  <si>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</si>
  <si>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</si>
  <si>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</si>
  <si>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</si>
  <si>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</si>
  <si>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</si>
  <si>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</si>
  <si>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</si>
  <si>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</si>
  <si>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</si>
  <si>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</si>
  <si>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</si>
  <si>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</si>
  <si>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</si>
  <si>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</si>
  <si>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</si>
  <si>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</si>
  <si>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</si>
  <si>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</si>
  <si>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</si>
  <si>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</si>
  <si>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</si>
  <si>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</si>
  <si>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</si>
  <si>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</si>
  <si>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</si>
  <si>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</si>
  <si>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</si>
  <si>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</si>
  <si>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</si>
  <si>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</si>
  <si>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</si>
  <si>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</si>
  <si>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</si>
  <si>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</si>
  <si>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</si>
  <si>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</si>
  <si>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</si>
  <si>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</si>
  <si>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</si>
  <si>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</si>
  <si>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</si>
  <si>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</si>
  <si>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</si>
  <si>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</si>
  <si>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</si>
  <si>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</si>
  <si>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</si>
  <si>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</si>
  <si>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</si>
  <si>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</si>
  <si>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</si>
  <si>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</si>
  <si>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</si>
  <si>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Керівництво і управління у відповідній сфері у містах (місті Києві), селищах, селах, територіальних громадах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</si>
  <si>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</si>
  <si>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</si>
  <si>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</si>
  <si>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</si>
  <si>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</si>
  <si>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</si>
  <si>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</si>
  <si>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</si>
  <si>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</si>
  <si>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</si>
  <si>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</si>
  <si>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</si>
  <si>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</si>
  <si>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</si>
  <si>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</si>
  <si>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Резервний фонд місцевого бюджету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</si>
  <si>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</si>
  <si>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</si>
  <si>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</si>
  <si>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</si>
  <si>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</si>
  <si>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</si>
  <si>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</si>
  <si>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</si>
  <si>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</si>
  <si>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</si>
  <si>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</si>
  <si>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</si>
  <si>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</si>
  <si>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</si>
  <si>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</si>
  <si>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</si>
  <si>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</si>
  <si>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</si>
  <si>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</si>
  <si>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</si>
  <si>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</si>
  <si>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</si>
  <si>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</si>
  <si>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</si>
  <si>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</si>
  <si>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</si>
  <si>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</si>
  <si>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</si>
  <si>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</si>
  <si>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</si>
  <si>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</si>
  <si>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</si>
  <si>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</si>
  <si>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</si>
  <si>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</si>
  <si>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</si>
  <si>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</si>
  <si>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</si>
  <si>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</si>
  <si>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</si>
  <si>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</si>
  <si>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</si>
  <si>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</si>
  <si>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</si>
  <si>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</si>
  <si>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</si>
  <si>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</si>
  <si>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</si>
  <si>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</si>
  <si>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</si>
  <si>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</si>
  <si>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>Утримання та навчально-тренувальна робота комунальних дитячо-юнацьких спортивних шкіл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</si>
  <si>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</si>
  <si>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</si>
  <si>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</si>
  <si>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</si>
  <si>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</si>
  <si>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</si>
  <si>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</si>
  <si>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</si>
  <si>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</si>
  <si>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</si>
  <si>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</si>
  <si>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</si>
  <si>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</si>
  <si>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</si>
  <si>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</si>
  <si>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</si>
  <si>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</si>
  <si>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</si>
  <si>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</si>
  <si>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</si>
  <si>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</si>
  <si>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Міжбюджетні трансферти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</si>
  <si>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</si>
  <si>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</si>
  <si>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Утримання та забезпечення діяльності центрів соціальних служб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</si>
  <si>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</si>
  <si>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</si>
  <si>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</si>
  <si>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</si>
  <si>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</si>
  <si>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</si>
  <si>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</si>
  <si>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</si>
  <si>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</si>
  <si>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</si>
  <si>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</si>
  <si>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</si>
  <si>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</si>
  <si>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</si>
  <si>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</si>
  <si>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</si>
  <si>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0218775</t>
  </si>
  <si>
    <t>Інші заходи за рахунок коштів резервного фонду місцевого бюджету</t>
  </si>
  <si>
    <t>0718775</t>
  </si>
  <si>
    <t>Резервний фонд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</si>
  <si>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</si>
  <si>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</si>
  <si>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</si>
  <si>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</si>
  <si>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</si>
  <si>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</si>
  <si>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</si>
  <si>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1218746</t>
  </si>
  <si>
    <t>1219800</t>
  </si>
  <si>
    <t>Допомога населенню, що постраждало внаслідок надзвичайної ситуації або стихійного лиха, за рахунок коштів резервного фонду місцевого бюджету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</si>
  <si>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</si>
  <si>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</si>
  <si>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</si>
  <si>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</si>
  <si>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</si>
  <si>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</si>
  <si>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</si>
  <si>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</si>
  <si>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</si>
  <si>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</si>
  <si>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</si>
  <si>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</si>
  <si>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</si>
  <si>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</si>
  <si>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</si>
  <si>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</si>
  <si>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</si>
  <si>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</si>
  <si>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</si>
  <si>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</si>
  <si>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</si>
  <si>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</si>
  <si>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</si>
  <si>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</si>
  <si>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</si>
  <si>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</si>
  <si>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</si>
  <si>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</si>
  <si>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</si>
  <si>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Охорона здоров’я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</si>
  <si>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</si>
  <si>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</si>
  <si>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</si>
  <si>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</si>
  <si>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</si>
  <si>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</si>
  <si>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</si>
  <si>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</si>
  <si>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</si>
  <si>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</si>
  <si>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</si>
  <si>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</si>
  <si>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</si>
  <si>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</si>
  <si>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</si>
  <si>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</si>
  <si>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</si>
  <si>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</si>
  <si>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</si>
  <si>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</si>
  <si>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</si>
  <si>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</si>
  <si>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</si>
  <si>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</si>
  <si>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</si>
  <si>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</si>
  <si>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</si>
  <si>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</si>
  <si>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</si>
  <si>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</si>
  <si>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</si>
  <si>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</si>
  <si>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</si>
  <si>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</si>
  <si>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</si>
  <si>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</si>
  <si>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</si>
  <si>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</si>
  <si>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</si>
  <si>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</si>
  <si>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</si>
  <si>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</si>
  <si>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</si>
  <si>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</si>
  <si>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</si>
  <si>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</si>
  <si>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</si>
  <si>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</si>
  <si>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</si>
  <si>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</si>
  <si>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</si>
  <si>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</si>
  <si>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</si>
  <si>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</si>
  <si>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</si>
  <si>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</si>
  <si>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</si>
  <si>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</si>
  <si>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</si>
  <si>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</si>
  <si>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</si>
  <si>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</si>
  <si>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</si>
  <si>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</si>
  <si>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</si>
  <si>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</si>
  <si>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</si>
  <si>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</si>
  <si>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</si>
  <si>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</si>
  <si>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</si>
  <si>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</si>
  <si>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</si>
  <si>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</si>
  <si>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</si>
  <si>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</si>
  <si>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</si>
  <si>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</si>
  <si>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</si>
  <si>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</si>
  <si>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</si>
  <si>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</si>
  <si>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</si>
  <si>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</si>
  <si>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</si>
  <si>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</si>
  <si>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Касові видатки</t>
  </si>
  <si>
    <t>Затверджено по бюджету з урахуванням змін (відповідно до казначейської звітності)</t>
  </si>
  <si>
    <t>% виконання до затвердженого по бюджету</t>
  </si>
  <si>
    <t xml:space="preserve">  Додаток 2</t>
  </si>
  <si>
    <t>до    рішення    Сумської    міської    ради</t>
  </si>
  <si>
    <t>«Про   звіт     про    виконання    бюджету</t>
  </si>
  <si>
    <t xml:space="preserve">Сумської міської територіальної громади </t>
  </si>
  <si>
    <t xml:space="preserve">  Додаток 5</t>
  </si>
  <si>
    <t>Звіт про виконання видаткової частини бюджету Сумської міської територіальної громади за І півріччя 2024 рік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</si>
  <si>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за І півріччя 2024 року за типовою програмною класифікацією видатків та кредитування місцевих бюджетів</t>
  </si>
  <si>
    <t>в 3,9 рази</t>
  </si>
  <si>
    <t>в 1,5 рази</t>
  </si>
  <si>
    <t>в 98,8 разів</t>
  </si>
  <si>
    <t>в 10,8 разів</t>
  </si>
  <si>
    <t>в 1,3 рази</t>
  </si>
  <si>
    <t>в 11,3 разів</t>
  </si>
  <si>
    <t>в 1,5 разів</t>
  </si>
  <si>
    <t>Секретар Сумської міської ради</t>
  </si>
  <si>
    <t>Артем КОБЗАР</t>
  </si>
  <si>
    <t>Виконавець:______________ Світлана ЛИПОВА</t>
  </si>
  <si>
    <t>за І півріччя 2024  року»</t>
  </si>
  <si>
    <t xml:space="preserve">від  30 жовтня  2024 року  № 5137 -   МР     </t>
  </si>
  <si>
    <t xml:space="preserve">від 30 жовтня 2024 року  № 5137 -  МР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</si>
</sst>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 #,##0.00;* \-#,##0.00;* &quot;-&quot;??;@"/>
    <numFmt numFmtId="165" formatCode="#,##0.0"/>
  </numFmts>
  <fonts count="52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13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35"/>
      <name val="Times New Roman"/>
      <family val="1"/>
      <charset val="204"/>
    </font>
    <font>
      <sz val="3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75">
    <xf numFmtId="0" fontId="0" fillId="0" borderId="0" xfId="0"/>
    <xf numFmtId="49" fontId="21" fillId="0" borderId="7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Fill="1" applyBorder="1" applyAlignment="1">
      <alignment horizontal="right" wrapText="1"/>
    </xf>
    <xf numFmtId="1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3" fontId="25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Alignment="1">
      <alignment vertical="center"/>
    </xf>
    <xf numFmtId="4" fontId="23" fillId="0" borderId="0" xfId="0" applyNumberFormat="1" applyFont="1" applyFill="1" applyAlignment="1">
      <alignment horizontal="center"/>
    </xf>
    <xf numFmtId="4" fontId="29" fillId="0" borderId="7" xfId="0" applyNumberFormat="1" applyFont="1" applyFill="1" applyBorder="1" applyAlignment="1">
      <alignment horizontal="right" wrapText="1"/>
    </xf>
    <xf numFmtId="4" fontId="27" fillId="0" borderId="0" xfId="0" applyNumberFormat="1" applyFont="1" applyFill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" fontId="42" fillId="0" borderId="0" xfId="0" applyNumberFormat="1" applyFont="1" applyFill="1" applyAlignment="1">
      <alignment vertical="center"/>
    </xf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1" fontId="21" fillId="0" borderId="7" xfId="0" applyNumberFormat="1" applyFont="1" applyFill="1" applyBorder="1" applyAlignment="1">
      <alignment horizontal="center" vertical="center"/>
    </xf>
    <xf numFmtId="4" fontId="21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wrapText="1"/>
    </xf>
    <xf numFmtId="3" fontId="21" fillId="0" borderId="7" xfId="0" applyNumberFormat="1" applyFont="1" applyFill="1" applyBorder="1" applyAlignment="1">
      <alignment vertical="center" wrapText="1"/>
    </xf>
    <xf numFmtId="3" fontId="30" fillId="0" borderId="7" xfId="0" applyNumberFormat="1" applyFont="1" applyFill="1" applyBorder="1" applyAlignment="1">
      <alignment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3" fontId="29" fillId="0" borderId="7" xfId="0" applyNumberFormat="1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left" vertical="center"/>
    </xf>
    <xf numFmtId="49" fontId="28" fillId="0" borderId="7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4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3" fontId="34" fillId="0" borderId="0" xfId="0" applyNumberFormat="1" applyFont="1" applyFill="1"/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3" fontId="24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1" fontId="4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1" fontId="29" fillId="0" borderId="7" xfId="0" applyNumberFormat="1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" fontId="23" fillId="0" borderId="8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4" fontId="42" fillId="0" borderId="0" xfId="0" applyNumberFormat="1" applyFont="1" applyFill="1" applyAlignment="1">
      <alignment horizontal="left" indent="1"/>
    </xf>
    <xf numFmtId="3" fontId="24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/>
    <xf numFmtId="4" fontId="42" fillId="0" borderId="0" xfId="0" applyNumberFormat="1" applyFont="1" applyFill="1" applyAlignment="1"/>
    <xf numFmtId="4" fontId="28" fillId="42" borderId="7" xfId="0" applyNumberFormat="1" applyFont="1" applyFill="1" applyBorder="1" applyAlignment="1">
      <alignment horizontal="center" vertical="center" wrapText="1"/>
    </xf>
    <xf numFmtId="3" fontId="28" fillId="42" borderId="7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Alignment="1">
      <alignment vertical="center"/>
    </xf>
    <xf numFmtId="3" fontId="45" fillId="0" borderId="0" xfId="0" applyNumberFormat="1" applyFont="1" applyFill="1" applyAlignment="1"/>
    <xf numFmtId="3" fontId="44" fillId="0" borderId="0" xfId="0" applyNumberFormat="1" applyFont="1" applyFill="1" applyAlignment="1"/>
    <xf numFmtId="165" fontId="21" fillId="0" borderId="0" xfId="0" applyNumberFormat="1" applyFont="1" applyFill="1"/>
    <xf numFmtId="0" fontId="44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/>
    </xf>
    <xf numFmtId="4" fontId="28" fillId="0" borderId="7" xfId="0" applyNumberFormat="1" applyFont="1" applyFill="1" applyBorder="1" applyAlignment="1">
      <alignment wrapText="1"/>
    </xf>
    <xf numFmtId="4" fontId="21" fillId="0" borderId="7" xfId="0" applyNumberFormat="1" applyFont="1" applyFill="1" applyBorder="1" applyAlignment="1">
      <alignment wrapText="1"/>
    </xf>
    <xf numFmtId="4" fontId="30" fillId="0" borderId="7" xfId="0" applyNumberFormat="1" applyFont="1" applyFill="1" applyBorder="1" applyAlignment="1">
      <alignment wrapText="1"/>
    </xf>
    <xf numFmtId="4" fontId="26" fillId="0" borderId="7" xfId="0" applyNumberFormat="1" applyFont="1" applyFill="1" applyBorder="1" applyAlignment="1"/>
    <xf numFmtId="4" fontId="23" fillId="0" borderId="7" xfId="0" applyNumberFormat="1" applyFont="1" applyFill="1" applyBorder="1" applyAlignment="1"/>
    <xf numFmtId="4" fontId="29" fillId="0" borderId="7" xfId="0" applyNumberFormat="1" applyFont="1" applyFill="1" applyBorder="1" applyAlignment="1">
      <alignment wrapText="1"/>
    </xf>
    <xf numFmtId="4" fontId="25" fillId="0" borderId="7" xfId="0" applyNumberFormat="1" applyFont="1" applyFill="1" applyBorder="1" applyAlignment="1"/>
    <xf numFmtId="4" fontId="21" fillId="0" borderId="7" xfId="29" applyNumberFormat="1" applyFont="1" applyFill="1" applyBorder="1" applyAlignment="1">
      <alignment wrapText="1"/>
    </xf>
    <xf numFmtId="4" fontId="21" fillId="0" borderId="7" xfId="0" applyNumberFormat="1" applyFont="1" applyFill="1" applyBorder="1" applyAlignment="1"/>
    <xf numFmtId="4" fontId="29" fillId="0" borderId="7" xfId="0" applyNumberFormat="1" applyFont="1" applyFill="1" applyBorder="1" applyAlignment="1"/>
    <xf numFmtId="4" fontId="24" fillId="0" borderId="7" xfId="0" applyNumberFormat="1" applyFont="1" applyFill="1" applyBorder="1" applyAlignment="1"/>
    <xf numFmtId="165" fontId="2" fillId="0" borderId="0" xfId="0" applyNumberFormat="1" applyFont="1" applyFill="1" applyAlignment="1">
      <alignment horizontal="center"/>
    </xf>
    <xf numFmtId="165" fontId="21" fillId="0" borderId="7" xfId="0" applyNumberFormat="1" applyFont="1" applyFill="1" applyBorder="1" applyAlignment="1">
      <alignment horizontal="center" wrapText="1"/>
    </xf>
    <xf numFmtId="165" fontId="26" fillId="0" borderId="0" xfId="0" applyNumberFormat="1" applyFont="1" applyFill="1" applyAlignment="1">
      <alignment horizontal="center" vertical="center"/>
    </xf>
    <xf numFmtId="165" fontId="23" fillId="0" borderId="0" xfId="0" applyNumberFormat="1" applyFont="1" applyFill="1" applyAlignment="1">
      <alignment horizontal="center"/>
    </xf>
    <xf numFmtId="165" fontId="30" fillId="0" borderId="0" xfId="0" applyNumberFormat="1" applyFont="1" applyFill="1" applyBorder="1" applyAlignment="1">
      <alignment horizontal="center" wrapText="1"/>
    </xf>
    <xf numFmtId="4" fontId="48" fillId="0" borderId="0" xfId="0" applyNumberFormat="1" applyFont="1" applyFill="1" applyBorder="1" applyAlignment="1">
      <alignment horizontal="right" wrapText="1"/>
    </xf>
    <xf numFmtId="165" fontId="28" fillId="0" borderId="7" xfId="0" applyNumberFormat="1" applyFont="1" applyFill="1" applyBorder="1" applyAlignment="1">
      <alignment horizontal="center" wrapText="1"/>
    </xf>
    <xf numFmtId="165" fontId="30" fillId="0" borderId="7" xfId="0" applyNumberFormat="1" applyFont="1" applyFill="1" applyBorder="1" applyAlignment="1">
      <alignment horizontal="center" wrapText="1"/>
    </xf>
    <xf numFmtId="165" fontId="29" fillId="0" borderId="7" xfId="0" applyNumberFormat="1" applyFont="1" applyFill="1" applyBorder="1" applyAlignment="1">
      <alignment horizontal="center" wrapText="1"/>
    </xf>
    <xf numFmtId="165" fontId="21" fillId="0" borderId="7" xfId="0" applyNumberFormat="1" applyFont="1" applyFill="1" applyBorder="1" applyAlignment="1">
      <alignment horizontal="right"/>
    </xf>
    <xf numFmtId="165" fontId="30" fillId="0" borderId="0" xfId="0" applyNumberFormat="1" applyFont="1" applyFill="1" applyAlignment="1">
      <alignment horizontal="right"/>
    </xf>
    <xf numFmtId="165" fontId="27" fillId="0" borderId="0" xfId="0" applyNumberFormat="1" applyFont="1" applyFill="1" applyAlignment="1">
      <alignment horizontal="center"/>
    </xf>
    <xf numFmtId="165" fontId="28" fillId="0" borderId="7" xfId="0" applyNumberFormat="1" applyFont="1" applyFill="1" applyBorder="1" applyAlignment="1">
      <alignment horizontal="right"/>
    </xf>
    <xf numFmtId="165" fontId="30" fillId="0" borderId="7" xfId="0" applyNumberFormat="1" applyFont="1" applyFill="1" applyBorder="1" applyAlignment="1">
      <alignment horizontal="right"/>
    </xf>
    <xf numFmtId="165" fontId="29" fillId="0" borderId="7" xfId="0" applyNumberFormat="1" applyFont="1" applyFill="1" applyBorder="1" applyAlignment="1">
      <alignment horizontal="right"/>
    </xf>
    <xf numFmtId="165" fontId="30" fillId="0" borderId="0" xfId="0" applyNumberFormat="1" applyFont="1" applyFill="1"/>
    <xf numFmtId="3" fontId="28" fillId="0" borderId="7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3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left" wrapText="1"/>
    </xf>
    <xf numFmtId="4" fontId="21" fillId="42" borderId="0" xfId="0" applyNumberFormat="1" applyFont="1" applyFill="1" applyAlignment="1">
      <alignment horizontal="center"/>
    </xf>
    <xf numFmtId="4" fontId="49" fillId="42" borderId="0" xfId="0" applyNumberFormat="1" applyFont="1" applyFill="1" applyAlignment="1">
      <alignment horizontal="center"/>
    </xf>
    <xf numFmtId="165" fontId="21" fillId="42" borderId="0" xfId="0" applyNumberFormat="1" applyFont="1" applyFill="1" applyAlignment="1">
      <alignment horizontal="center"/>
    </xf>
    <xf numFmtId="4" fontId="21" fillId="42" borderId="0" xfId="0" applyNumberFormat="1" applyFont="1" applyFill="1"/>
    <xf numFmtId="165" fontId="21" fillId="42" borderId="0" xfId="0" applyNumberFormat="1" applyFont="1" applyFill="1"/>
    <xf numFmtId="3" fontId="21" fillId="42" borderId="0" xfId="0" applyNumberFormat="1" applyFont="1" applyFill="1"/>
    <xf numFmtId="49" fontId="50" fillId="42" borderId="0" xfId="0" applyNumberFormat="1" applyFont="1" applyFill="1" applyBorder="1" applyAlignment="1" applyProtection="1">
      <alignment horizontal="left" vertical="center" wrapText="1"/>
    </xf>
    <xf numFmtId="49" fontId="50" fillId="42" borderId="0" xfId="0" applyNumberFormat="1" applyFont="1" applyFill="1" applyBorder="1" applyAlignment="1" applyProtection="1">
      <alignment horizontal="center" vertical="center" wrapText="1"/>
    </xf>
    <xf numFmtId="4" fontId="21" fillId="42" borderId="0" xfId="0" applyNumberFormat="1" applyFont="1" applyFill="1" applyAlignment="1">
      <alignment horizontal="center" vertical="center"/>
    </xf>
    <xf numFmtId="0" fontId="51" fillId="42" borderId="0" xfId="0" applyFont="1" applyFill="1" applyAlignment="1">
      <alignment vertical="top"/>
    </xf>
    <xf numFmtId="0" fontId="35" fillId="0" borderId="9" xfId="0" applyFont="1" applyFill="1" applyBorder="1" applyAlignment="1">
      <alignment vertical="top"/>
    </xf>
    <xf numFmtId="165" fontId="35" fillId="0" borderId="9" xfId="0" applyNumberFormat="1" applyFont="1" applyFill="1" applyBorder="1" applyAlignment="1">
      <alignment horizontal="center" vertical="top"/>
    </xf>
    <xf numFmtId="3" fontId="34" fillId="0" borderId="9" xfId="0" applyNumberFormat="1" applyFont="1" applyFill="1" applyBorder="1"/>
    <xf numFmtId="165" fontId="34" fillId="0" borderId="9" xfId="0" applyNumberFormat="1" applyFont="1" applyFill="1" applyBorder="1" applyAlignment="1">
      <alignment horizontal="center"/>
    </xf>
    <xf numFmtId="3" fontId="34" fillId="0" borderId="9" xfId="0" applyNumberFormat="1" applyFont="1" applyFill="1" applyBorder="1" applyAlignment="1">
      <alignment horizontal="center"/>
    </xf>
    <xf numFmtId="49" fontId="50" fillId="42" borderId="0" xfId="0" applyNumberFormat="1" applyFont="1" applyFill="1" applyBorder="1" applyAlignment="1" applyProtection="1">
      <alignment horizontal="left" vertical="center" wrapText="1"/>
    </xf>
    <xf numFmtId="49" fontId="50" fillId="42" borderId="0" xfId="0" applyNumberFormat="1" applyFont="1" applyFill="1" applyBorder="1" applyAlignment="1" applyProtection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4" fontId="47" fillId="0" borderId="7" xfId="0" applyNumberFormat="1" applyFont="1" applyFill="1" applyBorder="1" applyAlignment="1">
      <alignment horizont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7" fillId="0" borderId="7" xfId="0" applyNumberFormat="1" applyFont="1" applyFill="1" applyBorder="1" applyAlignment="1">
      <alignment horizontal="center" vertical="center" wrapText="1"/>
    </xf>
    <xf numFmtId="165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Alignment="1">
      <alignment horizontal="center"/>
    </xf>
    <xf numFmtId="3" fontId="46" fillId="0" borderId="0" xfId="0" applyNumberFormat="1" applyFont="1" applyFill="1" applyAlignment="1">
      <alignment horizontal="center" vertical="top" wrapText="1"/>
    </xf>
    <xf numFmtId="49" fontId="37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0" fontId="36" fillId="42" borderId="0" xfId="0" applyFont="1" applyFill="1" applyAlignment="1">
      <alignment horizontal="center" vertical="top" wrapText="1"/>
    </xf>
    <xf numFmtId="49" fontId="37" fillId="42" borderId="0" xfId="0" applyNumberFormat="1" applyFont="1" applyFill="1" applyAlignment="1">
      <alignment horizontal="center" vertical="center"/>
    </xf>
    <xf numFmtId="0" fontId="35" fillId="42" borderId="0" xfId="0" applyFont="1" applyFill="1" applyAlignment="1">
      <alignment horizontal="center" vertical="top"/>
    </xf>
    <xf numFmtId="4" fontId="28" fillId="42" borderId="7" xfId="0" applyNumberFormat="1" applyFont="1" applyFill="1" applyBorder="1" applyAlignment="1">
      <alignment horizontal="center" vertical="center" wrapText="1"/>
    </xf>
    <xf numFmtId="3" fontId="28" fillId="42" borderId="7" xfId="0" applyNumberFormat="1" applyFont="1" applyFill="1" applyBorder="1" applyAlignment="1" applyProtection="1">
      <alignment horizontal="center" vertical="center" wrapText="1"/>
    </xf>
    <xf numFmtId="4" fontId="42" fillId="0" borderId="0" xfId="0" applyNumberFormat="1" applyFont="1" applyFill="1"/>
    <xf numFmtId="4" fontId="47" fillId="42" borderId="7" xfId="0" applyNumberFormat="1" applyFont="1" applyFill="1" applyBorder="1" applyAlignment="1">
      <alignment horizontal="center" vertical="center" wrapText="1"/>
    </xf>
    <xf numFmtId="165" fontId="28" fillId="42" borderId="7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/>
    <xf numFmtId="3" fontId="28" fillId="42" borderId="7" xfId="0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G1708"/>
  <sheetViews>
    <sheetView showGridLines="0" showZeros="0" view="pageBreakPreview" zoomScale="50" zoomScaleNormal="50" zoomScaleSheetLayoutView="50" workbookViewId="0">
      <selection activeCell="N7" sqref="N7"/>
    </sheetView>
  </sheetViews>
  <sheetFormatPr defaultColWidth="9.1640625" defaultRowHeight="15" x14ac:dyDescent="0.25"/>
  <cols>
    <col min="1" max="1" width="16.1640625" style="66" customWidth="1"/>
    <col min="2" max="2" width="15.33203125" style="67" hidden="1" customWidth="1"/>
    <col min="3" max="3" width="14.6640625" style="67" hidden="1" customWidth="1"/>
    <col min="4" max="4" width="62" style="68" customWidth="1"/>
    <col min="5" max="5" width="22.33203125" style="10" customWidth="1"/>
    <col min="6" max="6" width="21.83203125" style="10" hidden="1" customWidth="1"/>
    <col min="7" max="7" width="22.83203125" style="10" customWidth="1"/>
    <col min="8" max="8" width="22.5" style="10" customWidth="1"/>
    <col min="9" max="9" width="21.5" style="10" hidden="1" customWidth="1"/>
    <col min="10" max="12" width="22.1640625" style="10" customWidth="1"/>
    <col min="13" max="13" width="15.33203125" style="114" customWidth="1"/>
    <col min="14" max="14" width="22.33203125" style="10" customWidth="1"/>
    <col min="15" max="15" width="21.6640625" style="10" customWidth="1"/>
    <col min="16" max="16" width="21.1640625" style="10" customWidth="1"/>
    <col min="17" max="17" width="19.5" style="10" customWidth="1"/>
    <col min="18" max="18" width="17.1640625" style="10" customWidth="1"/>
    <col min="19" max="19" width="23.6640625" style="10" customWidth="1"/>
    <col min="20" max="20" width="27.83203125" style="82" hidden="1" customWidth="1"/>
    <col min="21" max="21" width="20.1640625" style="70" customWidth="1"/>
    <col min="22" max="22" width="19.5" style="70" customWidth="1"/>
    <col min="23" max="25" width="17.6640625" style="70" customWidth="1"/>
    <col min="26" max="26" width="19.1640625" style="70" customWidth="1"/>
    <col min="27" max="27" width="13.5" style="111" customWidth="1"/>
    <col min="28" max="28" width="19.6640625" style="70" customWidth="1"/>
    <col min="29" max="16384" width="9.1640625" style="70"/>
  </cols>
  <sheetData>
    <row r="1" spans="1:527" ht="26.25" customHeight="1" x14ac:dyDescent="0.45">
      <c r="O1" s="128"/>
      <c r="T1" s="10"/>
      <c r="V1" s="158" t="s">
        <v>712</v>
      </c>
      <c r="W1" s="158"/>
      <c r="X1" s="158"/>
      <c r="Y1" s="158"/>
    </row>
    <row r="2" spans="1:527" ht="26.25" customHeight="1" x14ac:dyDescent="0.25">
      <c r="O2" s="17"/>
      <c r="P2" s="17"/>
      <c r="Q2" s="17"/>
      <c r="R2" s="17"/>
      <c r="S2" s="17"/>
      <c r="T2" s="17"/>
      <c r="V2" s="94" t="s">
        <v>713</v>
      </c>
      <c r="W2" s="94"/>
      <c r="X2" s="94"/>
      <c r="Y2" s="94"/>
    </row>
    <row r="3" spans="1:527" ht="26.25" customHeight="1" x14ac:dyDescent="0.45">
      <c r="O3" s="17"/>
      <c r="P3" s="17"/>
      <c r="Q3" s="17"/>
      <c r="R3" s="17"/>
      <c r="S3" s="17"/>
      <c r="T3" s="17"/>
      <c r="V3" s="95" t="s">
        <v>714</v>
      </c>
      <c r="W3" s="95"/>
      <c r="X3" s="95"/>
      <c r="Y3" s="95"/>
    </row>
    <row r="4" spans="1:527" ht="26.25" customHeight="1" x14ac:dyDescent="0.45">
      <c r="O4" s="91"/>
      <c r="P4" s="91"/>
      <c r="Q4" s="91"/>
      <c r="R4" s="91"/>
      <c r="S4" s="91"/>
      <c r="T4" s="91"/>
      <c r="V4" s="95" t="s">
        <v>715</v>
      </c>
      <c r="W4" s="95"/>
      <c r="X4" s="95"/>
      <c r="Y4" s="95"/>
    </row>
    <row r="5" spans="1:527" ht="26.25" customHeight="1" x14ac:dyDescent="0.45">
      <c r="O5" s="91"/>
      <c r="P5" s="91"/>
      <c r="Q5" s="91"/>
      <c r="R5" s="91"/>
      <c r="S5" s="91"/>
      <c r="T5" s="91"/>
      <c r="V5" s="95" t="s">
        <v>729</v>
      </c>
      <c r="W5" s="95"/>
      <c r="X5" s="95"/>
      <c r="Y5" s="95"/>
    </row>
    <row r="6" spans="1:527" ht="26.25" customHeight="1" x14ac:dyDescent="0.45">
      <c r="O6" s="87"/>
      <c r="P6" s="87"/>
      <c r="Q6" s="87"/>
      <c r="R6" s="87"/>
      <c r="S6" s="87"/>
      <c r="T6" s="87"/>
      <c r="V6" s="95" t="s">
        <v>730</v>
      </c>
      <c r="W6" s="95"/>
      <c r="X6" s="95"/>
      <c r="Y6" s="95"/>
    </row>
    <row r="7" spans="1:527" ht="129.75" customHeight="1" x14ac:dyDescent="0.4">
      <c r="O7" s="91"/>
      <c r="P7" s="91"/>
      <c r="Q7" s="91"/>
      <c r="R7" s="91"/>
      <c r="S7" s="91"/>
      <c r="T7" s="91"/>
    </row>
    <row r="8" spans="1:527" ht="82.5" customHeight="1" x14ac:dyDescent="0.2">
      <c r="A8" s="159" t="s">
        <v>717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</row>
    <row r="9" spans="1:527" s="71" customFormat="1" ht="35.25" customHeight="1" x14ac:dyDescent="0.35">
      <c r="A9" s="160" t="s">
        <v>643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</row>
    <row r="10" spans="1:527" s="71" customFormat="1" ht="23.25" customHeight="1" x14ac:dyDescent="0.3">
      <c r="A10" s="161" t="s">
        <v>530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</row>
    <row r="11" spans="1:527" s="71" customFormat="1" ht="19.5" customHeight="1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4"/>
      <c r="N11" s="143"/>
      <c r="O11" s="143"/>
      <c r="P11" s="143"/>
      <c r="Q11" s="143"/>
      <c r="R11" s="143"/>
      <c r="S11" s="143"/>
      <c r="T11" s="143"/>
      <c r="U11" s="145"/>
      <c r="V11" s="145"/>
      <c r="W11" s="145"/>
      <c r="X11" s="145"/>
      <c r="Y11" s="145"/>
      <c r="Z11" s="145"/>
      <c r="AA11" s="146"/>
      <c r="AB11" s="147" t="s">
        <v>352</v>
      </c>
    </row>
    <row r="12" spans="1:527" s="72" customFormat="1" ht="22.5" customHeight="1" x14ac:dyDescent="0.3">
      <c r="A12" s="152" t="s">
        <v>330</v>
      </c>
      <c r="B12" s="153" t="s">
        <v>331</v>
      </c>
      <c r="C12" s="153" t="s">
        <v>321</v>
      </c>
      <c r="D12" s="153" t="s">
        <v>332</v>
      </c>
      <c r="E12" s="155" t="s">
        <v>221</v>
      </c>
      <c r="F12" s="155"/>
      <c r="G12" s="155"/>
      <c r="H12" s="155"/>
      <c r="I12" s="155"/>
      <c r="J12" s="155"/>
      <c r="K12" s="155"/>
      <c r="L12" s="155"/>
      <c r="M12" s="156" t="s">
        <v>711</v>
      </c>
      <c r="N12" s="151" t="s">
        <v>222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6" t="s">
        <v>711</v>
      </c>
      <c r="AB12" s="150" t="s">
        <v>223</v>
      </c>
    </row>
    <row r="13" spans="1:527" s="88" customFormat="1" ht="48.4" customHeight="1" x14ac:dyDescent="0.2">
      <c r="A13" s="152"/>
      <c r="B13" s="153"/>
      <c r="C13" s="153"/>
      <c r="D13" s="153"/>
      <c r="E13" s="163" t="s">
        <v>710</v>
      </c>
      <c r="F13" s="163"/>
      <c r="G13" s="163"/>
      <c r="H13" s="163"/>
      <c r="I13" s="163"/>
      <c r="J13" s="154" t="s">
        <v>709</v>
      </c>
      <c r="K13" s="154"/>
      <c r="L13" s="154"/>
      <c r="M13" s="156"/>
      <c r="N13" s="163" t="s">
        <v>710</v>
      </c>
      <c r="O13" s="163"/>
      <c r="P13" s="163"/>
      <c r="Q13" s="163"/>
      <c r="R13" s="163"/>
      <c r="S13" s="163"/>
      <c r="T13" s="163" t="s">
        <v>223</v>
      </c>
      <c r="U13" s="157" t="s">
        <v>709</v>
      </c>
      <c r="V13" s="157"/>
      <c r="W13" s="157"/>
      <c r="X13" s="157"/>
      <c r="Y13" s="157"/>
      <c r="Z13" s="157"/>
      <c r="AA13" s="156"/>
      <c r="AB13" s="150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</row>
    <row r="14" spans="1:527" s="88" customFormat="1" ht="19.5" customHeight="1" x14ac:dyDescent="0.2">
      <c r="A14" s="152"/>
      <c r="B14" s="153"/>
      <c r="C14" s="153"/>
      <c r="D14" s="153"/>
      <c r="E14" s="154" t="s">
        <v>322</v>
      </c>
      <c r="F14" s="154" t="s">
        <v>224</v>
      </c>
      <c r="G14" s="162" t="s">
        <v>225</v>
      </c>
      <c r="H14" s="162"/>
      <c r="I14" s="154" t="s">
        <v>226</v>
      </c>
      <c r="J14" s="154" t="s">
        <v>322</v>
      </c>
      <c r="K14" s="154" t="s">
        <v>225</v>
      </c>
      <c r="L14" s="154"/>
      <c r="M14" s="156"/>
      <c r="N14" s="154" t="s">
        <v>322</v>
      </c>
      <c r="O14" s="154" t="s">
        <v>323</v>
      </c>
      <c r="P14" s="154" t="s">
        <v>224</v>
      </c>
      <c r="Q14" s="162" t="s">
        <v>225</v>
      </c>
      <c r="R14" s="162"/>
      <c r="S14" s="154" t="s">
        <v>226</v>
      </c>
      <c r="T14" s="163"/>
      <c r="U14" s="157" t="s">
        <v>322</v>
      </c>
      <c r="V14" s="157" t="s">
        <v>323</v>
      </c>
      <c r="W14" s="157" t="s">
        <v>224</v>
      </c>
      <c r="X14" s="157" t="s">
        <v>225</v>
      </c>
      <c r="Y14" s="157"/>
      <c r="Z14" s="157" t="s">
        <v>226</v>
      </c>
      <c r="AA14" s="156"/>
      <c r="AB14" s="150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</row>
    <row r="15" spans="1:527" s="88" customFormat="1" ht="72.75" customHeight="1" x14ac:dyDescent="0.2">
      <c r="A15" s="152"/>
      <c r="B15" s="153"/>
      <c r="C15" s="153"/>
      <c r="D15" s="153"/>
      <c r="E15" s="154"/>
      <c r="F15" s="154"/>
      <c r="G15" s="129" t="s">
        <v>227</v>
      </c>
      <c r="H15" s="129" t="s">
        <v>228</v>
      </c>
      <c r="I15" s="154"/>
      <c r="J15" s="154"/>
      <c r="K15" s="129" t="s">
        <v>227</v>
      </c>
      <c r="L15" s="129" t="s">
        <v>228</v>
      </c>
      <c r="M15" s="156"/>
      <c r="N15" s="154"/>
      <c r="O15" s="154"/>
      <c r="P15" s="154"/>
      <c r="Q15" s="129" t="s">
        <v>227</v>
      </c>
      <c r="R15" s="129" t="s">
        <v>228</v>
      </c>
      <c r="S15" s="154"/>
      <c r="T15" s="163"/>
      <c r="U15" s="157"/>
      <c r="V15" s="157"/>
      <c r="W15" s="157"/>
      <c r="X15" s="130" t="s">
        <v>227</v>
      </c>
      <c r="Y15" s="130" t="s">
        <v>228</v>
      </c>
      <c r="Z15" s="157"/>
      <c r="AA15" s="156"/>
      <c r="AB15" s="150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</row>
    <row r="16" spans="1:527" s="74" customFormat="1" ht="24" customHeight="1" x14ac:dyDescent="0.25">
      <c r="A16" s="61" t="s">
        <v>146</v>
      </c>
      <c r="B16" s="127"/>
      <c r="C16" s="127"/>
      <c r="D16" s="59" t="s">
        <v>34</v>
      </c>
      <c r="E16" s="100">
        <f>E17</f>
        <v>374782587.88</v>
      </c>
      <c r="F16" s="100">
        <f t="shared" ref="F16:Z16" si="0">F17</f>
        <v>283722587.88</v>
      </c>
      <c r="G16" s="100">
        <f t="shared" si="0"/>
        <v>139326048</v>
      </c>
      <c r="H16" s="100">
        <f t="shared" si="0"/>
        <v>16931500</v>
      </c>
      <c r="I16" s="100">
        <f t="shared" si="0"/>
        <v>91060000</v>
      </c>
      <c r="J16" s="100">
        <f t="shared" si="0"/>
        <v>156649905.62999997</v>
      </c>
      <c r="K16" s="100">
        <f t="shared" si="0"/>
        <v>62422521.909999996</v>
      </c>
      <c r="L16" s="100">
        <f t="shared" si="0"/>
        <v>5794390.8399999999</v>
      </c>
      <c r="M16" s="117">
        <f>J16/E16*100</f>
        <v>41.797540946634641</v>
      </c>
      <c r="N16" s="100">
        <f t="shared" si="0"/>
        <v>96516080</v>
      </c>
      <c r="O16" s="100">
        <f t="shared" si="0"/>
        <v>95838740</v>
      </c>
      <c r="P16" s="100">
        <f t="shared" si="0"/>
        <v>677340</v>
      </c>
      <c r="Q16" s="100">
        <f t="shared" si="0"/>
        <v>345344</v>
      </c>
      <c r="R16" s="100">
        <f t="shared" si="0"/>
        <v>103112</v>
      </c>
      <c r="S16" s="100">
        <f t="shared" si="0"/>
        <v>95838740</v>
      </c>
      <c r="T16" s="100">
        <f t="shared" si="0"/>
        <v>471298667.88</v>
      </c>
      <c r="U16" s="100">
        <f t="shared" si="0"/>
        <v>47872418.600000001</v>
      </c>
      <c r="V16" s="100">
        <f t="shared" si="0"/>
        <v>45028814.259999998</v>
      </c>
      <c r="W16" s="100">
        <f t="shared" si="0"/>
        <v>438177.55000000005</v>
      </c>
      <c r="X16" s="100">
        <f t="shared" si="0"/>
        <v>47354.559999999998</v>
      </c>
      <c r="Y16" s="100">
        <f t="shared" si="0"/>
        <v>10106.299999999999</v>
      </c>
      <c r="Z16" s="100">
        <f t="shared" si="0"/>
        <v>47434241.049999997</v>
      </c>
      <c r="AA16" s="117">
        <f>U16/N16*100</f>
        <v>49.600458907987147</v>
      </c>
      <c r="AB16" s="100">
        <f>U16+J16</f>
        <v>204522324.22999996</v>
      </c>
    </row>
    <row r="17" spans="1:28" s="9" customFormat="1" ht="31.5" customHeight="1" x14ac:dyDescent="0.25">
      <c r="A17" s="6" t="s">
        <v>147</v>
      </c>
      <c r="B17" s="55"/>
      <c r="C17" s="55"/>
      <c r="D17" s="8" t="s">
        <v>678</v>
      </c>
      <c r="E17" s="102">
        <f>E20+E21+E22+E23+E25+E26+E27+E28+E30+E31+E32+E33+E34+E35+E36+E37+E38+E39+E40+E41+E43+E44+E45+E47+E49+E50+E51+E53+E54+E55+E56+E57+E58+E60+E62+E63+E46+E48+E67+E64+E42+E29+E65+E61+E66+E52</f>
        <v>374782587.88</v>
      </c>
      <c r="F17" s="102">
        <f t="shared" ref="F17:Z17" si="1">F20+F21+F22+F23+F25+F26+F27+F28+F30+F31+F32+F33+F34+F35+F36+F37+F38+F39+F40+F41+F43+F44+F45+F47+F49+F50+F51+F53+F54+F55+F56+F57+F58+F60+F62+F63+F46+F48+F67+F64+F42+F29+F65+F61+F66+F52</f>
        <v>283722587.88</v>
      </c>
      <c r="G17" s="102">
        <f t="shared" si="1"/>
        <v>139326048</v>
      </c>
      <c r="H17" s="102">
        <f t="shared" si="1"/>
        <v>16931500</v>
      </c>
      <c r="I17" s="102">
        <f t="shared" si="1"/>
        <v>91060000</v>
      </c>
      <c r="J17" s="102">
        <f t="shared" si="1"/>
        <v>156649905.62999997</v>
      </c>
      <c r="K17" s="102">
        <f t="shared" si="1"/>
        <v>62422521.909999996</v>
      </c>
      <c r="L17" s="102">
        <f t="shared" si="1"/>
        <v>5794390.8399999999</v>
      </c>
      <c r="M17" s="118">
        <f t="shared" ref="M17:M78" si="2">J17/E17*100</f>
        <v>41.797540946634641</v>
      </c>
      <c r="N17" s="102">
        <f t="shared" si="1"/>
        <v>96516080</v>
      </c>
      <c r="O17" s="102">
        <f t="shared" si="1"/>
        <v>95838740</v>
      </c>
      <c r="P17" s="102">
        <f t="shared" si="1"/>
        <v>677340</v>
      </c>
      <c r="Q17" s="102">
        <f t="shared" si="1"/>
        <v>345344</v>
      </c>
      <c r="R17" s="102">
        <f t="shared" si="1"/>
        <v>103112</v>
      </c>
      <c r="S17" s="102">
        <f t="shared" si="1"/>
        <v>95838740</v>
      </c>
      <c r="T17" s="102">
        <f t="shared" si="1"/>
        <v>471298667.88</v>
      </c>
      <c r="U17" s="102">
        <f t="shared" si="1"/>
        <v>47872418.600000001</v>
      </c>
      <c r="V17" s="102">
        <f t="shared" si="1"/>
        <v>45028814.259999998</v>
      </c>
      <c r="W17" s="102">
        <f t="shared" si="1"/>
        <v>438177.55000000005</v>
      </c>
      <c r="X17" s="102">
        <f t="shared" si="1"/>
        <v>47354.559999999998</v>
      </c>
      <c r="Y17" s="102">
        <f t="shared" si="1"/>
        <v>10106.299999999999</v>
      </c>
      <c r="Z17" s="102">
        <f t="shared" si="1"/>
        <v>47434241.049999997</v>
      </c>
      <c r="AA17" s="118">
        <f t="shared" ref="AA17:AA80" si="3">U17/N17*100</f>
        <v>49.600458907987147</v>
      </c>
      <c r="AB17" s="102">
        <f t="shared" ref="AB17:AB80" si="4">U17+J17</f>
        <v>204522324.22999996</v>
      </c>
    </row>
    <row r="18" spans="1:28" s="9" customFormat="1" ht="50.25" customHeight="1" x14ac:dyDescent="0.25">
      <c r="A18" s="6"/>
      <c r="B18" s="55"/>
      <c r="C18" s="55"/>
      <c r="D18" s="8" t="s">
        <v>376</v>
      </c>
      <c r="E18" s="102">
        <f>E59</f>
        <v>410600</v>
      </c>
      <c r="F18" s="102">
        <f t="shared" ref="F18:Z18" si="5">F59</f>
        <v>410600</v>
      </c>
      <c r="G18" s="102">
        <f t="shared" si="5"/>
        <v>336800</v>
      </c>
      <c r="H18" s="102">
        <f t="shared" si="5"/>
        <v>0</v>
      </c>
      <c r="I18" s="102">
        <f t="shared" si="5"/>
        <v>0</v>
      </c>
      <c r="J18" s="102">
        <f t="shared" si="5"/>
        <v>217400</v>
      </c>
      <c r="K18" s="102">
        <f t="shared" si="5"/>
        <v>178350</v>
      </c>
      <c r="L18" s="102">
        <f t="shared" si="5"/>
        <v>0</v>
      </c>
      <c r="M18" s="118">
        <f t="shared" si="2"/>
        <v>52.94690696541646</v>
      </c>
      <c r="N18" s="102">
        <f t="shared" si="5"/>
        <v>0</v>
      </c>
      <c r="O18" s="102">
        <f t="shared" si="5"/>
        <v>0</v>
      </c>
      <c r="P18" s="102">
        <f t="shared" si="5"/>
        <v>0</v>
      </c>
      <c r="Q18" s="102">
        <f t="shared" si="5"/>
        <v>0</v>
      </c>
      <c r="R18" s="102">
        <f t="shared" si="5"/>
        <v>0</v>
      </c>
      <c r="S18" s="102">
        <f t="shared" si="5"/>
        <v>0</v>
      </c>
      <c r="T18" s="102">
        <f t="shared" si="5"/>
        <v>410600</v>
      </c>
      <c r="U18" s="102">
        <f t="shared" si="5"/>
        <v>0</v>
      </c>
      <c r="V18" s="102">
        <f t="shared" si="5"/>
        <v>0</v>
      </c>
      <c r="W18" s="102">
        <f t="shared" si="5"/>
        <v>0</v>
      </c>
      <c r="X18" s="102">
        <f t="shared" si="5"/>
        <v>0</v>
      </c>
      <c r="Y18" s="102">
        <f t="shared" si="5"/>
        <v>0</v>
      </c>
      <c r="Z18" s="102">
        <f t="shared" si="5"/>
        <v>0</v>
      </c>
      <c r="AA18" s="118"/>
      <c r="AB18" s="102">
        <f t="shared" si="4"/>
        <v>217400</v>
      </c>
    </row>
    <row r="19" spans="1:28" s="9" customFormat="1" ht="63" hidden="1" customHeight="1" x14ac:dyDescent="0.25">
      <c r="A19" s="6"/>
      <c r="B19" s="55"/>
      <c r="C19" s="55"/>
      <c r="D19" s="8" t="str">
        <f>'дод 5'!C22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19" s="102">
        <f>E24</f>
        <v>0</v>
      </c>
      <c r="F19" s="102">
        <f t="shared" ref="F19:T19" si="6">F24</f>
        <v>0</v>
      </c>
      <c r="G19" s="102">
        <f t="shared" si="6"/>
        <v>0</v>
      </c>
      <c r="H19" s="102">
        <f t="shared" si="6"/>
        <v>0</v>
      </c>
      <c r="I19" s="102">
        <f t="shared" si="6"/>
        <v>0</v>
      </c>
      <c r="J19" s="102"/>
      <c r="K19" s="102"/>
      <c r="L19" s="102"/>
      <c r="M19" s="112" t="e">
        <f t="shared" si="2"/>
        <v>#DIV/0!</v>
      </c>
      <c r="N19" s="102">
        <f t="shared" si="6"/>
        <v>0</v>
      </c>
      <c r="O19" s="102">
        <f t="shared" si="6"/>
        <v>0</v>
      </c>
      <c r="P19" s="102">
        <f t="shared" si="6"/>
        <v>0</v>
      </c>
      <c r="Q19" s="102">
        <f t="shared" si="6"/>
        <v>0</v>
      </c>
      <c r="R19" s="102">
        <f t="shared" si="6"/>
        <v>0</v>
      </c>
      <c r="S19" s="102">
        <f t="shared" si="6"/>
        <v>0</v>
      </c>
      <c r="T19" s="102">
        <f t="shared" si="6"/>
        <v>0</v>
      </c>
      <c r="U19" s="103"/>
      <c r="V19" s="103"/>
      <c r="W19" s="103"/>
      <c r="X19" s="103"/>
      <c r="Y19" s="103"/>
      <c r="Z19" s="103"/>
      <c r="AA19" s="112" t="e">
        <f t="shared" si="3"/>
        <v>#DIV/0!</v>
      </c>
      <c r="AB19" s="101">
        <f t="shared" si="4"/>
        <v>0</v>
      </c>
    </row>
    <row r="20" spans="1:28" s="75" customFormat="1" ht="45.75" customHeight="1" x14ac:dyDescent="0.25">
      <c r="A20" s="1" t="s">
        <v>148</v>
      </c>
      <c r="B20" s="3" t="str">
        <f>'дод 5'!A18</f>
        <v>0160</v>
      </c>
      <c r="C20" s="3" t="str">
        <f>'дод 5'!B18</f>
        <v>0111</v>
      </c>
      <c r="D20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0" s="101">
        <f>F20+I20</f>
        <v>138984471</v>
      </c>
      <c r="F20" s="101">
        <f>127421600-92800+5000+610000-324900-213300-499580-835600+2387051+782800+9744200</f>
        <v>138984471</v>
      </c>
      <c r="G20" s="101">
        <f>92423800-266300-174850-409550-684900+1956648+641800+7993600</f>
        <v>101480248</v>
      </c>
      <c r="H20" s="101">
        <f>6355400-92800+5000</f>
        <v>6267600</v>
      </c>
      <c r="I20" s="101"/>
      <c r="J20" s="101">
        <v>61131686.409999996</v>
      </c>
      <c r="K20" s="101">
        <v>45573732.140000001</v>
      </c>
      <c r="L20" s="101">
        <v>2293452.36</v>
      </c>
      <c r="M20" s="112">
        <f t="shared" si="2"/>
        <v>43.984544438781221</v>
      </c>
      <c r="N20" s="101">
        <f>P20+S20</f>
        <v>14590879</v>
      </c>
      <c r="O20" s="101">
        <f>4000000+10590879</f>
        <v>14590879</v>
      </c>
      <c r="P20" s="101"/>
      <c r="Q20" s="101"/>
      <c r="R20" s="101"/>
      <c r="S20" s="101">
        <f>4000000+10590879</f>
        <v>14590879</v>
      </c>
      <c r="T20" s="101">
        <f>E20+N20</f>
        <v>153575350</v>
      </c>
      <c r="U20" s="104">
        <v>3594038.22</v>
      </c>
      <c r="V20" s="104">
        <v>918658.26</v>
      </c>
      <c r="W20" s="104">
        <v>269953.17</v>
      </c>
      <c r="X20" s="104"/>
      <c r="Y20" s="104"/>
      <c r="Z20" s="104">
        <v>3324085.05</v>
      </c>
      <c r="AA20" s="112">
        <f t="shared" si="3"/>
        <v>24.632088443746262</v>
      </c>
      <c r="AB20" s="101">
        <f t="shared" si="4"/>
        <v>64725724.629999995</v>
      </c>
    </row>
    <row r="21" spans="1:28" s="75" customFormat="1" ht="35.25" hidden="1" customHeight="1" x14ac:dyDescent="0.25">
      <c r="A21" s="1" t="s">
        <v>430</v>
      </c>
      <c r="B21" s="1" t="s">
        <v>89</v>
      </c>
      <c r="C21" s="1" t="s">
        <v>440</v>
      </c>
      <c r="D21" s="38" t="s">
        <v>431</v>
      </c>
      <c r="E21" s="101">
        <f t="shared" ref="E21:E64" si="7">F21+I21</f>
        <v>0</v>
      </c>
      <c r="F21" s="101"/>
      <c r="G21" s="101"/>
      <c r="H21" s="101"/>
      <c r="I21" s="101"/>
      <c r="J21" s="101"/>
      <c r="K21" s="101"/>
      <c r="L21" s="101"/>
      <c r="M21" s="112" t="e">
        <f t="shared" si="2"/>
        <v>#DIV/0!</v>
      </c>
      <c r="N21" s="101">
        <f>P21+S21</f>
        <v>0</v>
      </c>
      <c r="O21" s="101"/>
      <c r="P21" s="101"/>
      <c r="Q21" s="101"/>
      <c r="R21" s="101"/>
      <c r="S21" s="101"/>
      <c r="T21" s="101">
        <f t="shared" ref="T21:T67" si="8">E21+N21</f>
        <v>0</v>
      </c>
      <c r="U21" s="104"/>
      <c r="V21" s="104"/>
      <c r="W21" s="104"/>
      <c r="X21" s="104"/>
      <c r="Y21" s="104"/>
      <c r="Z21" s="104"/>
      <c r="AA21" s="112" t="e">
        <f t="shared" si="3"/>
        <v>#DIV/0!</v>
      </c>
      <c r="AB21" s="101">
        <f t="shared" si="4"/>
        <v>0</v>
      </c>
    </row>
    <row r="22" spans="1:28" s="75" customFormat="1" ht="22.5" customHeight="1" x14ac:dyDescent="0.25">
      <c r="A22" s="1" t="s">
        <v>238</v>
      </c>
      <c r="B22" s="3" t="str">
        <f>'дод 5'!A20</f>
        <v>0180</v>
      </c>
      <c r="C22" s="3" t="str">
        <f>'дод 5'!B20</f>
        <v>0133</v>
      </c>
      <c r="D22" s="38" t="str">
        <f>'дод 5'!C20</f>
        <v>Інша діяльність у сфері державного управління</v>
      </c>
      <c r="E22" s="101">
        <f t="shared" si="7"/>
        <v>2018600</v>
      </c>
      <c r="F22" s="101">
        <f>1000000+3200400+208800-1084000-795000-560200+48600</f>
        <v>2018600</v>
      </c>
      <c r="G22" s="101"/>
      <c r="H22" s="101"/>
      <c r="I22" s="101"/>
      <c r="J22" s="101">
        <v>782544.24</v>
      </c>
      <c r="K22" s="101"/>
      <c r="L22" s="101"/>
      <c r="M22" s="112">
        <f t="shared" si="2"/>
        <v>38.766681858713959</v>
      </c>
      <c r="N22" s="101">
        <f t="shared" ref="N22:N24" si="9">P22+S22</f>
        <v>0</v>
      </c>
      <c r="O22" s="101"/>
      <c r="P22" s="101"/>
      <c r="Q22" s="101"/>
      <c r="R22" s="101"/>
      <c r="S22" s="101"/>
      <c r="T22" s="101">
        <f t="shared" si="8"/>
        <v>2018600</v>
      </c>
      <c r="U22" s="104">
        <f>W22+Z22</f>
        <v>0</v>
      </c>
      <c r="V22" s="104"/>
      <c r="W22" s="104"/>
      <c r="X22" s="104"/>
      <c r="Y22" s="104"/>
      <c r="Z22" s="104"/>
      <c r="AA22" s="112"/>
      <c r="AB22" s="101">
        <f t="shared" si="4"/>
        <v>782544.24</v>
      </c>
    </row>
    <row r="23" spans="1:28" s="75" customFormat="1" ht="15.75" hidden="1" customHeight="1" x14ac:dyDescent="0.25">
      <c r="A23" s="1" t="s">
        <v>418</v>
      </c>
      <c r="B23" s="1" t="s">
        <v>419</v>
      </c>
      <c r="C23" s="1" t="s">
        <v>117</v>
      </c>
      <c r="D23" s="38" t="s">
        <v>420</v>
      </c>
      <c r="E23" s="101">
        <f t="shared" si="7"/>
        <v>0</v>
      </c>
      <c r="F23" s="101"/>
      <c r="G23" s="101"/>
      <c r="H23" s="101"/>
      <c r="I23" s="101"/>
      <c r="J23" s="101"/>
      <c r="K23" s="101"/>
      <c r="L23" s="101"/>
      <c r="M23" s="112" t="e">
        <f t="shared" si="2"/>
        <v>#DIV/0!</v>
      </c>
      <c r="N23" s="101">
        <f t="shared" si="9"/>
        <v>0</v>
      </c>
      <c r="O23" s="101"/>
      <c r="P23" s="101"/>
      <c r="Q23" s="101"/>
      <c r="R23" s="101"/>
      <c r="S23" s="101"/>
      <c r="T23" s="101">
        <f t="shared" si="8"/>
        <v>0</v>
      </c>
      <c r="U23" s="104">
        <f t="shared" ref="U23:U67" si="10">W23+Z23</f>
        <v>0</v>
      </c>
      <c r="V23" s="104"/>
      <c r="W23" s="104"/>
      <c r="X23" s="104"/>
      <c r="Y23" s="104"/>
      <c r="Z23" s="104"/>
      <c r="AA23" s="112"/>
      <c r="AB23" s="101">
        <f t="shared" si="4"/>
        <v>0</v>
      </c>
    </row>
    <row r="24" spans="1:28" s="5" customFormat="1" ht="60" hidden="1" customHeight="1" x14ac:dyDescent="0.25">
      <c r="A24" s="41"/>
      <c r="B24" s="76"/>
      <c r="C24" s="76"/>
      <c r="D24" s="39" t="str">
        <f>'дод 5'!C22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4" s="105">
        <f t="shared" si="7"/>
        <v>0</v>
      </c>
      <c r="F24" s="105"/>
      <c r="G24" s="105"/>
      <c r="H24" s="105"/>
      <c r="I24" s="105"/>
      <c r="J24" s="105"/>
      <c r="K24" s="105"/>
      <c r="L24" s="105"/>
      <c r="M24" s="112" t="e">
        <f t="shared" si="2"/>
        <v>#DIV/0!</v>
      </c>
      <c r="N24" s="105">
        <f t="shared" si="9"/>
        <v>0</v>
      </c>
      <c r="O24" s="105"/>
      <c r="P24" s="105"/>
      <c r="Q24" s="105"/>
      <c r="R24" s="105"/>
      <c r="S24" s="105"/>
      <c r="T24" s="105">
        <f t="shared" si="8"/>
        <v>0</v>
      </c>
      <c r="U24" s="104">
        <f t="shared" si="10"/>
        <v>0</v>
      </c>
      <c r="V24" s="106"/>
      <c r="W24" s="106"/>
      <c r="X24" s="106"/>
      <c r="Y24" s="106"/>
      <c r="Z24" s="106"/>
      <c r="AA24" s="112"/>
      <c r="AB24" s="101">
        <f t="shared" si="4"/>
        <v>0</v>
      </c>
    </row>
    <row r="25" spans="1:28" s="75" customFormat="1" ht="47.25" customHeight="1" x14ac:dyDescent="0.25">
      <c r="A25" s="1" t="s">
        <v>254</v>
      </c>
      <c r="B25" s="3" t="str">
        <f>'дод 5'!A125</f>
        <v>3033</v>
      </c>
      <c r="C25" s="3" t="str">
        <f>'дод 5'!B125</f>
        <v>1070</v>
      </c>
      <c r="D25" s="38" t="s">
        <v>399</v>
      </c>
      <c r="E25" s="101">
        <f t="shared" si="7"/>
        <v>555700</v>
      </c>
      <c r="F25" s="101">
        <v>555700</v>
      </c>
      <c r="G25" s="101"/>
      <c r="H25" s="101"/>
      <c r="I25" s="101"/>
      <c r="J25" s="101">
        <v>231520</v>
      </c>
      <c r="K25" s="101"/>
      <c r="L25" s="101"/>
      <c r="M25" s="112">
        <f t="shared" si="2"/>
        <v>41.662767680403093</v>
      </c>
      <c r="N25" s="101">
        <f t="shared" ref="N25:N67" si="11">P25+S25</f>
        <v>0</v>
      </c>
      <c r="O25" s="101"/>
      <c r="P25" s="101"/>
      <c r="Q25" s="101"/>
      <c r="R25" s="101"/>
      <c r="S25" s="101"/>
      <c r="T25" s="101">
        <f t="shared" si="8"/>
        <v>555700</v>
      </c>
      <c r="U25" s="104">
        <f t="shared" si="10"/>
        <v>0</v>
      </c>
      <c r="V25" s="104"/>
      <c r="W25" s="104"/>
      <c r="X25" s="104"/>
      <c r="Y25" s="104"/>
      <c r="Z25" s="104"/>
      <c r="AA25" s="112"/>
      <c r="AB25" s="101">
        <f t="shared" si="4"/>
        <v>231520</v>
      </c>
    </row>
    <row r="26" spans="1:28" s="75" customFormat="1" ht="31.5" customHeight="1" x14ac:dyDescent="0.25">
      <c r="A26" s="1" t="s">
        <v>149</v>
      </c>
      <c r="B26" s="3" t="str">
        <f>'дод 5'!A128</f>
        <v>3036</v>
      </c>
      <c r="C26" s="3" t="str">
        <f>'дод 5'!B128</f>
        <v>1070</v>
      </c>
      <c r="D26" s="38" t="str">
        <f>'дод 5'!C128</f>
        <v>Компенсаційні виплати на пільговий проїзд електротранспортом окремим категоріям громадян</v>
      </c>
      <c r="E26" s="101">
        <f t="shared" si="7"/>
        <v>966300</v>
      </c>
      <c r="F26" s="101">
        <v>966300</v>
      </c>
      <c r="G26" s="101"/>
      <c r="H26" s="101"/>
      <c r="I26" s="101"/>
      <c r="J26" s="101">
        <v>403280</v>
      </c>
      <c r="K26" s="101"/>
      <c r="L26" s="101"/>
      <c r="M26" s="112">
        <f t="shared" si="2"/>
        <v>41.734450998654658</v>
      </c>
      <c r="N26" s="101">
        <f t="shared" si="11"/>
        <v>0</v>
      </c>
      <c r="O26" s="101"/>
      <c r="P26" s="101"/>
      <c r="Q26" s="101"/>
      <c r="R26" s="101"/>
      <c r="S26" s="101"/>
      <c r="T26" s="101">
        <f t="shared" si="8"/>
        <v>966300</v>
      </c>
      <c r="U26" s="104">
        <f t="shared" si="10"/>
        <v>0</v>
      </c>
      <c r="V26" s="104"/>
      <c r="W26" s="104"/>
      <c r="X26" s="104"/>
      <c r="Y26" s="104"/>
      <c r="Z26" s="104"/>
      <c r="AA26" s="112"/>
      <c r="AB26" s="101">
        <f t="shared" si="4"/>
        <v>403280</v>
      </c>
    </row>
    <row r="27" spans="1:28" s="75" customFormat="1" ht="36" customHeight="1" x14ac:dyDescent="0.25">
      <c r="A27" s="1" t="s">
        <v>150</v>
      </c>
      <c r="B27" s="3" t="str">
        <f>'дод 5'!A136</f>
        <v>3121</v>
      </c>
      <c r="C27" s="3" t="str">
        <f>'дод 5'!B136</f>
        <v>1040</v>
      </c>
      <c r="D27" s="38" t="str">
        <f>'дод 5'!C136</f>
        <v>Утримання та забезпечення діяльності центрів соціальних служб</v>
      </c>
      <c r="E27" s="101">
        <f t="shared" si="7"/>
        <v>4383800</v>
      </c>
      <c r="F27" s="101">
        <v>4383800</v>
      </c>
      <c r="G27" s="101">
        <v>3236100</v>
      </c>
      <c r="H27" s="101">
        <v>106600</v>
      </c>
      <c r="I27" s="101"/>
      <c r="J27" s="101">
        <v>2037121.11</v>
      </c>
      <c r="K27" s="101">
        <v>1561128.47</v>
      </c>
      <c r="L27" s="101">
        <v>48738.34</v>
      </c>
      <c r="M27" s="112">
        <f t="shared" si="2"/>
        <v>46.469298553766144</v>
      </c>
      <c r="N27" s="101">
        <f t="shared" si="11"/>
        <v>100000</v>
      </c>
      <c r="O27" s="101">
        <v>100000</v>
      </c>
      <c r="P27" s="101"/>
      <c r="Q27" s="101"/>
      <c r="R27" s="101"/>
      <c r="S27" s="101">
        <v>100000</v>
      </c>
      <c r="T27" s="101">
        <f t="shared" si="8"/>
        <v>4483800</v>
      </c>
      <c r="U27" s="104">
        <f t="shared" si="10"/>
        <v>0</v>
      </c>
      <c r="V27" s="104"/>
      <c r="W27" s="104"/>
      <c r="X27" s="104"/>
      <c r="Y27" s="104"/>
      <c r="Z27" s="104"/>
      <c r="AA27" s="112">
        <f t="shared" si="3"/>
        <v>0</v>
      </c>
      <c r="AB27" s="101">
        <f t="shared" si="4"/>
        <v>2037121.11</v>
      </c>
    </row>
    <row r="28" spans="1:28" s="75" customFormat="1" ht="49.35" customHeight="1" x14ac:dyDescent="0.25">
      <c r="A28" s="1" t="s">
        <v>151</v>
      </c>
      <c r="B28" s="3" t="str">
        <f>'дод 5'!A137</f>
        <v>3131</v>
      </c>
      <c r="C28" s="3" t="str">
        <f>'дод 5'!B137</f>
        <v>1040</v>
      </c>
      <c r="D28" s="38" t="str">
        <f>'дод 5'!C137</f>
        <v>Здійснення заходів та реалізація проектів на виконання Державної цільової соціальної програми "Молодь України"</v>
      </c>
      <c r="E28" s="101">
        <f t="shared" si="7"/>
        <v>500000</v>
      </c>
      <c r="F28" s="101">
        <f>1000000-500000</f>
        <v>500000</v>
      </c>
      <c r="G28" s="101"/>
      <c r="H28" s="101"/>
      <c r="I28" s="101"/>
      <c r="J28" s="101">
        <v>134794.46</v>
      </c>
      <c r="K28" s="101"/>
      <c r="L28" s="101"/>
      <c r="M28" s="112">
        <f t="shared" si="2"/>
        <v>26.958892000000002</v>
      </c>
      <c r="N28" s="101">
        <f t="shared" si="11"/>
        <v>0</v>
      </c>
      <c r="O28" s="101"/>
      <c r="P28" s="101"/>
      <c r="Q28" s="101"/>
      <c r="R28" s="101"/>
      <c r="S28" s="101"/>
      <c r="T28" s="101">
        <f t="shared" si="8"/>
        <v>500000</v>
      </c>
      <c r="U28" s="104">
        <f t="shared" si="10"/>
        <v>0</v>
      </c>
      <c r="V28" s="104"/>
      <c r="W28" s="104"/>
      <c r="X28" s="104"/>
      <c r="Y28" s="104"/>
      <c r="Z28" s="104"/>
      <c r="AA28" s="112"/>
      <c r="AB28" s="101">
        <f t="shared" si="4"/>
        <v>134794.46</v>
      </c>
    </row>
    <row r="29" spans="1:28" s="75" customFormat="1" ht="21.75" customHeight="1" x14ac:dyDescent="0.25">
      <c r="A29" s="1" t="s">
        <v>547</v>
      </c>
      <c r="B29" s="3">
        <v>3133</v>
      </c>
      <c r="C29" s="3">
        <v>1040</v>
      </c>
      <c r="D29" s="38" t="str">
        <f>'дод 5'!C138</f>
        <v>Інші заходи та заклади молодіжної політики</v>
      </c>
      <c r="E29" s="101">
        <f t="shared" si="7"/>
        <v>6297600</v>
      </c>
      <c r="F29" s="101">
        <f>6227600+70000</f>
        <v>6297600</v>
      </c>
      <c r="G29" s="101">
        <v>3587200</v>
      </c>
      <c r="H29" s="101">
        <v>1085700</v>
      </c>
      <c r="I29" s="101"/>
      <c r="J29" s="101">
        <v>2470445.7400000002</v>
      </c>
      <c r="K29" s="101">
        <v>1539890.66</v>
      </c>
      <c r="L29" s="101">
        <v>388289.09</v>
      </c>
      <c r="M29" s="112">
        <f t="shared" si="2"/>
        <v>39.228368584857726</v>
      </c>
      <c r="N29" s="101">
        <f t="shared" si="11"/>
        <v>10000</v>
      </c>
      <c r="O29" s="101"/>
      <c r="P29" s="101">
        <v>10000</v>
      </c>
      <c r="Q29" s="101"/>
      <c r="R29" s="101">
        <v>3500</v>
      </c>
      <c r="S29" s="101"/>
      <c r="T29" s="101">
        <f t="shared" si="8"/>
        <v>6307600</v>
      </c>
      <c r="U29" s="104">
        <f t="shared" si="10"/>
        <v>39474.9</v>
      </c>
      <c r="V29" s="104"/>
      <c r="W29" s="104">
        <v>39474.9</v>
      </c>
      <c r="X29" s="104">
        <v>2663</v>
      </c>
      <c r="Y29" s="104"/>
      <c r="Z29" s="104"/>
      <c r="AA29" s="112" t="s">
        <v>719</v>
      </c>
      <c r="AB29" s="101">
        <f t="shared" si="4"/>
        <v>2509920.64</v>
      </c>
    </row>
    <row r="30" spans="1:28" s="75" customFormat="1" ht="78.75" hidden="1" customHeight="1" x14ac:dyDescent="0.25">
      <c r="A30" s="1" t="s">
        <v>152</v>
      </c>
      <c r="B30" s="3" t="str">
        <f>'дод 5'!A139</f>
        <v>3140</v>
      </c>
      <c r="C30" s="3" t="str">
        <f>'дод 5'!B139</f>
        <v>1040</v>
      </c>
      <c r="D30" s="38" t="str">
        <f>'дод 5'!C139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0" s="101">
        <f t="shared" si="7"/>
        <v>0</v>
      </c>
      <c r="F30" s="101"/>
      <c r="G30" s="101"/>
      <c r="H30" s="101"/>
      <c r="I30" s="101"/>
      <c r="J30" s="101"/>
      <c r="K30" s="101"/>
      <c r="L30" s="101"/>
      <c r="M30" s="112" t="e">
        <f t="shared" si="2"/>
        <v>#DIV/0!</v>
      </c>
      <c r="N30" s="101">
        <f t="shared" si="11"/>
        <v>0</v>
      </c>
      <c r="O30" s="101"/>
      <c r="P30" s="101"/>
      <c r="Q30" s="101"/>
      <c r="R30" s="101"/>
      <c r="S30" s="101"/>
      <c r="T30" s="101">
        <f t="shared" si="8"/>
        <v>0</v>
      </c>
      <c r="U30" s="104">
        <f t="shared" si="10"/>
        <v>0</v>
      </c>
      <c r="V30" s="104"/>
      <c r="W30" s="104"/>
      <c r="X30" s="104"/>
      <c r="Y30" s="104"/>
      <c r="Z30" s="104"/>
      <c r="AA30" s="112" t="e">
        <f t="shared" si="3"/>
        <v>#DIV/0!</v>
      </c>
      <c r="AB30" s="101">
        <f t="shared" si="4"/>
        <v>0</v>
      </c>
    </row>
    <row r="31" spans="1:28" s="75" customFormat="1" ht="32.25" customHeight="1" x14ac:dyDescent="0.25">
      <c r="A31" s="1" t="s">
        <v>299</v>
      </c>
      <c r="B31" s="3" t="str">
        <f>'дод 5'!A158</f>
        <v>3241</v>
      </c>
      <c r="C31" s="3" t="str">
        <f>'дод 5'!B158</f>
        <v>1090</v>
      </c>
      <c r="D31" s="40" t="str">
        <f>'дод 5'!C158</f>
        <v>Забезпечення діяльності інших закладів у сфері соціального захисту і соціального забезпечення</v>
      </c>
      <c r="E31" s="101">
        <f t="shared" si="7"/>
        <v>1931700</v>
      </c>
      <c r="F31" s="101">
        <v>1931700</v>
      </c>
      <c r="G31" s="101">
        <v>1270900</v>
      </c>
      <c r="H31" s="101">
        <v>258800</v>
      </c>
      <c r="I31" s="101"/>
      <c r="J31" s="101">
        <v>808487.13</v>
      </c>
      <c r="K31" s="101">
        <v>582107.25</v>
      </c>
      <c r="L31" s="101">
        <v>97666.4</v>
      </c>
      <c r="M31" s="112">
        <f t="shared" si="2"/>
        <v>41.853658953253607</v>
      </c>
      <c r="N31" s="101">
        <f t="shared" si="11"/>
        <v>0</v>
      </c>
      <c r="O31" s="101"/>
      <c r="P31" s="101"/>
      <c r="Q31" s="101"/>
      <c r="R31" s="101"/>
      <c r="S31" s="101"/>
      <c r="T31" s="101">
        <f t="shared" si="8"/>
        <v>1931700</v>
      </c>
      <c r="U31" s="104">
        <f t="shared" si="10"/>
        <v>0</v>
      </c>
      <c r="V31" s="104"/>
      <c r="W31" s="104"/>
      <c r="X31" s="104"/>
      <c r="Y31" s="104"/>
      <c r="Z31" s="104"/>
      <c r="AA31" s="112"/>
      <c r="AB31" s="101">
        <f t="shared" si="4"/>
        <v>808487.13</v>
      </c>
    </row>
    <row r="32" spans="1:28" s="75" customFormat="1" ht="33.75" customHeight="1" x14ac:dyDescent="0.25">
      <c r="A32" s="1" t="s">
        <v>300</v>
      </c>
      <c r="B32" s="3" t="str">
        <f>'дод 5'!A159</f>
        <v>3242</v>
      </c>
      <c r="C32" s="3" t="str">
        <f>'дод 5'!B159</f>
        <v>1090</v>
      </c>
      <c r="D32" s="38" t="s">
        <v>400</v>
      </c>
      <c r="E32" s="101">
        <f t="shared" si="7"/>
        <v>157100</v>
      </c>
      <c r="F32" s="101">
        <v>157100</v>
      </c>
      <c r="G32" s="101"/>
      <c r="H32" s="101"/>
      <c r="I32" s="101"/>
      <c r="J32" s="101">
        <v>75636</v>
      </c>
      <c r="K32" s="101"/>
      <c r="L32" s="101"/>
      <c r="M32" s="112">
        <f t="shared" si="2"/>
        <v>48.145130490133674</v>
      </c>
      <c r="N32" s="101">
        <f t="shared" si="11"/>
        <v>0</v>
      </c>
      <c r="O32" s="101"/>
      <c r="P32" s="101"/>
      <c r="Q32" s="101"/>
      <c r="R32" s="101"/>
      <c r="S32" s="101"/>
      <c r="T32" s="101">
        <f t="shared" si="8"/>
        <v>157100</v>
      </c>
      <c r="U32" s="104">
        <f t="shared" si="10"/>
        <v>0</v>
      </c>
      <c r="V32" s="104"/>
      <c r="W32" s="104"/>
      <c r="X32" s="104"/>
      <c r="Y32" s="104"/>
      <c r="Z32" s="104"/>
      <c r="AA32" s="112"/>
      <c r="AB32" s="101">
        <f t="shared" si="4"/>
        <v>75636</v>
      </c>
    </row>
    <row r="33" spans="1:28" s="75" customFormat="1" ht="50.25" hidden="1" customHeight="1" x14ac:dyDescent="0.25">
      <c r="A33" s="1" t="s">
        <v>312</v>
      </c>
      <c r="B33" s="3" t="str">
        <f>'дод 5'!A164</f>
        <v>4060</v>
      </c>
      <c r="C33" s="3" t="str">
        <f>'дод 5'!B164</f>
        <v>0828</v>
      </c>
      <c r="D33" s="38" t="str">
        <f>'дод 5'!C164</f>
        <v>Забезпечення діяльності палаців i будинків культури, клубів, центрів дозвілля та iнших клубних закладів</v>
      </c>
      <c r="E33" s="101">
        <f t="shared" si="7"/>
        <v>0</v>
      </c>
      <c r="F33" s="107"/>
      <c r="G33" s="101"/>
      <c r="H33" s="101"/>
      <c r="I33" s="101"/>
      <c r="J33" s="101"/>
      <c r="K33" s="101"/>
      <c r="L33" s="101"/>
      <c r="M33" s="112" t="e">
        <f t="shared" si="2"/>
        <v>#DIV/0!</v>
      </c>
      <c r="N33" s="101">
        <f t="shared" si="11"/>
        <v>0</v>
      </c>
      <c r="O33" s="101"/>
      <c r="P33" s="101"/>
      <c r="Q33" s="101"/>
      <c r="R33" s="101"/>
      <c r="S33" s="101"/>
      <c r="T33" s="101">
        <f t="shared" si="8"/>
        <v>0</v>
      </c>
      <c r="U33" s="104">
        <f t="shared" si="10"/>
        <v>0</v>
      </c>
      <c r="V33" s="104"/>
      <c r="W33" s="104"/>
      <c r="X33" s="104"/>
      <c r="Y33" s="104"/>
      <c r="Z33" s="104"/>
      <c r="AA33" s="112"/>
      <c r="AB33" s="101">
        <f t="shared" si="4"/>
        <v>0</v>
      </c>
    </row>
    <row r="34" spans="1:28" s="75" customFormat="1" ht="30.75" customHeight="1" x14ac:dyDescent="0.25">
      <c r="A34" s="1" t="s">
        <v>297</v>
      </c>
      <c r="B34" s="3" t="str">
        <f>'дод 5'!A165</f>
        <v>4081</v>
      </c>
      <c r="C34" s="3" t="str">
        <f>'дод 5'!B165</f>
        <v>0829</v>
      </c>
      <c r="D34" s="38" t="str">
        <f>'дод 5'!C165</f>
        <v>Забезпечення діяльності інших закладів в галузі культури і мистецтва</v>
      </c>
      <c r="E34" s="101">
        <f t="shared" si="7"/>
        <v>3157300</v>
      </c>
      <c r="F34" s="101">
        <v>3157300</v>
      </c>
      <c r="G34" s="101">
        <v>2128600</v>
      </c>
      <c r="H34" s="101">
        <v>211100</v>
      </c>
      <c r="I34" s="101"/>
      <c r="J34" s="101">
        <v>1449482.1</v>
      </c>
      <c r="K34" s="101">
        <v>1046730.8</v>
      </c>
      <c r="L34" s="101">
        <v>151168.23000000001</v>
      </c>
      <c r="M34" s="112">
        <f t="shared" si="2"/>
        <v>45.908912678554465</v>
      </c>
      <c r="N34" s="101">
        <f t="shared" si="11"/>
        <v>0</v>
      </c>
      <c r="O34" s="101"/>
      <c r="P34" s="101"/>
      <c r="Q34" s="101"/>
      <c r="R34" s="101"/>
      <c r="S34" s="101"/>
      <c r="T34" s="101">
        <f t="shared" si="8"/>
        <v>3157300</v>
      </c>
      <c r="U34" s="104">
        <f t="shared" si="10"/>
        <v>0</v>
      </c>
      <c r="V34" s="104"/>
      <c r="W34" s="104"/>
      <c r="X34" s="104"/>
      <c r="Y34" s="104"/>
      <c r="Z34" s="104"/>
      <c r="AA34" s="112"/>
      <c r="AB34" s="101">
        <f t="shared" si="4"/>
        <v>1449482.1</v>
      </c>
    </row>
    <row r="35" spans="1:28" s="75" customFormat="1" ht="25.5" hidden="1" customHeight="1" x14ac:dyDescent="0.25">
      <c r="A35" s="1" t="s">
        <v>298</v>
      </c>
      <c r="B35" s="3">
        <v>4082</v>
      </c>
      <c r="C35" s="3" t="str">
        <f>'дод 5'!B166</f>
        <v>0829</v>
      </c>
      <c r="D35" s="38" t="str">
        <f>'дод 5'!C166</f>
        <v>Інші заходи в галузі культури і мистецтва</v>
      </c>
      <c r="E35" s="101">
        <f t="shared" si="7"/>
        <v>0</v>
      </c>
      <c r="F35" s="101"/>
      <c r="G35" s="101"/>
      <c r="H35" s="101"/>
      <c r="I35" s="101"/>
      <c r="J35" s="101"/>
      <c r="K35" s="101"/>
      <c r="L35" s="101"/>
      <c r="M35" s="112" t="e">
        <f t="shared" si="2"/>
        <v>#DIV/0!</v>
      </c>
      <c r="N35" s="101">
        <f t="shared" si="11"/>
        <v>0</v>
      </c>
      <c r="O35" s="101"/>
      <c r="P35" s="101"/>
      <c r="Q35" s="101"/>
      <c r="R35" s="101"/>
      <c r="S35" s="101"/>
      <c r="T35" s="101">
        <f t="shared" si="8"/>
        <v>0</v>
      </c>
      <c r="U35" s="104">
        <f t="shared" si="10"/>
        <v>0</v>
      </c>
      <c r="V35" s="104"/>
      <c r="W35" s="104"/>
      <c r="X35" s="104"/>
      <c r="Y35" s="104"/>
      <c r="Z35" s="104"/>
      <c r="AA35" s="112" t="e">
        <f t="shared" si="3"/>
        <v>#DIV/0!</v>
      </c>
      <c r="AB35" s="101">
        <f t="shared" si="4"/>
        <v>0</v>
      </c>
    </row>
    <row r="36" spans="1:28" s="75" customFormat="1" ht="36.75" customHeight="1" x14ac:dyDescent="0.25">
      <c r="A36" s="1" t="s">
        <v>153</v>
      </c>
      <c r="B36" s="3" t="str">
        <f>'дод 5'!A169</f>
        <v>5011</v>
      </c>
      <c r="C36" s="3" t="str">
        <f>'дод 5'!B169</f>
        <v>0810</v>
      </c>
      <c r="D36" s="38" t="str">
        <f>'дод 5'!C169</f>
        <v>Проведення навчально-тренувальних зборів і змагань з олімпійських видів спорту</v>
      </c>
      <c r="E36" s="101">
        <f t="shared" si="7"/>
        <v>1787920</v>
      </c>
      <c r="F36" s="101">
        <f>500000-100000+1387920</f>
        <v>1787920</v>
      </c>
      <c r="G36" s="101"/>
      <c r="H36" s="101"/>
      <c r="I36" s="101"/>
      <c r="J36" s="101">
        <v>162824.56</v>
      </c>
      <c r="K36" s="101"/>
      <c r="L36" s="101"/>
      <c r="M36" s="112">
        <f t="shared" si="2"/>
        <v>9.1069264844064612</v>
      </c>
      <c r="N36" s="101">
        <f t="shared" si="11"/>
        <v>0</v>
      </c>
      <c r="O36" s="101"/>
      <c r="P36" s="101"/>
      <c r="Q36" s="101"/>
      <c r="R36" s="101"/>
      <c r="S36" s="101"/>
      <c r="T36" s="101">
        <f t="shared" si="8"/>
        <v>1787920</v>
      </c>
      <c r="U36" s="104">
        <f t="shared" si="10"/>
        <v>0</v>
      </c>
      <c r="V36" s="104"/>
      <c r="W36" s="104"/>
      <c r="X36" s="104"/>
      <c r="Y36" s="104"/>
      <c r="Z36" s="104"/>
      <c r="AA36" s="112"/>
      <c r="AB36" s="101">
        <f t="shared" si="4"/>
        <v>162824.56</v>
      </c>
    </row>
    <row r="37" spans="1:28" s="75" customFormat="1" ht="34.5" customHeight="1" x14ac:dyDescent="0.25">
      <c r="A37" s="1" t="s">
        <v>154</v>
      </c>
      <c r="B37" s="3" t="str">
        <f>'дод 5'!A170</f>
        <v>5012</v>
      </c>
      <c r="C37" s="3" t="str">
        <f>'дод 5'!B170</f>
        <v>0810</v>
      </c>
      <c r="D37" s="38" t="str">
        <f>'дод 5'!C170</f>
        <v>Проведення навчально-тренувальних зборів і змагань з неолімпійських видів спорту</v>
      </c>
      <c r="E37" s="101">
        <f t="shared" si="7"/>
        <v>1140000</v>
      </c>
      <c r="F37" s="101">
        <f>500000-100000+740000</f>
        <v>1140000</v>
      </c>
      <c r="G37" s="101"/>
      <c r="H37" s="101"/>
      <c r="I37" s="101"/>
      <c r="J37" s="101">
        <v>89435.72</v>
      </c>
      <c r="K37" s="101"/>
      <c r="L37" s="101"/>
      <c r="M37" s="112">
        <f t="shared" si="2"/>
        <v>7.845238596491229</v>
      </c>
      <c r="N37" s="101">
        <f t="shared" si="11"/>
        <v>0</v>
      </c>
      <c r="O37" s="101"/>
      <c r="P37" s="101"/>
      <c r="Q37" s="101"/>
      <c r="R37" s="101"/>
      <c r="S37" s="101"/>
      <c r="T37" s="101">
        <f t="shared" si="8"/>
        <v>1140000</v>
      </c>
      <c r="U37" s="104">
        <f t="shared" si="10"/>
        <v>0</v>
      </c>
      <c r="V37" s="104"/>
      <c r="W37" s="104"/>
      <c r="X37" s="104"/>
      <c r="Y37" s="104"/>
      <c r="Z37" s="104"/>
      <c r="AA37" s="112"/>
      <c r="AB37" s="101">
        <f t="shared" si="4"/>
        <v>89435.72</v>
      </c>
    </row>
    <row r="38" spans="1:28" s="75" customFormat="1" ht="31.5" x14ac:dyDescent="0.25">
      <c r="A38" s="1" t="s">
        <v>155</v>
      </c>
      <c r="B38" s="3" t="str">
        <f>'дод 5'!A171</f>
        <v>5031</v>
      </c>
      <c r="C38" s="3" t="str">
        <f>'дод 5'!B171</f>
        <v>0810</v>
      </c>
      <c r="D38" s="38" t="str">
        <f>'дод 5'!C171</f>
        <v>Утримання та навчально-тренувальна робота комунальних дитячо-юнацьких спортивних шкіл</v>
      </c>
      <c r="E38" s="101">
        <f t="shared" si="7"/>
        <v>29923370</v>
      </c>
      <c r="F38" s="101">
        <f>28174800-20000+942070+500000+190000+136500</f>
        <v>29923370</v>
      </c>
      <c r="G38" s="101">
        <v>21075000</v>
      </c>
      <c r="H38" s="101">
        <v>1904100</v>
      </c>
      <c r="I38" s="101"/>
      <c r="J38" s="101">
        <v>12359441.390000001</v>
      </c>
      <c r="K38" s="101">
        <v>9183265.2300000004</v>
      </c>
      <c r="L38" s="101">
        <v>945536.51</v>
      </c>
      <c r="M38" s="112">
        <f t="shared" si="2"/>
        <v>41.303641234259381</v>
      </c>
      <c r="N38" s="101">
        <f t="shared" si="11"/>
        <v>130000</v>
      </c>
      <c r="O38" s="101">
        <v>130000</v>
      </c>
      <c r="P38" s="101"/>
      <c r="Q38" s="101"/>
      <c r="R38" s="101"/>
      <c r="S38" s="101">
        <v>130000</v>
      </c>
      <c r="T38" s="101">
        <f t="shared" si="8"/>
        <v>30053370</v>
      </c>
      <c r="U38" s="104">
        <f t="shared" si="10"/>
        <v>0</v>
      </c>
      <c r="V38" s="104"/>
      <c r="W38" s="104"/>
      <c r="X38" s="104"/>
      <c r="Y38" s="104"/>
      <c r="Z38" s="104"/>
      <c r="AA38" s="112">
        <f t="shared" si="3"/>
        <v>0</v>
      </c>
      <c r="AB38" s="101">
        <f t="shared" si="4"/>
        <v>12359441.390000001</v>
      </c>
    </row>
    <row r="39" spans="1:28" s="75" customFormat="1" ht="49.5" customHeight="1" x14ac:dyDescent="0.25">
      <c r="A39" s="1" t="s">
        <v>351</v>
      </c>
      <c r="B39" s="3" t="str">
        <f>'дод 5'!A173</f>
        <v>5032</v>
      </c>
      <c r="C39" s="3" t="str">
        <f>'дод 5'!B173</f>
        <v>0810</v>
      </c>
      <c r="D39" s="38" t="str">
        <f>'дод 5'!C173</f>
        <v>Фінансова підтримка дитячо-юнацьких спортивних шкіл фізкультурно-спортивних товариств</v>
      </c>
      <c r="E39" s="101">
        <f t="shared" si="7"/>
        <v>22762610</v>
      </c>
      <c r="F39" s="101">
        <f>21982100-7000+630010+157500</f>
        <v>22762610</v>
      </c>
      <c r="G39" s="101"/>
      <c r="H39" s="101"/>
      <c r="I39" s="101"/>
      <c r="J39" s="101">
        <v>9831196.9499999993</v>
      </c>
      <c r="K39" s="101"/>
      <c r="L39" s="101"/>
      <c r="M39" s="112">
        <f t="shared" si="2"/>
        <v>43.190112864913118</v>
      </c>
      <c r="N39" s="101">
        <f t="shared" si="11"/>
        <v>0</v>
      </c>
      <c r="O39" s="101"/>
      <c r="P39" s="101"/>
      <c r="Q39" s="101"/>
      <c r="R39" s="101"/>
      <c r="S39" s="101"/>
      <c r="T39" s="101">
        <f t="shared" si="8"/>
        <v>22762610</v>
      </c>
      <c r="U39" s="104">
        <f t="shared" si="10"/>
        <v>0</v>
      </c>
      <c r="V39" s="104"/>
      <c r="W39" s="104"/>
      <c r="X39" s="104"/>
      <c r="Y39" s="104"/>
      <c r="Z39" s="104"/>
      <c r="AA39" s="112"/>
      <c r="AB39" s="101">
        <f t="shared" si="4"/>
        <v>9831196.9499999993</v>
      </c>
    </row>
    <row r="40" spans="1:28" s="75" customFormat="1" ht="64.5" customHeight="1" x14ac:dyDescent="0.25">
      <c r="A40" s="1" t="s">
        <v>156</v>
      </c>
      <c r="B40" s="3" t="str">
        <f>'дод 5'!A174</f>
        <v>5061</v>
      </c>
      <c r="C40" s="3" t="str">
        <f>'дод 5'!B174</f>
        <v>0810</v>
      </c>
      <c r="D40" s="38" t="str">
        <f>'дод 5'!C174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0" s="101">
        <f t="shared" si="7"/>
        <v>6952500</v>
      </c>
      <c r="F40" s="101">
        <v>6952500</v>
      </c>
      <c r="G40" s="101">
        <v>4148000</v>
      </c>
      <c r="H40" s="101">
        <v>839400</v>
      </c>
      <c r="I40" s="101"/>
      <c r="J40" s="101">
        <v>3019509.95</v>
      </c>
      <c r="K40" s="101">
        <v>1841897.08</v>
      </c>
      <c r="L40" s="101">
        <v>403694.41</v>
      </c>
      <c r="M40" s="112">
        <f t="shared" si="2"/>
        <v>43.43056382596189</v>
      </c>
      <c r="N40" s="101">
        <f t="shared" si="11"/>
        <v>990440</v>
      </c>
      <c r="O40" s="101">
        <v>450000</v>
      </c>
      <c r="P40" s="101">
        <v>540440</v>
      </c>
      <c r="Q40" s="101">
        <v>345344</v>
      </c>
      <c r="R40" s="101">
        <v>98012</v>
      </c>
      <c r="S40" s="101">
        <v>450000</v>
      </c>
      <c r="T40" s="101">
        <f t="shared" si="8"/>
        <v>7942940</v>
      </c>
      <c r="U40" s="104">
        <f t="shared" si="10"/>
        <v>58473.760000000002</v>
      </c>
      <c r="V40" s="104"/>
      <c r="W40" s="104">
        <v>58473.760000000002</v>
      </c>
      <c r="X40" s="104">
        <v>24691.56</v>
      </c>
      <c r="Y40" s="104">
        <v>10106.299999999999</v>
      </c>
      <c r="Z40" s="104"/>
      <c r="AA40" s="112">
        <f t="shared" si="3"/>
        <v>5.9038164856023592</v>
      </c>
      <c r="AB40" s="101">
        <f t="shared" si="4"/>
        <v>3077983.71</v>
      </c>
    </row>
    <row r="41" spans="1:28" s="75" customFormat="1" ht="47.25" x14ac:dyDescent="0.25">
      <c r="A41" s="1" t="s">
        <v>343</v>
      </c>
      <c r="B41" s="3" t="str">
        <f>'дод 5'!A175</f>
        <v>5062</v>
      </c>
      <c r="C41" s="3" t="str">
        <f>'дод 5'!B175</f>
        <v>0810</v>
      </c>
      <c r="D41" s="38" t="str">
        <f>'дод 5'!C175</f>
        <v>Підтримка спорту вищих досягнень та організацій, які здійснюють фізкультурно-спортивну діяльність в регіоні</v>
      </c>
      <c r="E41" s="101">
        <f t="shared" si="7"/>
        <v>15797804</v>
      </c>
      <c r="F41" s="101">
        <f>14430400-500000-800000+500000+264867+517349+1158008+227180</f>
        <v>15797804</v>
      </c>
      <c r="G41" s="101"/>
      <c r="H41" s="101"/>
      <c r="I41" s="101"/>
      <c r="J41" s="101">
        <v>7271028.75</v>
      </c>
      <c r="K41" s="101"/>
      <c r="L41" s="101"/>
      <c r="M41" s="112">
        <f t="shared" si="2"/>
        <v>46.025566274907575</v>
      </c>
      <c r="N41" s="101">
        <f t="shared" si="11"/>
        <v>0</v>
      </c>
      <c r="O41" s="101"/>
      <c r="P41" s="101"/>
      <c r="Q41" s="101"/>
      <c r="R41" s="101"/>
      <c r="S41" s="101"/>
      <c r="T41" s="101">
        <f t="shared" si="8"/>
        <v>15797804</v>
      </c>
      <c r="U41" s="104">
        <f t="shared" si="10"/>
        <v>0</v>
      </c>
      <c r="V41" s="104"/>
      <c r="W41" s="104"/>
      <c r="X41" s="104"/>
      <c r="Y41" s="104"/>
      <c r="Z41" s="104"/>
      <c r="AA41" s="112"/>
      <c r="AB41" s="101">
        <f t="shared" si="4"/>
        <v>7271028.75</v>
      </c>
    </row>
    <row r="42" spans="1:28" s="75" customFormat="1" ht="37.5" hidden="1" customHeight="1" x14ac:dyDescent="0.25">
      <c r="A42" s="1" t="s">
        <v>546</v>
      </c>
      <c r="B42" s="3">
        <v>7323</v>
      </c>
      <c r="C42" s="1" t="s">
        <v>110</v>
      </c>
      <c r="D42" s="38" t="str">
        <f>'дод 5'!C211</f>
        <v>Будівництво1 установ та закладів соціальної сфери</v>
      </c>
      <c r="E42" s="101">
        <f t="shared" si="7"/>
        <v>0</v>
      </c>
      <c r="F42" s="101"/>
      <c r="G42" s="101"/>
      <c r="H42" s="101"/>
      <c r="I42" s="101"/>
      <c r="J42" s="101"/>
      <c r="K42" s="101"/>
      <c r="L42" s="101"/>
      <c r="M42" s="112" t="e">
        <f t="shared" si="2"/>
        <v>#DIV/0!</v>
      </c>
      <c r="N42" s="101">
        <f t="shared" si="11"/>
        <v>0</v>
      </c>
      <c r="O42" s="101"/>
      <c r="P42" s="101"/>
      <c r="Q42" s="101"/>
      <c r="R42" s="101"/>
      <c r="S42" s="101"/>
      <c r="T42" s="101">
        <f t="shared" si="8"/>
        <v>0</v>
      </c>
      <c r="U42" s="104">
        <f t="shared" si="10"/>
        <v>0</v>
      </c>
      <c r="V42" s="104"/>
      <c r="W42" s="104"/>
      <c r="X42" s="104"/>
      <c r="Y42" s="104"/>
      <c r="Z42" s="104"/>
      <c r="AA42" s="112" t="e">
        <f t="shared" si="3"/>
        <v>#DIV/0!</v>
      </c>
      <c r="AB42" s="101">
        <f t="shared" si="4"/>
        <v>0</v>
      </c>
    </row>
    <row r="43" spans="1:28" s="75" customFormat="1" ht="31.5" hidden="1" customHeight="1" x14ac:dyDescent="0.25">
      <c r="A43" s="1" t="s">
        <v>402</v>
      </c>
      <c r="B43" s="3">
        <v>7325</v>
      </c>
      <c r="C43" s="26" t="s">
        <v>110</v>
      </c>
      <c r="D43" s="4" t="str">
        <f>'дод 5'!C213</f>
        <v>Будівництво1 споруд, установ та закладів фізичної культури і спорту</v>
      </c>
      <c r="E43" s="101">
        <f t="shared" si="7"/>
        <v>0</v>
      </c>
      <c r="F43" s="101"/>
      <c r="G43" s="101"/>
      <c r="H43" s="101"/>
      <c r="I43" s="101"/>
      <c r="J43" s="101"/>
      <c r="K43" s="101"/>
      <c r="L43" s="101"/>
      <c r="M43" s="112" t="e">
        <f t="shared" si="2"/>
        <v>#DIV/0!</v>
      </c>
      <c r="N43" s="101">
        <f t="shared" si="11"/>
        <v>0</v>
      </c>
      <c r="O43" s="101"/>
      <c r="P43" s="101"/>
      <c r="Q43" s="101"/>
      <c r="R43" s="101"/>
      <c r="S43" s="101"/>
      <c r="T43" s="101">
        <f t="shared" si="8"/>
        <v>0</v>
      </c>
      <c r="U43" s="104">
        <f t="shared" si="10"/>
        <v>0</v>
      </c>
      <c r="V43" s="104"/>
      <c r="W43" s="104"/>
      <c r="X43" s="104"/>
      <c r="Y43" s="104"/>
      <c r="Z43" s="104"/>
      <c r="AA43" s="112" t="e">
        <f t="shared" si="3"/>
        <v>#DIV/0!</v>
      </c>
      <c r="AB43" s="101">
        <f t="shared" si="4"/>
        <v>0</v>
      </c>
    </row>
    <row r="44" spans="1:28" s="75" customFormat="1" ht="15.75" hidden="1" customHeight="1" x14ac:dyDescent="0.25">
      <c r="A44" s="1" t="s">
        <v>403</v>
      </c>
      <c r="B44" s="3">
        <v>7330</v>
      </c>
      <c r="C44" s="26" t="s">
        <v>110</v>
      </c>
      <c r="D44" s="4" t="str">
        <f>'дод 5'!C214</f>
        <v>Будівництво1 інших об'єктів комунальної власності</v>
      </c>
      <c r="E44" s="101">
        <f t="shared" si="7"/>
        <v>0</v>
      </c>
      <c r="F44" s="101"/>
      <c r="G44" s="101"/>
      <c r="H44" s="101"/>
      <c r="I44" s="101"/>
      <c r="J44" s="101"/>
      <c r="K44" s="101"/>
      <c r="L44" s="101"/>
      <c r="M44" s="112" t="e">
        <f t="shared" si="2"/>
        <v>#DIV/0!</v>
      </c>
      <c r="N44" s="101">
        <f t="shared" si="11"/>
        <v>0</v>
      </c>
      <c r="O44" s="101"/>
      <c r="P44" s="101"/>
      <c r="Q44" s="101"/>
      <c r="R44" s="101"/>
      <c r="S44" s="101"/>
      <c r="T44" s="101">
        <f t="shared" si="8"/>
        <v>0</v>
      </c>
      <c r="U44" s="104">
        <f t="shared" si="10"/>
        <v>0</v>
      </c>
      <c r="V44" s="104"/>
      <c r="W44" s="104"/>
      <c r="X44" s="104"/>
      <c r="Y44" s="104"/>
      <c r="Z44" s="104"/>
      <c r="AA44" s="112" t="e">
        <f t="shared" si="3"/>
        <v>#DIV/0!</v>
      </c>
      <c r="AB44" s="101">
        <f t="shared" si="4"/>
        <v>0</v>
      </c>
    </row>
    <row r="45" spans="1:28" s="75" customFormat="1" ht="33" customHeight="1" x14ac:dyDescent="0.25">
      <c r="A45" s="1" t="s">
        <v>157</v>
      </c>
      <c r="B45" s="3" t="str">
        <f>'дод 5'!A233</f>
        <v>7412</v>
      </c>
      <c r="C45" s="3" t="str">
        <f>'дод 5'!B233</f>
        <v>0451</v>
      </c>
      <c r="D45" s="38" t="str">
        <f>'дод 5'!C233</f>
        <v>Регулювання цін на послуги місцевого автотранспорту</v>
      </c>
      <c r="E45" s="101">
        <f t="shared" si="7"/>
        <v>26100000</v>
      </c>
      <c r="F45" s="104"/>
      <c r="G45" s="101"/>
      <c r="H45" s="101"/>
      <c r="I45" s="101">
        <f>27600000-1500000</f>
        <v>26100000</v>
      </c>
      <c r="J45" s="101">
        <v>10969308</v>
      </c>
      <c r="K45" s="101"/>
      <c r="L45" s="101"/>
      <c r="M45" s="112">
        <f t="shared" si="2"/>
        <v>42.027999999999999</v>
      </c>
      <c r="N45" s="101">
        <f t="shared" si="11"/>
        <v>0</v>
      </c>
      <c r="O45" s="101"/>
      <c r="P45" s="101"/>
      <c r="Q45" s="101"/>
      <c r="R45" s="101"/>
      <c r="S45" s="101"/>
      <c r="T45" s="101">
        <f t="shared" si="8"/>
        <v>26100000</v>
      </c>
      <c r="U45" s="104">
        <f t="shared" si="10"/>
        <v>0</v>
      </c>
      <c r="V45" s="104"/>
      <c r="W45" s="104"/>
      <c r="X45" s="104"/>
      <c r="Y45" s="104"/>
      <c r="Z45" s="104"/>
      <c r="AA45" s="112"/>
      <c r="AB45" s="101">
        <f t="shared" si="4"/>
        <v>10969308</v>
      </c>
    </row>
    <row r="46" spans="1:28" s="75" customFormat="1" ht="24" hidden="1" customHeight="1" x14ac:dyDescent="0.25">
      <c r="A46" s="1" t="s">
        <v>371</v>
      </c>
      <c r="B46" s="3">
        <f>'дод 5'!A234</f>
        <v>7413</v>
      </c>
      <c r="C46" s="3" t="str">
        <f>'дод 5'!B234</f>
        <v>0451</v>
      </c>
      <c r="D46" s="58" t="str">
        <f>'дод 5'!C234</f>
        <v>Інші заходи у сфері автотранспорту</v>
      </c>
      <c r="E46" s="101">
        <f t="shared" si="7"/>
        <v>0</v>
      </c>
      <c r="F46" s="101"/>
      <c r="G46" s="101"/>
      <c r="H46" s="101"/>
      <c r="I46" s="101"/>
      <c r="J46" s="101"/>
      <c r="K46" s="101"/>
      <c r="L46" s="101"/>
      <c r="M46" s="112" t="e">
        <f t="shared" si="2"/>
        <v>#DIV/0!</v>
      </c>
      <c r="N46" s="101">
        <f t="shared" si="11"/>
        <v>0</v>
      </c>
      <c r="O46" s="101"/>
      <c r="P46" s="101"/>
      <c r="Q46" s="101"/>
      <c r="R46" s="101"/>
      <c r="S46" s="101"/>
      <c r="T46" s="101">
        <f t="shared" si="8"/>
        <v>0</v>
      </c>
      <c r="U46" s="104">
        <f t="shared" si="10"/>
        <v>0</v>
      </c>
      <c r="V46" s="104"/>
      <c r="W46" s="104"/>
      <c r="X46" s="104"/>
      <c r="Y46" s="104"/>
      <c r="Z46" s="104"/>
      <c r="AA46" s="112"/>
      <c r="AB46" s="101">
        <f t="shared" si="4"/>
        <v>0</v>
      </c>
    </row>
    <row r="47" spans="1:28" s="75" customFormat="1" ht="33" customHeight="1" x14ac:dyDescent="0.25">
      <c r="A47" s="1" t="s">
        <v>521</v>
      </c>
      <c r="B47" s="3">
        <v>7422</v>
      </c>
      <c r="C47" s="1" t="s">
        <v>401</v>
      </c>
      <c r="D47" s="58" t="str">
        <f>'дод 5'!C235</f>
        <v>Регулювання цін на послуги місцевого наземного електротранспорту</v>
      </c>
      <c r="E47" s="101">
        <f t="shared" si="7"/>
        <v>64960000</v>
      </c>
      <c r="F47" s="101"/>
      <c r="G47" s="101"/>
      <c r="H47" s="101"/>
      <c r="I47" s="101">
        <f>69010000-4050000</f>
        <v>64960000</v>
      </c>
      <c r="J47" s="101">
        <v>27899728</v>
      </c>
      <c r="K47" s="101"/>
      <c r="L47" s="101"/>
      <c r="M47" s="112">
        <f t="shared" si="2"/>
        <v>42.94908866995074</v>
      </c>
      <c r="N47" s="101">
        <f t="shared" si="11"/>
        <v>0</v>
      </c>
      <c r="O47" s="101"/>
      <c r="P47" s="101"/>
      <c r="Q47" s="101"/>
      <c r="R47" s="101"/>
      <c r="S47" s="101"/>
      <c r="T47" s="101">
        <f t="shared" si="8"/>
        <v>64960000</v>
      </c>
      <c r="U47" s="104">
        <f t="shared" si="10"/>
        <v>0</v>
      </c>
      <c r="V47" s="104"/>
      <c r="W47" s="104"/>
      <c r="X47" s="104"/>
      <c r="Y47" s="104"/>
      <c r="Z47" s="104"/>
      <c r="AA47" s="112"/>
      <c r="AB47" s="101">
        <f t="shared" si="4"/>
        <v>27899728</v>
      </c>
    </row>
    <row r="48" spans="1:28" s="75" customFormat="1" ht="24" hidden="1" customHeight="1" x14ac:dyDescent="0.25">
      <c r="A48" s="1" t="s">
        <v>372</v>
      </c>
      <c r="B48" s="3">
        <f>'дод 5'!A236</f>
        <v>7426</v>
      </c>
      <c r="C48" s="1" t="s">
        <v>401</v>
      </c>
      <c r="D48" s="58" t="str">
        <f>'дод 5'!C236</f>
        <v>Інші заходи у сфері електротранспорту</v>
      </c>
      <c r="E48" s="101">
        <f t="shared" si="7"/>
        <v>0</v>
      </c>
      <c r="F48" s="101"/>
      <c r="G48" s="101"/>
      <c r="H48" s="101"/>
      <c r="I48" s="101"/>
      <c r="J48" s="101"/>
      <c r="K48" s="101"/>
      <c r="L48" s="101"/>
      <c r="M48" s="112" t="e">
        <f t="shared" si="2"/>
        <v>#DIV/0!</v>
      </c>
      <c r="N48" s="101">
        <f t="shared" si="11"/>
        <v>0</v>
      </c>
      <c r="O48" s="101"/>
      <c r="P48" s="101"/>
      <c r="Q48" s="101"/>
      <c r="R48" s="101"/>
      <c r="S48" s="101"/>
      <c r="T48" s="101">
        <f t="shared" si="8"/>
        <v>0</v>
      </c>
      <c r="U48" s="104">
        <f t="shared" si="10"/>
        <v>0</v>
      </c>
      <c r="V48" s="104"/>
      <c r="W48" s="104"/>
      <c r="X48" s="104"/>
      <c r="Y48" s="104"/>
      <c r="Z48" s="104"/>
      <c r="AA48" s="112"/>
      <c r="AB48" s="101">
        <f t="shared" si="4"/>
        <v>0</v>
      </c>
    </row>
    <row r="49" spans="1:28" s="75" customFormat="1" ht="21.75" customHeight="1" x14ac:dyDescent="0.25">
      <c r="A49" s="1" t="s">
        <v>432</v>
      </c>
      <c r="B49" s="1" t="s">
        <v>433</v>
      </c>
      <c r="C49" s="1" t="s">
        <v>392</v>
      </c>
      <c r="D49" s="58" t="str">
        <f>'дод 5'!C238</f>
        <v>Інша діяльність у сфері транспорту</v>
      </c>
      <c r="E49" s="101">
        <f t="shared" si="7"/>
        <v>321000</v>
      </c>
      <c r="F49" s="101">
        <f>1500000+321000-1500000</f>
        <v>321000</v>
      </c>
      <c r="G49" s="101"/>
      <c r="H49" s="101"/>
      <c r="I49" s="101"/>
      <c r="J49" s="101"/>
      <c r="K49" s="101"/>
      <c r="L49" s="101"/>
      <c r="M49" s="112">
        <f t="shared" si="2"/>
        <v>0</v>
      </c>
      <c r="N49" s="101">
        <f t="shared" si="11"/>
        <v>0</v>
      </c>
      <c r="O49" s="101"/>
      <c r="P49" s="101"/>
      <c r="Q49" s="101"/>
      <c r="R49" s="101"/>
      <c r="S49" s="101"/>
      <c r="T49" s="101">
        <f t="shared" si="8"/>
        <v>321000</v>
      </c>
      <c r="U49" s="104">
        <f t="shared" si="10"/>
        <v>0</v>
      </c>
      <c r="V49" s="104"/>
      <c r="W49" s="104"/>
      <c r="X49" s="104"/>
      <c r="Y49" s="104"/>
      <c r="Z49" s="104"/>
      <c r="AA49" s="112"/>
      <c r="AB49" s="101">
        <f t="shared" si="4"/>
        <v>0</v>
      </c>
    </row>
    <row r="50" spans="1:28" s="75" customFormat="1" ht="30.75" customHeight="1" x14ac:dyDescent="0.25">
      <c r="A50" s="1" t="s">
        <v>230</v>
      </c>
      <c r="B50" s="3" t="str">
        <f>'дод 5'!A243</f>
        <v>7530</v>
      </c>
      <c r="C50" s="3" t="str">
        <f>'дод 5'!B243</f>
        <v>0460</v>
      </c>
      <c r="D50" s="38" t="str">
        <f>'дод 5'!C243</f>
        <v>Інші заходи у сфері зв'язку, телекомунікації та інформатики</v>
      </c>
      <c r="E50" s="101">
        <f t="shared" si="7"/>
        <v>5696400</v>
      </c>
      <c r="F50" s="101">
        <f>5323200+180000+193200</f>
        <v>5696400</v>
      </c>
      <c r="G50" s="101"/>
      <c r="H50" s="101"/>
      <c r="I50" s="101"/>
      <c r="J50" s="101">
        <v>294346.45</v>
      </c>
      <c r="K50" s="101"/>
      <c r="L50" s="101"/>
      <c r="M50" s="112">
        <f t="shared" si="2"/>
        <v>5.1672363246963</v>
      </c>
      <c r="N50" s="101">
        <f>P50+S50</f>
        <v>19036280</v>
      </c>
      <c r="O50" s="101">
        <v>19036280</v>
      </c>
      <c r="P50" s="101"/>
      <c r="Q50" s="101"/>
      <c r="R50" s="101"/>
      <c r="S50" s="101">
        <v>19036280</v>
      </c>
      <c r="T50" s="101">
        <f t="shared" si="8"/>
        <v>24732680</v>
      </c>
      <c r="U50" s="104">
        <f t="shared" si="10"/>
        <v>0</v>
      </c>
      <c r="V50" s="104"/>
      <c r="W50" s="104"/>
      <c r="X50" s="104"/>
      <c r="Y50" s="104"/>
      <c r="Z50" s="104"/>
      <c r="AA50" s="112">
        <f t="shared" si="3"/>
        <v>0</v>
      </c>
      <c r="AB50" s="101">
        <f t="shared" si="4"/>
        <v>294346.45</v>
      </c>
    </row>
    <row r="51" spans="1:28" s="75" customFormat="1" ht="31.5" hidden="1" customHeight="1" x14ac:dyDescent="0.25">
      <c r="A51" s="1" t="s">
        <v>158</v>
      </c>
      <c r="B51" s="3" t="str">
        <f>'дод 5'!A248</f>
        <v>7610</v>
      </c>
      <c r="C51" s="3" t="str">
        <f>'дод 5'!B248</f>
        <v>0411</v>
      </c>
      <c r="D51" s="38" t="str">
        <f>'дод 5'!C248</f>
        <v>Сприяння розвитку малого та середнього підприємництва</v>
      </c>
      <c r="E51" s="101">
        <f t="shared" si="7"/>
        <v>0</v>
      </c>
      <c r="F51" s="101"/>
      <c r="G51" s="101"/>
      <c r="H51" s="101"/>
      <c r="I51" s="101"/>
      <c r="J51" s="101"/>
      <c r="K51" s="101"/>
      <c r="L51" s="101"/>
      <c r="M51" s="112" t="e">
        <f t="shared" si="2"/>
        <v>#DIV/0!</v>
      </c>
      <c r="N51" s="101">
        <f t="shared" si="11"/>
        <v>0</v>
      </c>
      <c r="O51" s="101"/>
      <c r="P51" s="101"/>
      <c r="Q51" s="101"/>
      <c r="R51" s="101"/>
      <c r="S51" s="101"/>
      <c r="T51" s="101">
        <f t="shared" si="8"/>
        <v>0</v>
      </c>
      <c r="U51" s="104">
        <f t="shared" si="10"/>
        <v>0</v>
      </c>
      <c r="V51" s="104"/>
      <c r="W51" s="104"/>
      <c r="X51" s="104"/>
      <c r="Y51" s="104"/>
      <c r="Z51" s="104"/>
      <c r="AA51" s="112" t="e">
        <f t="shared" si="3"/>
        <v>#DIV/0!</v>
      </c>
      <c r="AB51" s="101">
        <f t="shared" si="4"/>
        <v>0</v>
      </c>
    </row>
    <row r="52" spans="1:28" s="75" customFormat="1" ht="31.5" customHeight="1" x14ac:dyDescent="0.25">
      <c r="A52" s="1" t="s">
        <v>617</v>
      </c>
      <c r="B52" s="3" t="str">
        <f>'дод 5'!A249</f>
        <v>7640</v>
      </c>
      <c r="C52" s="3" t="str">
        <f>'дод 5'!B249</f>
        <v>0470</v>
      </c>
      <c r="D52" s="58" t="s">
        <v>410</v>
      </c>
      <c r="E52" s="101">
        <f t="shared" ref="E52" si="12">F52+I52</f>
        <v>0</v>
      </c>
      <c r="F52" s="101"/>
      <c r="G52" s="101"/>
      <c r="H52" s="101"/>
      <c r="I52" s="101"/>
      <c r="J52" s="101"/>
      <c r="K52" s="101"/>
      <c r="L52" s="101"/>
      <c r="M52" s="112"/>
      <c r="N52" s="101">
        <f t="shared" ref="N52" si="13">P52+S52</f>
        <v>10000000</v>
      </c>
      <c r="O52" s="101">
        <v>10000000</v>
      </c>
      <c r="P52" s="101"/>
      <c r="Q52" s="101"/>
      <c r="R52" s="101"/>
      <c r="S52" s="101">
        <v>10000000</v>
      </c>
      <c r="T52" s="101">
        <f t="shared" ref="T52" si="14">E52+N52</f>
        <v>10000000</v>
      </c>
      <c r="U52" s="104">
        <f t="shared" si="10"/>
        <v>0</v>
      </c>
      <c r="V52" s="104"/>
      <c r="W52" s="104"/>
      <c r="X52" s="104"/>
      <c r="Y52" s="104"/>
      <c r="Z52" s="104"/>
      <c r="AA52" s="112">
        <f t="shared" si="3"/>
        <v>0</v>
      </c>
      <c r="AB52" s="101">
        <f t="shared" si="4"/>
        <v>0</v>
      </c>
    </row>
    <row r="53" spans="1:28" s="75" customFormat="1" ht="33.75" customHeight="1" x14ac:dyDescent="0.25">
      <c r="A53" s="1" t="s">
        <v>159</v>
      </c>
      <c r="B53" s="3" t="str">
        <f>'дод 5'!A255</f>
        <v>7670</v>
      </c>
      <c r="C53" s="3" t="str">
        <f>'дод 5'!B255</f>
        <v>0490</v>
      </c>
      <c r="D53" s="38" t="str">
        <f>'дод 5'!C255</f>
        <v>Внески до статутного капіталу суб'єктів господарювання</v>
      </c>
      <c r="E53" s="101">
        <f t="shared" si="7"/>
        <v>0</v>
      </c>
      <c r="F53" s="101"/>
      <c r="G53" s="101"/>
      <c r="H53" s="101"/>
      <c r="I53" s="101"/>
      <c r="J53" s="101"/>
      <c r="K53" s="101"/>
      <c r="L53" s="101"/>
      <c r="M53" s="112"/>
      <c r="N53" s="101">
        <f t="shared" si="11"/>
        <v>1580400</v>
      </c>
      <c r="O53" s="101">
        <v>1580400</v>
      </c>
      <c r="P53" s="101"/>
      <c r="Q53" s="101"/>
      <c r="R53" s="101"/>
      <c r="S53" s="101">
        <v>1580400</v>
      </c>
      <c r="T53" s="101">
        <f t="shared" si="8"/>
        <v>1580400</v>
      </c>
      <c r="U53" s="104">
        <f t="shared" si="10"/>
        <v>0</v>
      </c>
      <c r="V53" s="104"/>
      <c r="W53" s="104"/>
      <c r="X53" s="104"/>
      <c r="Y53" s="104"/>
      <c r="Z53" s="104"/>
      <c r="AA53" s="112">
        <f t="shared" si="3"/>
        <v>0</v>
      </c>
      <c r="AB53" s="101">
        <f t="shared" si="4"/>
        <v>0</v>
      </c>
    </row>
    <row r="54" spans="1:28" s="75" customFormat="1" ht="34.5" customHeight="1" x14ac:dyDescent="0.25">
      <c r="A54" s="1" t="s">
        <v>244</v>
      </c>
      <c r="B54" s="3" t="str">
        <f>'дод 5'!A257</f>
        <v>7680</v>
      </c>
      <c r="C54" s="3" t="str">
        <f>'дод 5'!B257</f>
        <v>0490</v>
      </c>
      <c r="D54" s="38" t="str">
        <f>'дод 5'!C257</f>
        <v>Членські внески до асоціацій органів місцевого самоврядування</v>
      </c>
      <c r="E54" s="101">
        <f t="shared" si="7"/>
        <v>441318</v>
      </c>
      <c r="F54" s="101">
        <f>279854+167500-6036</f>
        <v>441318</v>
      </c>
      <c r="G54" s="101"/>
      <c r="H54" s="101"/>
      <c r="I54" s="101"/>
      <c r="J54" s="101">
        <v>68455</v>
      </c>
      <c r="K54" s="101"/>
      <c r="L54" s="101"/>
      <c r="M54" s="112">
        <f t="shared" si="2"/>
        <v>15.511490580488447</v>
      </c>
      <c r="N54" s="101">
        <f t="shared" si="11"/>
        <v>0</v>
      </c>
      <c r="O54" s="101"/>
      <c r="P54" s="101"/>
      <c r="Q54" s="101"/>
      <c r="R54" s="101"/>
      <c r="S54" s="101"/>
      <c r="T54" s="101">
        <f t="shared" si="8"/>
        <v>441318</v>
      </c>
      <c r="U54" s="104">
        <f t="shared" si="10"/>
        <v>0</v>
      </c>
      <c r="V54" s="104"/>
      <c r="W54" s="104"/>
      <c r="X54" s="104"/>
      <c r="Y54" s="104"/>
      <c r="Z54" s="104"/>
      <c r="AA54" s="112"/>
      <c r="AB54" s="101">
        <f t="shared" si="4"/>
        <v>68455</v>
      </c>
    </row>
    <row r="55" spans="1:28" s="75" customFormat="1" ht="111" customHeight="1" x14ac:dyDescent="0.25">
      <c r="A55" s="1" t="s">
        <v>295</v>
      </c>
      <c r="B55" s="3" t="str">
        <f>'дод 5'!A258</f>
        <v>7691</v>
      </c>
      <c r="C55" s="3" t="str">
        <f>'дод 5'!B258</f>
        <v>0490</v>
      </c>
      <c r="D55" s="38" t="str">
        <f>'дод 5'!C258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55" s="101">
        <f t="shared" si="7"/>
        <v>0</v>
      </c>
      <c r="F55" s="101"/>
      <c r="G55" s="101"/>
      <c r="H55" s="101"/>
      <c r="I55" s="101"/>
      <c r="J55" s="101"/>
      <c r="K55" s="101"/>
      <c r="L55" s="101"/>
      <c r="M55" s="112"/>
      <c r="N55" s="101">
        <f t="shared" si="11"/>
        <v>50000</v>
      </c>
      <c r="O55" s="101"/>
      <c r="P55" s="101">
        <v>50000</v>
      </c>
      <c r="Q55" s="101"/>
      <c r="R55" s="101"/>
      <c r="S55" s="101"/>
      <c r="T55" s="101">
        <f t="shared" si="8"/>
        <v>50000</v>
      </c>
      <c r="U55" s="104">
        <f t="shared" si="10"/>
        <v>10000</v>
      </c>
      <c r="V55" s="104"/>
      <c r="W55" s="104">
        <v>10000</v>
      </c>
      <c r="X55" s="104"/>
      <c r="Y55" s="104"/>
      <c r="Z55" s="104"/>
      <c r="AA55" s="112">
        <f t="shared" si="3"/>
        <v>20</v>
      </c>
      <c r="AB55" s="101">
        <f t="shared" si="4"/>
        <v>10000</v>
      </c>
    </row>
    <row r="56" spans="1:28" s="75" customFormat="1" ht="23.25" customHeight="1" x14ac:dyDescent="0.25">
      <c r="A56" s="1" t="s">
        <v>237</v>
      </c>
      <c r="B56" s="3" t="str">
        <f>'дод 5'!A259</f>
        <v>7693</v>
      </c>
      <c r="C56" s="3" t="str">
        <f>'дод 5'!B259</f>
        <v>0490</v>
      </c>
      <c r="D56" s="38" t="str">
        <f>'дод 5'!C259</f>
        <v>Інші заходи, пов'язані з економічною діяльністю</v>
      </c>
      <c r="E56" s="101">
        <f t="shared" si="7"/>
        <v>900000</v>
      </c>
      <c r="F56" s="101">
        <f>1944700-1044700</f>
        <v>900000</v>
      </c>
      <c r="G56" s="101"/>
      <c r="H56" s="101"/>
      <c r="I56" s="101"/>
      <c r="J56" s="101">
        <v>39189.89</v>
      </c>
      <c r="K56" s="101"/>
      <c r="L56" s="101"/>
      <c r="M56" s="112">
        <f t="shared" si="2"/>
        <v>4.354432222222222</v>
      </c>
      <c r="N56" s="101">
        <f t="shared" si="11"/>
        <v>0</v>
      </c>
      <c r="O56" s="101"/>
      <c r="P56" s="101"/>
      <c r="Q56" s="101"/>
      <c r="R56" s="101"/>
      <c r="S56" s="101"/>
      <c r="T56" s="101">
        <f t="shared" si="8"/>
        <v>900000</v>
      </c>
      <c r="U56" s="104">
        <f t="shared" si="10"/>
        <v>0</v>
      </c>
      <c r="V56" s="104"/>
      <c r="W56" s="104"/>
      <c r="X56" s="104"/>
      <c r="Y56" s="104"/>
      <c r="Z56" s="104"/>
      <c r="AA56" s="112"/>
      <c r="AB56" s="101">
        <f t="shared" si="4"/>
        <v>39189.89</v>
      </c>
    </row>
    <row r="57" spans="1:28" s="75" customFormat="1" ht="34.5" customHeight="1" x14ac:dyDescent="0.25">
      <c r="A57" s="1" t="s">
        <v>160</v>
      </c>
      <c r="B57" s="3" t="str">
        <f>'дод 5'!A266</f>
        <v>8110</v>
      </c>
      <c r="C57" s="3" t="str">
        <f>'дод 5'!B266</f>
        <v>0320</v>
      </c>
      <c r="D57" s="38" t="str">
        <f>'дод 5'!C266</f>
        <v>Заходи із запобігання та ліквідації надзвичайних ситуацій та наслідків стихійного лиха</v>
      </c>
      <c r="E57" s="101">
        <f t="shared" si="7"/>
        <v>4531800</v>
      </c>
      <c r="F57" s="101">
        <f>3718400+36000+825000+20000-130000+62400</f>
        <v>4531800</v>
      </c>
      <c r="G57" s="101"/>
      <c r="H57" s="101">
        <f>28500+20000+24000</f>
        <v>72500</v>
      </c>
      <c r="I57" s="101"/>
      <c r="J57" s="101">
        <v>1205496.92</v>
      </c>
      <c r="K57" s="101"/>
      <c r="L57" s="101">
        <v>18507.189999999999</v>
      </c>
      <c r="M57" s="112">
        <f t="shared" si="2"/>
        <v>26.600841166865262</v>
      </c>
      <c r="N57" s="101">
        <f t="shared" si="11"/>
        <v>3655500</v>
      </c>
      <c r="O57" s="101">
        <f>795000+2730500+130000</f>
        <v>3655500</v>
      </c>
      <c r="P57" s="101"/>
      <c r="Q57" s="101"/>
      <c r="R57" s="101"/>
      <c r="S57" s="101">
        <f>795000+2730500+130000</f>
        <v>3655500</v>
      </c>
      <c r="T57" s="101">
        <f t="shared" si="8"/>
        <v>8187300</v>
      </c>
      <c r="U57" s="104">
        <f t="shared" si="10"/>
        <v>0</v>
      </c>
      <c r="V57" s="104"/>
      <c r="W57" s="104"/>
      <c r="X57" s="104"/>
      <c r="Y57" s="104"/>
      <c r="Z57" s="104"/>
      <c r="AA57" s="112">
        <f t="shared" si="3"/>
        <v>0</v>
      </c>
      <c r="AB57" s="101">
        <f t="shared" si="4"/>
        <v>1205496.92</v>
      </c>
    </row>
    <row r="58" spans="1:28" s="75" customFormat="1" ht="30" customHeight="1" x14ac:dyDescent="0.25">
      <c r="A58" s="1" t="s">
        <v>220</v>
      </c>
      <c r="B58" s="3" t="str">
        <f>'дод 5'!A267</f>
        <v>8120</v>
      </c>
      <c r="C58" s="3" t="str">
        <f>'дод 5'!B267</f>
        <v>0320</v>
      </c>
      <c r="D58" s="38" t="str">
        <f>'дод 5'!C267</f>
        <v>Заходи з організації рятування на водах, у т. ч. за рахунок:</v>
      </c>
      <c r="E58" s="101">
        <f t="shared" si="7"/>
        <v>3133100</v>
      </c>
      <c r="F58" s="101">
        <f>3131100+2000</f>
        <v>3133100</v>
      </c>
      <c r="G58" s="101">
        <v>2400000</v>
      </c>
      <c r="H58" s="101">
        <v>109000</v>
      </c>
      <c r="I58" s="101"/>
      <c r="J58" s="101">
        <v>1394858.45</v>
      </c>
      <c r="K58" s="101">
        <v>1093770.28</v>
      </c>
      <c r="L58" s="101">
        <v>25141.91</v>
      </c>
      <c r="M58" s="112">
        <f t="shared" si="2"/>
        <v>44.520074367240113</v>
      </c>
      <c r="N58" s="101">
        <f t="shared" si="11"/>
        <v>85400</v>
      </c>
      <c r="O58" s="101">
        <f>80500-2000</f>
        <v>78500</v>
      </c>
      <c r="P58" s="101">
        <v>6900</v>
      </c>
      <c r="Q58" s="101"/>
      <c r="R58" s="101">
        <v>1600</v>
      </c>
      <c r="S58" s="101">
        <f>80500-2000</f>
        <v>78500</v>
      </c>
      <c r="T58" s="101">
        <f t="shared" si="8"/>
        <v>3218500</v>
      </c>
      <c r="U58" s="104">
        <f t="shared" si="10"/>
        <v>33225.72</v>
      </c>
      <c r="V58" s="104"/>
      <c r="W58" s="104">
        <v>33225.72</v>
      </c>
      <c r="X58" s="104">
        <v>20000</v>
      </c>
      <c r="Y58" s="104"/>
      <c r="Z58" s="104"/>
      <c r="AA58" s="112">
        <f t="shared" si="3"/>
        <v>38.905995316159256</v>
      </c>
      <c r="AB58" s="101">
        <f t="shared" si="4"/>
        <v>1428084.17</v>
      </c>
    </row>
    <row r="59" spans="1:28" s="5" customFormat="1" ht="51.75" customHeight="1" x14ac:dyDescent="0.25">
      <c r="A59" s="41"/>
      <c r="B59" s="28"/>
      <c r="C59" s="28"/>
      <c r="D59" s="39" t="str">
        <f>'дод 5'!C268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59" s="105">
        <f t="shared" si="7"/>
        <v>410600</v>
      </c>
      <c r="F59" s="105">
        <v>410600</v>
      </c>
      <c r="G59" s="105">
        <v>336800</v>
      </c>
      <c r="H59" s="105"/>
      <c r="I59" s="105"/>
      <c r="J59" s="105">
        <v>217400</v>
      </c>
      <c r="K59" s="105">
        <v>178350</v>
      </c>
      <c r="L59" s="105"/>
      <c r="M59" s="112">
        <f t="shared" si="2"/>
        <v>52.94690696541646</v>
      </c>
      <c r="N59" s="105">
        <f t="shared" si="11"/>
        <v>0</v>
      </c>
      <c r="O59" s="105"/>
      <c r="P59" s="105"/>
      <c r="Q59" s="105"/>
      <c r="R59" s="105"/>
      <c r="S59" s="105"/>
      <c r="T59" s="105">
        <f t="shared" si="8"/>
        <v>410600</v>
      </c>
      <c r="U59" s="104">
        <f t="shared" si="10"/>
        <v>0</v>
      </c>
      <c r="V59" s="106"/>
      <c r="W59" s="106"/>
      <c r="X59" s="106"/>
      <c r="Y59" s="106"/>
      <c r="Z59" s="106"/>
      <c r="AA59" s="112"/>
      <c r="AB59" s="105">
        <f t="shared" si="4"/>
        <v>217400</v>
      </c>
    </row>
    <row r="60" spans="1:28" s="75" customFormat="1" ht="27" customHeight="1" x14ac:dyDescent="0.25">
      <c r="A60" s="1" t="s">
        <v>240</v>
      </c>
      <c r="B60" s="3" t="str">
        <f>'дод 5'!A270</f>
        <v>8230</v>
      </c>
      <c r="C60" s="3" t="str">
        <f>'дод 5'!B270</f>
        <v>0380</v>
      </c>
      <c r="D60" s="38" t="str">
        <f>'дод 5'!C270</f>
        <v>Інші заходи громадського порядку та безпеки</v>
      </c>
      <c r="E60" s="101">
        <f t="shared" si="7"/>
        <v>768892</v>
      </c>
      <c r="F60" s="101">
        <f>743000+25892</f>
        <v>768892</v>
      </c>
      <c r="G60" s="101"/>
      <c r="H60" s="101">
        <v>546600</v>
      </c>
      <c r="I60" s="101"/>
      <c r="J60" s="101">
        <v>324957.17</v>
      </c>
      <c r="K60" s="101"/>
      <c r="L60" s="101">
        <v>303008.57</v>
      </c>
      <c r="M60" s="112">
        <f t="shared" si="2"/>
        <v>42.263044744905656</v>
      </c>
      <c r="N60" s="101">
        <f t="shared" si="11"/>
        <v>0</v>
      </c>
      <c r="O60" s="101"/>
      <c r="P60" s="101"/>
      <c r="Q60" s="101"/>
      <c r="R60" s="101"/>
      <c r="S60" s="101"/>
      <c r="T60" s="101">
        <f t="shared" si="8"/>
        <v>768892</v>
      </c>
      <c r="U60" s="104">
        <f t="shared" si="10"/>
        <v>0</v>
      </c>
      <c r="V60" s="104"/>
      <c r="W60" s="104"/>
      <c r="X60" s="104"/>
      <c r="Y60" s="104"/>
      <c r="Z60" s="104"/>
      <c r="AA60" s="112"/>
      <c r="AB60" s="101">
        <f t="shared" si="4"/>
        <v>324957.17</v>
      </c>
    </row>
    <row r="61" spans="1:28" s="75" customFormat="1" ht="17.25" customHeight="1" x14ac:dyDescent="0.25">
      <c r="A61" s="1" t="s">
        <v>585</v>
      </c>
      <c r="B61" s="3">
        <f>'дод 5'!A271</f>
        <v>8240</v>
      </c>
      <c r="C61" s="3" t="str">
        <f>'дод 5'!B271</f>
        <v>0380</v>
      </c>
      <c r="D61" s="58" t="str">
        <f>'дод 5'!C271</f>
        <v>Заходи та роботи з територіальної оборони</v>
      </c>
      <c r="E61" s="101">
        <f t="shared" ref="E61" si="15">F61+I61</f>
        <v>22596402.879999999</v>
      </c>
      <c r="F61" s="101">
        <f>22706200-39999-97332+27533.88</f>
        <v>22596402.879999999</v>
      </c>
      <c r="G61" s="101"/>
      <c r="H61" s="101">
        <v>5530100</v>
      </c>
      <c r="I61" s="101"/>
      <c r="J61" s="101">
        <v>4968231.24</v>
      </c>
      <c r="K61" s="101"/>
      <c r="L61" s="101">
        <v>1119187.83</v>
      </c>
      <c r="M61" s="112">
        <f t="shared" si="2"/>
        <v>21.986823594818116</v>
      </c>
      <c r="N61" s="101">
        <f t="shared" ref="N61" si="16">P61+S61</f>
        <v>887331</v>
      </c>
      <c r="O61" s="101">
        <f>750000+39999+97332</f>
        <v>887331</v>
      </c>
      <c r="P61" s="101"/>
      <c r="Q61" s="101"/>
      <c r="R61" s="101"/>
      <c r="S61" s="101">
        <f>750000+39999+97332</f>
        <v>887331</v>
      </c>
      <c r="T61" s="101">
        <f t="shared" ref="T61" si="17">E61+N61</f>
        <v>23483733.879999999</v>
      </c>
      <c r="U61" s="104">
        <f t="shared" si="10"/>
        <v>845998</v>
      </c>
      <c r="V61" s="104">
        <v>845998</v>
      </c>
      <c r="W61" s="104"/>
      <c r="X61" s="104"/>
      <c r="Y61" s="104"/>
      <c r="Z61" s="104">
        <v>845998</v>
      </c>
      <c r="AA61" s="112">
        <f t="shared" si="3"/>
        <v>95.341873551132551</v>
      </c>
      <c r="AB61" s="101">
        <f t="shared" si="4"/>
        <v>5814229.2400000002</v>
      </c>
    </row>
    <row r="62" spans="1:28" s="75" customFormat="1" ht="31.5" x14ac:dyDescent="0.25">
      <c r="A62" s="1" t="s">
        <v>161</v>
      </c>
      <c r="B62" s="3" t="str">
        <f>'дод 5'!A275</f>
        <v>8340</v>
      </c>
      <c r="C62" s="3" t="str">
        <f>'дод 5'!B275</f>
        <v>0540</v>
      </c>
      <c r="D62" s="38" t="str">
        <f>'дод 5'!C275</f>
        <v>Природоохоронні заходи за рахунок цільових фондів</v>
      </c>
      <c r="E62" s="101">
        <f t="shared" si="7"/>
        <v>0</v>
      </c>
      <c r="F62" s="101"/>
      <c r="G62" s="101"/>
      <c r="H62" s="101"/>
      <c r="I62" s="101"/>
      <c r="J62" s="101"/>
      <c r="K62" s="101"/>
      <c r="L62" s="101"/>
      <c r="M62" s="112"/>
      <c r="N62" s="101">
        <f t="shared" si="11"/>
        <v>70000</v>
      </c>
      <c r="O62" s="101"/>
      <c r="P62" s="101">
        <v>70000</v>
      </c>
      <c r="Q62" s="101"/>
      <c r="R62" s="101"/>
      <c r="S62" s="101"/>
      <c r="T62" s="101">
        <f t="shared" si="8"/>
        <v>70000</v>
      </c>
      <c r="U62" s="104">
        <f t="shared" si="10"/>
        <v>27050</v>
      </c>
      <c r="V62" s="104"/>
      <c r="W62" s="104">
        <v>27050</v>
      </c>
      <c r="X62" s="104"/>
      <c r="Y62" s="104"/>
      <c r="Z62" s="104"/>
      <c r="AA62" s="112">
        <f t="shared" si="3"/>
        <v>38.642857142857146</v>
      </c>
      <c r="AB62" s="101">
        <f t="shared" si="4"/>
        <v>27050</v>
      </c>
    </row>
    <row r="63" spans="1:28" s="75" customFormat="1" ht="15.75" hidden="1" customHeight="1" x14ac:dyDescent="0.25">
      <c r="A63" s="1" t="s">
        <v>251</v>
      </c>
      <c r="B63" s="3" t="str">
        <f>'дод 5'!A277</f>
        <v>8420</v>
      </c>
      <c r="C63" s="3" t="str">
        <f>'дод 5'!B277</f>
        <v>0830</v>
      </c>
      <c r="D63" s="38" t="str">
        <f>'дод 5'!C277</f>
        <v>Інші заходи у сфері засобів масової інформації</v>
      </c>
      <c r="E63" s="101">
        <f t="shared" si="7"/>
        <v>0</v>
      </c>
      <c r="F63" s="101"/>
      <c r="G63" s="101"/>
      <c r="H63" s="101"/>
      <c r="I63" s="101"/>
      <c r="J63" s="101"/>
      <c r="K63" s="101"/>
      <c r="L63" s="101"/>
      <c r="M63" s="112"/>
      <c r="N63" s="101">
        <f t="shared" si="11"/>
        <v>0</v>
      </c>
      <c r="O63" s="101"/>
      <c r="P63" s="101"/>
      <c r="Q63" s="101"/>
      <c r="R63" s="101"/>
      <c r="S63" s="101"/>
      <c r="T63" s="101">
        <f t="shared" si="8"/>
        <v>0</v>
      </c>
      <c r="U63" s="104">
        <f t="shared" si="10"/>
        <v>0</v>
      </c>
      <c r="V63" s="104"/>
      <c r="W63" s="104"/>
      <c r="X63" s="104"/>
      <c r="Y63" s="104"/>
      <c r="Z63" s="104"/>
      <c r="AA63" s="112" t="e">
        <f t="shared" si="3"/>
        <v>#DIV/0!</v>
      </c>
      <c r="AB63" s="101">
        <f t="shared" si="4"/>
        <v>0</v>
      </c>
    </row>
    <row r="64" spans="1:28" s="75" customFormat="1" ht="15.75" customHeight="1" x14ac:dyDescent="0.25">
      <c r="A64" s="1" t="s">
        <v>542</v>
      </c>
      <c r="B64" s="3">
        <v>9770</v>
      </c>
      <c r="C64" s="1" t="s">
        <v>44</v>
      </c>
      <c r="D64" s="38" t="s">
        <v>350</v>
      </c>
      <c r="E64" s="101">
        <f t="shared" si="7"/>
        <v>0</v>
      </c>
      <c r="F64" s="101"/>
      <c r="G64" s="101"/>
      <c r="H64" s="101"/>
      <c r="I64" s="101"/>
      <c r="J64" s="101"/>
      <c r="K64" s="101"/>
      <c r="L64" s="101"/>
      <c r="M64" s="112"/>
      <c r="N64" s="101">
        <f t="shared" si="11"/>
        <v>2900000</v>
      </c>
      <c r="O64" s="101">
        <v>2900000</v>
      </c>
      <c r="P64" s="101"/>
      <c r="Q64" s="101"/>
      <c r="R64" s="101"/>
      <c r="S64" s="101">
        <v>2900000</v>
      </c>
      <c r="T64" s="101">
        <f t="shared" si="8"/>
        <v>2900000</v>
      </c>
      <c r="U64" s="104">
        <f t="shared" si="10"/>
        <v>2900000</v>
      </c>
      <c r="V64" s="104">
        <v>2900000</v>
      </c>
      <c r="W64" s="104"/>
      <c r="X64" s="104"/>
      <c r="Y64" s="104"/>
      <c r="Z64" s="104">
        <v>2900000</v>
      </c>
      <c r="AA64" s="112">
        <f t="shared" si="3"/>
        <v>100</v>
      </c>
      <c r="AB64" s="101">
        <f t="shared" si="4"/>
        <v>2900000</v>
      </c>
    </row>
    <row r="65" spans="1:28" s="75" customFormat="1" ht="38.25" hidden="1" customHeight="1" x14ac:dyDescent="0.25">
      <c r="A65" s="1" t="s">
        <v>579</v>
      </c>
      <c r="B65" s="3">
        <v>8775</v>
      </c>
      <c r="C65" s="1" t="s">
        <v>92</v>
      </c>
      <c r="D65" s="38" t="s">
        <v>580</v>
      </c>
      <c r="E65" s="101">
        <f>F65</f>
        <v>0</v>
      </c>
      <c r="F65" s="101"/>
      <c r="G65" s="101"/>
      <c r="H65" s="101"/>
      <c r="I65" s="101"/>
      <c r="J65" s="101"/>
      <c r="K65" s="101"/>
      <c r="L65" s="101"/>
      <c r="M65" s="112" t="e">
        <f t="shared" si="2"/>
        <v>#DIV/0!</v>
      </c>
      <c r="N65" s="101">
        <f t="shared" ref="N65:N66" si="18">P65+S65</f>
        <v>0</v>
      </c>
      <c r="O65" s="101"/>
      <c r="P65" s="101"/>
      <c r="Q65" s="101"/>
      <c r="R65" s="101"/>
      <c r="S65" s="101"/>
      <c r="T65" s="101">
        <f t="shared" ref="T65:T66" si="19">E65+N65</f>
        <v>0</v>
      </c>
      <c r="U65" s="104">
        <f t="shared" si="10"/>
        <v>0</v>
      </c>
      <c r="V65" s="104"/>
      <c r="W65" s="104"/>
      <c r="X65" s="104"/>
      <c r="Y65" s="104"/>
      <c r="Z65" s="104"/>
      <c r="AA65" s="112" t="e">
        <f t="shared" si="3"/>
        <v>#DIV/0!</v>
      </c>
      <c r="AB65" s="101">
        <f t="shared" si="4"/>
        <v>0</v>
      </c>
    </row>
    <row r="66" spans="1:28" s="75" customFormat="1" ht="15.75" hidden="1" customHeight="1" x14ac:dyDescent="0.25">
      <c r="A66" s="1" t="s">
        <v>542</v>
      </c>
      <c r="B66" s="3">
        <v>9770</v>
      </c>
      <c r="C66" s="1" t="s">
        <v>44</v>
      </c>
      <c r="D66" s="38" t="s">
        <v>350</v>
      </c>
      <c r="E66" s="101">
        <f>F66</f>
        <v>0</v>
      </c>
      <c r="F66" s="101"/>
      <c r="G66" s="101"/>
      <c r="H66" s="101"/>
      <c r="I66" s="101"/>
      <c r="J66" s="101"/>
      <c r="K66" s="101"/>
      <c r="L66" s="101"/>
      <c r="M66" s="112" t="e">
        <f t="shared" si="2"/>
        <v>#DIV/0!</v>
      </c>
      <c r="N66" s="101">
        <f t="shared" si="18"/>
        <v>0</v>
      </c>
      <c r="O66" s="101"/>
      <c r="P66" s="101"/>
      <c r="Q66" s="101"/>
      <c r="R66" s="101"/>
      <c r="S66" s="101"/>
      <c r="T66" s="101">
        <f t="shared" si="19"/>
        <v>0</v>
      </c>
      <c r="U66" s="104">
        <f t="shared" si="10"/>
        <v>0</v>
      </c>
      <c r="V66" s="104"/>
      <c r="W66" s="104"/>
      <c r="X66" s="104"/>
      <c r="Y66" s="104"/>
      <c r="Z66" s="104"/>
      <c r="AA66" s="112" t="e">
        <f t="shared" si="3"/>
        <v>#DIV/0!</v>
      </c>
      <c r="AB66" s="101">
        <f t="shared" si="4"/>
        <v>0</v>
      </c>
    </row>
    <row r="67" spans="1:28" s="75" customFormat="1" ht="47.25" customHeight="1" x14ac:dyDescent="0.25">
      <c r="A67" s="1" t="s">
        <v>375</v>
      </c>
      <c r="B67" s="3">
        <v>9800</v>
      </c>
      <c r="C67" s="1" t="s">
        <v>44</v>
      </c>
      <c r="D67" s="38" t="s">
        <v>361</v>
      </c>
      <c r="E67" s="101">
        <f>F67+I67</f>
        <v>8016900</v>
      </c>
      <c r="F67" s="101">
        <f>540000+340000+2270000+150000+2500000+626900+70000+300000+100000+20000+300000+450000+350000</f>
        <v>8016900</v>
      </c>
      <c r="G67" s="101"/>
      <c r="H67" s="101"/>
      <c r="I67" s="101"/>
      <c r="J67" s="101">
        <v>7226900</v>
      </c>
      <c r="K67" s="101"/>
      <c r="L67" s="101"/>
      <c r="M67" s="112">
        <f t="shared" si="2"/>
        <v>90.145816961668473</v>
      </c>
      <c r="N67" s="101">
        <f t="shared" si="11"/>
        <v>42429850</v>
      </c>
      <c r="O67" s="101">
        <f>19170000+600000+300000+1500000+950000+3420500+2000000+5000000+222000+1027350+2000000+140000+2000000+420000+930000+1300000+200000-300000+1550000</f>
        <v>42429850</v>
      </c>
      <c r="P67" s="101"/>
      <c r="Q67" s="101"/>
      <c r="R67" s="101"/>
      <c r="S67" s="101">
        <f>19170000+600000+300000+1500000+950000+3420500+2000000+5000000+222000+1027350+2000000+140000+2000000+420000+930000+1300000+200000-300000+1550000</f>
        <v>42429850</v>
      </c>
      <c r="T67" s="101">
        <f t="shared" si="8"/>
        <v>50446750</v>
      </c>
      <c r="U67" s="104">
        <f t="shared" si="10"/>
        <v>40364158</v>
      </c>
      <c r="V67" s="104">
        <v>40364158</v>
      </c>
      <c r="W67" s="104"/>
      <c r="X67" s="104"/>
      <c r="Y67" s="104"/>
      <c r="Z67" s="104">
        <v>40364158</v>
      </c>
      <c r="AA67" s="112">
        <f t="shared" si="3"/>
        <v>95.131512366883214</v>
      </c>
      <c r="AB67" s="101">
        <f t="shared" si="4"/>
        <v>47591058</v>
      </c>
    </row>
    <row r="68" spans="1:28" s="74" customFormat="1" ht="29.25" customHeight="1" x14ac:dyDescent="0.25">
      <c r="A68" s="61" t="s">
        <v>162</v>
      </c>
      <c r="B68" s="33"/>
      <c r="C68" s="33"/>
      <c r="D68" s="59" t="s">
        <v>24</v>
      </c>
      <c r="E68" s="100">
        <f>E69</f>
        <v>1511451258.1300001</v>
      </c>
      <c r="F68" s="100">
        <f t="shared" ref="F68:Z68" si="20">F69</f>
        <v>1511451258.1300001</v>
      </c>
      <c r="G68" s="100">
        <f t="shared" si="20"/>
        <v>1035909684</v>
      </c>
      <c r="H68" s="100">
        <f t="shared" si="20"/>
        <v>143172200</v>
      </c>
      <c r="I68" s="100">
        <f t="shared" si="20"/>
        <v>0</v>
      </c>
      <c r="J68" s="100">
        <f t="shared" si="20"/>
        <v>765261411.43999994</v>
      </c>
      <c r="K68" s="100">
        <f t="shared" si="20"/>
        <v>532703099.64999986</v>
      </c>
      <c r="L68" s="100">
        <f t="shared" si="20"/>
        <v>75121781.910000011</v>
      </c>
      <c r="M68" s="117">
        <f t="shared" si="2"/>
        <v>50.630902407451615</v>
      </c>
      <c r="N68" s="100">
        <f t="shared" si="20"/>
        <v>349914546.65999997</v>
      </c>
      <c r="O68" s="100">
        <f t="shared" si="20"/>
        <v>182366143</v>
      </c>
      <c r="P68" s="100">
        <f t="shared" si="20"/>
        <v>108500385</v>
      </c>
      <c r="Q68" s="100">
        <f t="shared" si="20"/>
        <v>6739662</v>
      </c>
      <c r="R68" s="100">
        <f t="shared" si="20"/>
        <v>5594400</v>
      </c>
      <c r="S68" s="100">
        <f t="shared" si="20"/>
        <v>241414161.66</v>
      </c>
      <c r="T68" s="100">
        <f t="shared" si="20"/>
        <v>1861365804.7900002</v>
      </c>
      <c r="U68" s="100">
        <f t="shared" si="20"/>
        <v>101746413.63</v>
      </c>
      <c r="V68" s="100">
        <f t="shared" si="20"/>
        <v>37841741.68</v>
      </c>
      <c r="W68" s="100">
        <f t="shared" si="20"/>
        <v>43919081.690000005</v>
      </c>
      <c r="X68" s="100">
        <f t="shared" si="20"/>
        <v>6419904.5199999996</v>
      </c>
      <c r="Y68" s="100">
        <f t="shared" si="20"/>
        <v>2458013.3199999998</v>
      </c>
      <c r="Z68" s="100">
        <f t="shared" si="20"/>
        <v>57827331.939999998</v>
      </c>
      <c r="AA68" s="117">
        <f t="shared" si="3"/>
        <v>29.077503236486912</v>
      </c>
      <c r="AB68" s="100">
        <f t="shared" si="4"/>
        <v>867007825.06999993</v>
      </c>
    </row>
    <row r="69" spans="1:28" s="9" customFormat="1" ht="33" customHeight="1" x14ac:dyDescent="0.25">
      <c r="A69" s="6" t="s">
        <v>163</v>
      </c>
      <c r="B69" s="7"/>
      <c r="C69" s="7"/>
      <c r="D69" s="8" t="s">
        <v>626</v>
      </c>
      <c r="E69" s="102">
        <f>E81+E82+E83+E85+E86+E87+E90+E92+E94+E97+E99+E103+E104+E105+E106+E108+E109+E110+E112+E114+E116+E118+E120+E131+E132+E134+E136+E141+E142+E147+E148+E150+E151+E100+E101+E140+E143+E146+E144+E124+E125+E130+E138+E128+E127+E122+E121</f>
        <v>1511451258.1300001</v>
      </c>
      <c r="F69" s="102">
        <f t="shared" ref="F69:Z69" si="21">F81+F82+F83+F85+F86+F87+F90+F92+F94+F97+F99+F103+F104+F105+F106+F108+F109+F110+F112+F114+F116+F118+F120+F131+F132+F134+F136+F141+F142+F147+F148+F150+F151+F100+F101+F140+F143+F146+F144+F124+F125+F130+F138+F128+F127+F122+F121</f>
        <v>1511451258.1300001</v>
      </c>
      <c r="G69" s="102">
        <f t="shared" si="21"/>
        <v>1035909684</v>
      </c>
      <c r="H69" s="102">
        <f t="shared" si="21"/>
        <v>143172200</v>
      </c>
      <c r="I69" s="102">
        <f t="shared" si="21"/>
        <v>0</v>
      </c>
      <c r="J69" s="102">
        <f t="shared" si="21"/>
        <v>765261411.43999994</v>
      </c>
      <c r="K69" s="102">
        <f t="shared" si="21"/>
        <v>532703099.64999986</v>
      </c>
      <c r="L69" s="102">
        <f t="shared" si="21"/>
        <v>75121781.910000011</v>
      </c>
      <c r="M69" s="118">
        <f t="shared" si="2"/>
        <v>50.630902407451615</v>
      </c>
      <c r="N69" s="102">
        <f t="shared" si="21"/>
        <v>349914546.65999997</v>
      </c>
      <c r="O69" s="102">
        <f t="shared" si="21"/>
        <v>182366143</v>
      </c>
      <c r="P69" s="102">
        <f t="shared" si="21"/>
        <v>108500385</v>
      </c>
      <c r="Q69" s="102">
        <f t="shared" si="21"/>
        <v>6739662</v>
      </c>
      <c r="R69" s="102">
        <f t="shared" si="21"/>
        <v>5594400</v>
      </c>
      <c r="S69" s="102">
        <f t="shared" si="21"/>
        <v>241414161.66</v>
      </c>
      <c r="T69" s="102">
        <f t="shared" si="21"/>
        <v>1861365804.7900002</v>
      </c>
      <c r="U69" s="102">
        <f t="shared" si="21"/>
        <v>101746413.63</v>
      </c>
      <c r="V69" s="102">
        <f t="shared" si="21"/>
        <v>37841741.68</v>
      </c>
      <c r="W69" s="102">
        <f t="shared" si="21"/>
        <v>43919081.690000005</v>
      </c>
      <c r="X69" s="102">
        <f t="shared" si="21"/>
        <v>6419904.5199999996</v>
      </c>
      <c r="Y69" s="102">
        <f t="shared" si="21"/>
        <v>2458013.3199999998</v>
      </c>
      <c r="Z69" s="102">
        <f t="shared" si="21"/>
        <v>57827331.939999998</v>
      </c>
      <c r="AA69" s="118">
        <f t="shared" si="3"/>
        <v>29.077503236486912</v>
      </c>
      <c r="AB69" s="102">
        <f t="shared" si="4"/>
        <v>867007825.06999993</v>
      </c>
    </row>
    <row r="70" spans="1:28" s="9" customFormat="1" ht="31.5" customHeight="1" x14ac:dyDescent="0.25">
      <c r="A70" s="6"/>
      <c r="B70" s="7"/>
      <c r="C70" s="7"/>
      <c r="D70" s="8" t="s">
        <v>383</v>
      </c>
      <c r="E70" s="102">
        <f>E88+E91+E93+E102</f>
        <v>551078300</v>
      </c>
      <c r="F70" s="102">
        <f t="shared" ref="F70:Z70" si="22">F88+F91+F93+F102</f>
        <v>551078300</v>
      </c>
      <c r="G70" s="102">
        <f t="shared" si="22"/>
        <v>452384600</v>
      </c>
      <c r="H70" s="102">
        <f t="shared" si="22"/>
        <v>0</v>
      </c>
      <c r="I70" s="102">
        <f t="shared" si="22"/>
        <v>0</v>
      </c>
      <c r="J70" s="102">
        <f>J88+J91+J93+J102</f>
        <v>310317789.67000002</v>
      </c>
      <c r="K70" s="102">
        <f t="shared" si="22"/>
        <v>255175308.95000002</v>
      </c>
      <c r="L70" s="102">
        <f t="shared" si="22"/>
        <v>0</v>
      </c>
      <c r="M70" s="118">
        <f t="shared" si="2"/>
        <v>56.31101599718226</v>
      </c>
      <c r="N70" s="102">
        <f t="shared" si="22"/>
        <v>0</v>
      </c>
      <c r="O70" s="102">
        <f t="shared" si="22"/>
        <v>0</v>
      </c>
      <c r="P70" s="102">
        <f t="shared" si="22"/>
        <v>0</v>
      </c>
      <c r="Q70" s="102">
        <f t="shared" si="22"/>
        <v>0</v>
      </c>
      <c r="R70" s="102">
        <f t="shared" si="22"/>
        <v>0</v>
      </c>
      <c r="S70" s="102">
        <f t="shared" si="22"/>
        <v>0</v>
      </c>
      <c r="T70" s="102">
        <f t="shared" si="22"/>
        <v>551078300</v>
      </c>
      <c r="U70" s="102">
        <f t="shared" si="22"/>
        <v>0</v>
      </c>
      <c r="V70" s="102">
        <f t="shared" si="22"/>
        <v>0</v>
      </c>
      <c r="W70" s="102">
        <f t="shared" si="22"/>
        <v>0</v>
      </c>
      <c r="X70" s="102">
        <f t="shared" si="22"/>
        <v>0</v>
      </c>
      <c r="Y70" s="102">
        <f t="shared" si="22"/>
        <v>0</v>
      </c>
      <c r="Z70" s="102">
        <f t="shared" si="22"/>
        <v>0</v>
      </c>
      <c r="AA70" s="118"/>
      <c r="AB70" s="102">
        <f t="shared" si="4"/>
        <v>310317789.67000002</v>
      </c>
    </row>
    <row r="71" spans="1:28" s="9" customFormat="1" ht="31.5" customHeight="1" x14ac:dyDescent="0.25">
      <c r="A71" s="6"/>
      <c r="B71" s="7"/>
      <c r="C71" s="7"/>
      <c r="D71" s="8" t="s">
        <v>598</v>
      </c>
      <c r="E71" s="102">
        <f>E96</f>
        <v>351767.89</v>
      </c>
      <c r="F71" s="102">
        <f t="shared" ref="F71:Z71" si="23">F96</f>
        <v>351767.89</v>
      </c>
      <c r="G71" s="102">
        <f t="shared" si="23"/>
        <v>290000</v>
      </c>
      <c r="H71" s="102">
        <f t="shared" si="23"/>
        <v>0</v>
      </c>
      <c r="I71" s="102">
        <f t="shared" si="23"/>
        <v>0</v>
      </c>
      <c r="J71" s="102">
        <f t="shared" si="23"/>
        <v>351767.89</v>
      </c>
      <c r="K71" s="102">
        <f t="shared" si="23"/>
        <v>290000</v>
      </c>
      <c r="L71" s="102">
        <f t="shared" si="23"/>
        <v>0</v>
      </c>
      <c r="M71" s="118">
        <f t="shared" si="2"/>
        <v>100</v>
      </c>
      <c r="N71" s="102">
        <f t="shared" si="23"/>
        <v>0</v>
      </c>
      <c r="O71" s="102">
        <f t="shared" si="23"/>
        <v>0</v>
      </c>
      <c r="P71" s="102">
        <f t="shared" si="23"/>
        <v>0</v>
      </c>
      <c r="Q71" s="102">
        <f t="shared" si="23"/>
        <v>0</v>
      </c>
      <c r="R71" s="102">
        <f t="shared" si="23"/>
        <v>0</v>
      </c>
      <c r="S71" s="102">
        <f t="shared" si="23"/>
        <v>0</v>
      </c>
      <c r="T71" s="102">
        <f t="shared" si="23"/>
        <v>351767.89</v>
      </c>
      <c r="U71" s="102">
        <f t="shared" si="23"/>
        <v>0</v>
      </c>
      <c r="V71" s="102">
        <f t="shared" si="23"/>
        <v>0</v>
      </c>
      <c r="W71" s="102">
        <f t="shared" si="23"/>
        <v>0</v>
      </c>
      <c r="X71" s="102">
        <f t="shared" si="23"/>
        <v>0</v>
      </c>
      <c r="Y71" s="102">
        <f t="shared" si="23"/>
        <v>0</v>
      </c>
      <c r="Z71" s="102">
        <f t="shared" si="23"/>
        <v>0</v>
      </c>
      <c r="AA71" s="118"/>
      <c r="AB71" s="102">
        <f t="shared" si="4"/>
        <v>351767.89</v>
      </c>
    </row>
    <row r="72" spans="1:28" s="9" customFormat="1" ht="63" x14ac:dyDescent="0.25">
      <c r="A72" s="6"/>
      <c r="B72" s="7"/>
      <c r="C72" s="7"/>
      <c r="D72" s="8" t="str">
        <f>D123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72" s="102">
        <f t="shared" ref="E72" si="24">E123</f>
        <v>2843700</v>
      </c>
      <c r="F72" s="102">
        <f t="shared" ref="F72:Z72" si="25">F123</f>
        <v>2843700</v>
      </c>
      <c r="G72" s="102">
        <f t="shared" si="25"/>
        <v>0</v>
      </c>
      <c r="H72" s="102">
        <f t="shared" si="25"/>
        <v>0</v>
      </c>
      <c r="I72" s="102">
        <f t="shared" si="25"/>
        <v>0</v>
      </c>
      <c r="J72" s="102">
        <f t="shared" si="25"/>
        <v>0</v>
      </c>
      <c r="K72" s="102">
        <f t="shared" si="25"/>
        <v>0</v>
      </c>
      <c r="L72" s="102">
        <f t="shared" si="25"/>
        <v>0</v>
      </c>
      <c r="M72" s="118">
        <f t="shared" si="2"/>
        <v>0</v>
      </c>
      <c r="N72" s="102">
        <f t="shared" si="25"/>
        <v>5556300</v>
      </c>
      <c r="O72" s="102">
        <f t="shared" si="25"/>
        <v>5556300</v>
      </c>
      <c r="P72" s="102">
        <f t="shared" si="25"/>
        <v>0</v>
      </c>
      <c r="Q72" s="102">
        <f t="shared" si="25"/>
        <v>0</v>
      </c>
      <c r="R72" s="102">
        <f t="shared" si="25"/>
        <v>0</v>
      </c>
      <c r="S72" s="102">
        <f t="shared" si="25"/>
        <v>5556300</v>
      </c>
      <c r="T72" s="102">
        <f t="shared" si="25"/>
        <v>8400000</v>
      </c>
      <c r="U72" s="102">
        <f t="shared" si="25"/>
        <v>0</v>
      </c>
      <c r="V72" s="102">
        <f t="shared" si="25"/>
        <v>0</v>
      </c>
      <c r="W72" s="102">
        <f t="shared" si="25"/>
        <v>0</v>
      </c>
      <c r="X72" s="102">
        <f t="shared" si="25"/>
        <v>0</v>
      </c>
      <c r="Y72" s="102">
        <f t="shared" si="25"/>
        <v>0</v>
      </c>
      <c r="Z72" s="102">
        <f t="shared" si="25"/>
        <v>0</v>
      </c>
      <c r="AA72" s="118">
        <f t="shared" si="3"/>
        <v>0</v>
      </c>
      <c r="AB72" s="102">
        <f t="shared" si="4"/>
        <v>0</v>
      </c>
    </row>
    <row r="73" spans="1:28" s="9" customFormat="1" ht="47.25" customHeight="1" x14ac:dyDescent="0.25">
      <c r="A73" s="6"/>
      <c r="B73" s="7"/>
      <c r="C73" s="7"/>
      <c r="D73" s="8" t="s">
        <v>378</v>
      </c>
      <c r="E73" s="102">
        <f>E89+E107</f>
        <v>4320175</v>
      </c>
      <c r="F73" s="102">
        <f t="shared" ref="F73:L73" si="26">F89+F107</f>
        <v>4320175</v>
      </c>
      <c r="G73" s="102">
        <f t="shared" si="26"/>
        <v>1714570</v>
      </c>
      <c r="H73" s="102">
        <f t="shared" si="26"/>
        <v>0</v>
      </c>
      <c r="I73" s="102">
        <f t="shared" si="26"/>
        <v>0</v>
      </c>
      <c r="J73" s="102">
        <f>J89+J107</f>
        <v>1597623.1600000001</v>
      </c>
      <c r="K73" s="102">
        <f t="shared" si="26"/>
        <v>817087.62</v>
      </c>
      <c r="L73" s="102">
        <f t="shared" si="26"/>
        <v>0</v>
      </c>
      <c r="M73" s="118">
        <f t="shared" si="2"/>
        <v>36.980519539139046</v>
      </c>
      <c r="N73" s="102">
        <f t="shared" ref="N73:Z73" si="27">N89+N107</f>
        <v>0</v>
      </c>
      <c r="O73" s="102">
        <f t="shared" si="27"/>
        <v>0</v>
      </c>
      <c r="P73" s="102">
        <f t="shared" si="27"/>
        <v>0</v>
      </c>
      <c r="Q73" s="102">
        <f t="shared" si="27"/>
        <v>0</v>
      </c>
      <c r="R73" s="102">
        <f t="shared" si="27"/>
        <v>0</v>
      </c>
      <c r="S73" s="102">
        <f t="shared" si="27"/>
        <v>0</v>
      </c>
      <c r="T73" s="102">
        <f t="shared" si="27"/>
        <v>4320175</v>
      </c>
      <c r="U73" s="102">
        <f t="shared" si="27"/>
        <v>0</v>
      </c>
      <c r="V73" s="102">
        <f t="shared" si="27"/>
        <v>0</v>
      </c>
      <c r="W73" s="102">
        <f t="shared" si="27"/>
        <v>0</v>
      </c>
      <c r="X73" s="102">
        <f t="shared" si="27"/>
        <v>0</v>
      </c>
      <c r="Y73" s="102">
        <f t="shared" si="27"/>
        <v>0</v>
      </c>
      <c r="Z73" s="102">
        <f t="shared" si="27"/>
        <v>0</v>
      </c>
      <c r="AA73" s="118"/>
      <c r="AB73" s="102">
        <f t="shared" si="4"/>
        <v>1597623.1600000001</v>
      </c>
    </row>
    <row r="74" spans="1:28" s="9" customFormat="1" ht="45" customHeight="1" x14ac:dyDescent="0.25">
      <c r="A74" s="6"/>
      <c r="B74" s="7"/>
      <c r="C74" s="7"/>
      <c r="D74" s="8" t="s">
        <v>380</v>
      </c>
      <c r="E74" s="102">
        <f>E95+E129</f>
        <v>0</v>
      </c>
      <c r="F74" s="102">
        <f t="shared" ref="F74:Z74" si="28">F95+F129</f>
        <v>0</v>
      </c>
      <c r="G74" s="102">
        <f t="shared" si="28"/>
        <v>0</v>
      </c>
      <c r="H74" s="102">
        <f t="shared" si="28"/>
        <v>0</v>
      </c>
      <c r="I74" s="102">
        <f t="shared" si="28"/>
        <v>0</v>
      </c>
      <c r="J74" s="102">
        <f t="shared" si="28"/>
        <v>0</v>
      </c>
      <c r="K74" s="102">
        <f t="shared" si="28"/>
        <v>0</v>
      </c>
      <c r="L74" s="102">
        <f t="shared" si="28"/>
        <v>0</v>
      </c>
      <c r="M74" s="118"/>
      <c r="N74" s="102">
        <f t="shared" si="28"/>
        <v>7490430</v>
      </c>
      <c r="O74" s="102">
        <f t="shared" si="28"/>
        <v>0</v>
      </c>
      <c r="P74" s="102">
        <f t="shared" si="28"/>
        <v>262064</v>
      </c>
      <c r="Q74" s="102">
        <f t="shared" si="28"/>
        <v>0</v>
      </c>
      <c r="R74" s="102">
        <f t="shared" si="28"/>
        <v>0</v>
      </c>
      <c r="S74" s="102">
        <f t="shared" si="28"/>
        <v>7228366</v>
      </c>
      <c r="T74" s="102">
        <f t="shared" si="28"/>
        <v>7490430</v>
      </c>
      <c r="U74" s="102">
        <f t="shared" si="28"/>
        <v>0</v>
      </c>
      <c r="V74" s="102">
        <f t="shared" si="28"/>
        <v>0</v>
      </c>
      <c r="W74" s="102">
        <f t="shared" si="28"/>
        <v>0</v>
      </c>
      <c r="X74" s="102">
        <f t="shared" si="28"/>
        <v>0</v>
      </c>
      <c r="Y74" s="102">
        <f t="shared" si="28"/>
        <v>0</v>
      </c>
      <c r="Z74" s="102">
        <f t="shared" si="28"/>
        <v>0</v>
      </c>
      <c r="AA74" s="118">
        <f t="shared" si="3"/>
        <v>0</v>
      </c>
      <c r="AB74" s="102">
        <f t="shared" si="4"/>
        <v>0</v>
      </c>
    </row>
    <row r="75" spans="1:28" s="9" customFormat="1" ht="63" customHeight="1" x14ac:dyDescent="0.25">
      <c r="A75" s="6"/>
      <c r="B75" s="7"/>
      <c r="C75" s="7"/>
      <c r="D75" s="8" t="s">
        <v>694</v>
      </c>
      <c r="E75" s="102">
        <f>E117</f>
        <v>1331125</v>
      </c>
      <c r="F75" s="102">
        <f t="shared" ref="F75:Z75" si="29">F117</f>
        <v>1331125</v>
      </c>
      <c r="G75" s="102">
        <f t="shared" si="29"/>
        <v>1091086</v>
      </c>
      <c r="H75" s="102">
        <f t="shared" si="29"/>
        <v>0</v>
      </c>
      <c r="I75" s="102">
        <f t="shared" si="29"/>
        <v>0</v>
      </c>
      <c r="J75" s="102">
        <f t="shared" si="29"/>
        <v>996666.68</v>
      </c>
      <c r="K75" s="102">
        <f t="shared" si="29"/>
        <v>816936.14</v>
      </c>
      <c r="L75" s="102">
        <f t="shared" si="29"/>
        <v>0</v>
      </c>
      <c r="M75" s="118">
        <f t="shared" si="2"/>
        <v>74.874011080852668</v>
      </c>
      <c r="N75" s="102">
        <f t="shared" si="29"/>
        <v>0</v>
      </c>
      <c r="O75" s="102">
        <f t="shared" si="29"/>
        <v>0</v>
      </c>
      <c r="P75" s="102">
        <f t="shared" si="29"/>
        <v>0</v>
      </c>
      <c r="Q75" s="102">
        <f t="shared" si="29"/>
        <v>0</v>
      </c>
      <c r="R75" s="102">
        <f t="shared" si="29"/>
        <v>0</v>
      </c>
      <c r="S75" s="102">
        <f t="shared" si="29"/>
        <v>0</v>
      </c>
      <c r="T75" s="102">
        <f t="shared" si="29"/>
        <v>1331125</v>
      </c>
      <c r="U75" s="102">
        <f t="shared" si="29"/>
        <v>0</v>
      </c>
      <c r="V75" s="102">
        <f t="shared" si="29"/>
        <v>0</v>
      </c>
      <c r="W75" s="102">
        <f t="shared" si="29"/>
        <v>0</v>
      </c>
      <c r="X75" s="102">
        <f t="shared" si="29"/>
        <v>0</v>
      </c>
      <c r="Y75" s="102">
        <f t="shared" si="29"/>
        <v>0</v>
      </c>
      <c r="Z75" s="102">
        <f t="shared" si="29"/>
        <v>0</v>
      </c>
      <c r="AA75" s="118"/>
      <c r="AB75" s="102">
        <f t="shared" si="4"/>
        <v>996666.68</v>
      </c>
    </row>
    <row r="76" spans="1:28" s="9" customFormat="1" ht="70.900000000000006" customHeight="1" x14ac:dyDescent="0.25">
      <c r="A76" s="6"/>
      <c r="B76" s="77"/>
      <c r="C76" s="7"/>
      <c r="D76" s="8" t="s">
        <v>695</v>
      </c>
      <c r="E76" s="102">
        <f>E119</f>
        <v>714100.24</v>
      </c>
      <c r="F76" s="102">
        <f t="shared" ref="F76:Z76" si="30">F119</f>
        <v>714100.24</v>
      </c>
      <c r="G76" s="102">
        <f t="shared" si="30"/>
        <v>585328</v>
      </c>
      <c r="H76" s="102">
        <f t="shared" si="30"/>
        <v>0</v>
      </c>
      <c r="I76" s="102">
        <f t="shared" si="30"/>
        <v>0</v>
      </c>
      <c r="J76" s="102">
        <f t="shared" si="30"/>
        <v>714066.65</v>
      </c>
      <c r="K76" s="102">
        <f t="shared" si="30"/>
        <v>585304.28</v>
      </c>
      <c r="L76" s="102">
        <f t="shared" si="30"/>
        <v>0</v>
      </c>
      <c r="M76" s="118">
        <f t="shared" si="2"/>
        <v>99.995296178586926</v>
      </c>
      <c r="N76" s="102">
        <f t="shared" si="30"/>
        <v>0</v>
      </c>
      <c r="O76" s="102">
        <f t="shared" si="30"/>
        <v>0</v>
      </c>
      <c r="P76" s="102">
        <f t="shared" si="30"/>
        <v>0</v>
      </c>
      <c r="Q76" s="102">
        <f t="shared" si="30"/>
        <v>0</v>
      </c>
      <c r="R76" s="102">
        <f t="shared" si="30"/>
        <v>0</v>
      </c>
      <c r="S76" s="102">
        <f t="shared" si="30"/>
        <v>0</v>
      </c>
      <c r="T76" s="102">
        <f t="shared" si="30"/>
        <v>714100.24</v>
      </c>
      <c r="U76" s="102">
        <f t="shared" si="30"/>
        <v>0</v>
      </c>
      <c r="V76" s="102">
        <f t="shared" si="30"/>
        <v>0</v>
      </c>
      <c r="W76" s="102">
        <f t="shared" si="30"/>
        <v>0</v>
      </c>
      <c r="X76" s="102">
        <f t="shared" si="30"/>
        <v>0</v>
      </c>
      <c r="Y76" s="102">
        <f t="shared" si="30"/>
        <v>0</v>
      </c>
      <c r="Z76" s="102">
        <f t="shared" si="30"/>
        <v>0</v>
      </c>
      <c r="AA76" s="118"/>
      <c r="AB76" s="102">
        <f t="shared" si="4"/>
        <v>714066.65</v>
      </c>
    </row>
    <row r="77" spans="1:28" s="9" customFormat="1" ht="78.75" hidden="1" customHeight="1" x14ac:dyDescent="0.25">
      <c r="A77" s="6"/>
      <c r="B77" s="7"/>
      <c r="C77" s="7"/>
      <c r="D77" s="8" t="s">
        <v>518</v>
      </c>
      <c r="E77" s="102">
        <f>E115</f>
        <v>0</v>
      </c>
      <c r="F77" s="102">
        <f t="shared" ref="F77:Z77" si="31">F115</f>
        <v>0</v>
      </c>
      <c r="G77" s="102">
        <f t="shared" si="31"/>
        <v>0</v>
      </c>
      <c r="H77" s="102">
        <f t="shared" si="31"/>
        <v>0</v>
      </c>
      <c r="I77" s="102">
        <f t="shared" si="31"/>
        <v>0</v>
      </c>
      <c r="J77" s="102">
        <f t="shared" si="31"/>
        <v>0</v>
      </c>
      <c r="K77" s="102">
        <f t="shared" si="31"/>
        <v>0</v>
      </c>
      <c r="L77" s="102">
        <f t="shared" si="31"/>
        <v>0</v>
      </c>
      <c r="M77" s="118" t="e">
        <f t="shared" si="2"/>
        <v>#DIV/0!</v>
      </c>
      <c r="N77" s="102">
        <f t="shared" si="31"/>
        <v>0</v>
      </c>
      <c r="O77" s="102">
        <f t="shared" si="31"/>
        <v>0</v>
      </c>
      <c r="P77" s="102">
        <f t="shared" si="31"/>
        <v>0</v>
      </c>
      <c r="Q77" s="102">
        <f t="shared" si="31"/>
        <v>0</v>
      </c>
      <c r="R77" s="102">
        <f t="shared" si="31"/>
        <v>0</v>
      </c>
      <c r="S77" s="102">
        <f t="shared" si="31"/>
        <v>0</v>
      </c>
      <c r="T77" s="102">
        <f t="shared" si="31"/>
        <v>0</v>
      </c>
      <c r="U77" s="102">
        <f t="shared" si="31"/>
        <v>0</v>
      </c>
      <c r="V77" s="102">
        <f t="shared" si="31"/>
        <v>0</v>
      </c>
      <c r="W77" s="102">
        <f t="shared" si="31"/>
        <v>0</v>
      </c>
      <c r="X77" s="102">
        <f t="shared" si="31"/>
        <v>0</v>
      </c>
      <c r="Y77" s="102">
        <f t="shared" si="31"/>
        <v>0</v>
      </c>
      <c r="Z77" s="102">
        <f t="shared" si="31"/>
        <v>0</v>
      </c>
      <c r="AA77" s="112" t="e">
        <f t="shared" si="3"/>
        <v>#DIV/0!</v>
      </c>
      <c r="AB77" s="102">
        <f t="shared" si="4"/>
        <v>0</v>
      </c>
    </row>
    <row r="78" spans="1:28" s="9" customFormat="1" ht="26.25" hidden="1" customHeight="1" x14ac:dyDescent="0.25">
      <c r="A78" s="6"/>
      <c r="B78" s="7"/>
      <c r="C78" s="6"/>
      <c r="D78" s="8" t="s">
        <v>538</v>
      </c>
      <c r="E78" s="102">
        <f>E111</f>
        <v>0</v>
      </c>
      <c r="F78" s="102">
        <f t="shared" ref="F78:Z78" si="32">F111</f>
        <v>0</v>
      </c>
      <c r="G78" s="102">
        <f t="shared" si="32"/>
        <v>0</v>
      </c>
      <c r="H78" s="102">
        <f t="shared" si="32"/>
        <v>0</v>
      </c>
      <c r="I78" s="102">
        <f t="shared" si="32"/>
        <v>0</v>
      </c>
      <c r="J78" s="102">
        <f t="shared" si="32"/>
        <v>0</v>
      </c>
      <c r="K78" s="102">
        <f t="shared" si="32"/>
        <v>0</v>
      </c>
      <c r="L78" s="102">
        <f t="shared" si="32"/>
        <v>0</v>
      </c>
      <c r="M78" s="118" t="e">
        <f t="shared" si="2"/>
        <v>#DIV/0!</v>
      </c>
      <c r="N78" s="102">
        <f t="shared" si="32"/>
        <v>0</v>
      </c>
      <c r="O78" s="102">
        <f t="shared" si="32"/>
        <v>0</v>
      </c>
      <c r="P78" s="102">
        <f t="shared" si="32"/>
        <v>0</v>
      </c>
      <c r="Q78" s="102">
        <f t="shared" si="32"/>
        <v>0</v>
      </c>
      <c r="R78" s="102">
        <f t="shared" si="32"/>
        <v>0</v>
      </c>
      <c r="S78" s="102">
        <f t="shared" si="32"/>
        <v>0</v>
      </c>
      <c r="T78" s="102">
        <f t="shared" si="32"/>
        <v>0</v>
      </c>
      <c r="U78" s="102">
        <f t="shared" si="32"/>
        <v>0</v>
      </c>
      <c r="V78" s="102">
        <f t="shared" si="32"/>
        <v>0</v>
      </c>
      <c r="W78" s="102">
        <f t="shared" si="32"/>
        <v>0</v>
      </c>
      <c r="X78" s="102">
        <f t="shared" si="32"/>
        <v>0</v>
      </c>
      <c r="Y78" s="102">
        <f t="shared" si="32"/>
        <v>0</v>
      </c>
      <c r="Z78" s="102">
        <f t="shared" si="32"/>
        <v>0</v>
      </c>
      <c r="AA78" s="112" t="e">
        <f t="shared" si="3"/>
        <v>#DIV/0!</v>
      </c>
      <c r="AB78" s="102">
        <f t="shared" si="4"/>
        <v>0</v>
      </c>
    </row>
    <row r="79" spans="1:28" s="9" customFormat="1" ht="28.5" customHeight="1" x14ac:dyDescent="0.25">
      <c r="A79" s="6"/>
      <c r="B79" s="7"/>
      <c r="C79" s="7"/>
      <c r="D79" s="8" t="s">
        <v>388</v>
      </c>
      <c r="E79" s="102">
        <f>E84+E137</f>
        <v>0</v>
      </c>
      <c r="F79" s="102">
        <f t="shared" ref="F79:Z79" si="33">F84+F137</f>
        <v>0</v>
      </c>
      <c r="G79" s="102">
        <f t="shared" si="33"/>
        <v>0</v>
      </c>
      <c r="H79" s="102">
        <f t="shared" si="33"/>
        <v>0</v>
      </c>
      <c r="I79" s="102">
        <f t="shared" si="33"/>
        <v>0</v>
      </c>
      <c r="J79" s="102">
        <f t="shared" si="33"/>
        <v>0</v>
      </c>
      <c r="K79" s="102">
        <f t="shared" si="33"/>
        <v>0</v>
      </c>
      <c r="L79" s="102">
        <f t="shared" si="33"/>
        <v>0</v>
      </c>
      <c r="M79" s="118"/>
      <c r="N79" s="102">
        <f t="shared" si="33"/>
        <v>6564196</v>
      </c>
      <c r="O79" s="102">
        <f t="shared" si="33"/>
        <v>0</v>
      </c>
      <c r="P79" s="102">
        <f t="shared" si="33"/>
        <v>6564196</v>
      </c>
      <c r="Q79" s="102">
        <f t="shared" si="33"/>
        <v>0</v>
      </c>
      <c r="R79" s="102">
        <f t="shared" si="33"/>
        <v>0</v>
      </c>
      <c r="S79" s="102">
        <f t="shared" si="33"/>
        <v>0</v>
      </c>
      <c r="T79" s="102">
        <f t="shared" si="33"/>
        <v>6564196</v>
      </c>
      <c r="U79" s="102">
        <f t="shared" si="33"/>
        <v>762440.66</v>
      </c>
      <c r="V79" s="102">
        <f t="shared" si="33"/>
        <v>0</v>
      </c>
      <c r="W79" s="102">
        <f t="shared" si="33"/>
        <v>762440.66</v>
      </c>
      <c r="X79" s="102">
        <f t="shared" si="33"/>
        <v>0</v>
      </c>
      <c r="Y79" s="102">
        <f t="shared" si="33"/>
        <v>0</v>
      </c>
      <c r="Z79" s="102">
        <f t="shared" si="33"/>
        <v>0</v>
      </c>
      <c r="AA79" s="118">
        <f t="shared" si="3"/>
        <v>11.615141595406353</v>
      </c>
      <c r="AB79" s="102">
        <f t="shared" si="4"/>
        <v>762440.66</v>
      </c>
    </row>
    <row r="80" spans="1:28" s="9" customFormat="1" ht="110.65" customHeight="1" x14ac:dyDescent="0.25">
      <c r="A80" s="6"/>
      <c r="B80" s="7"/>
      <c r="C80" s="7"/>
      <c r="D80" s="8" t="s">
        <v>686</v>
      </c>
      <c r="E80" s="102">
        <f>E139</f>
        <v>0</v>
      </c>
      <c r="F80" s="102">
        <f t="shared" ref="F80:Z80" si="34">F139</f>
        <v>0</v>
      </c>
      <c r="G80" s="102">
        <f t="shared" si="34"/>
        <v>0</v>
      </c>
      <c r="H80" s="102">
        <f t="shared" si="34"/>
        <v>0</v>
      </c>
      <c r="I80" s="102">
        <f t="shared" si="34"/>
        <v>0</v>
      </c>
      <c r="J80" s="102">
        <f t="shared" si="34"/>
        <v>0</v>
      </c>
      <c r="K80" s="102">
        <f t="shared" si="34"/>
        <v>0</v>
      </c>
      <c r="L80" s="102">
        <f t="shared" si="34"/>
        <v>0</v>
      </c>
      <c r="M80" s="118"/>
      <c r="N80" s="102">
        <f t="shared" si="34"/>
        <v>51527652.659999996</v>
      </c>
      <c r="O80" s="102">
        <f t="shared" si="34"/>
        <v>0</v>
      </c>
      <c r="P80" s="102">
        <f t="shared" si="34"/>
        <v>0</v>
      </c>
      <c r="Q80" s="102">
        <f t="shared" si="34"/>
        <v>0</v>
      </c>
      <c r="R80" s="102">
        <f t="shared" si="34"/>
        <v>0</v>
      </c>
      <c r="S80" s="102">
        <f t="shared" si="34"/>
        <v>51527652.659999996</v>
      </c>
      <c r="T80" s="102">
        <f t="shared" si="34"/>
        <v>51527652.659999996</v>
      </c>
      <c r="U80" s="102">
        <f t="shared" si="34"/>
        <v>11116585.039999999</v>
      </c>
      <c r="V80" s="102">
        <f t="shared" si="34"/>
        <v>0</v>
      </c>
      <c r="W80" s="102">
        <f t="shared" si="34"/>
        <v>0</v>
      </c>
      <c r="X80" s="102">
        <f t="shared" si="34"/>
        <v>0</v>
      </c>
      <c r="Y80" s="102">
        <f t="shared" si="34"/>
        <v>0</v>
      </c>
      <c r="Z80" s="102">
        <f t="shared" si="34"/>
        <v>11116585.039999999</v>
      </c>
      <c r="AA80" s="118">
        <f t="shared" si="3"/>
        <v>21.574017961484991</v>
      </c>
      <c r="AB80" s="102">
        <f t="shared" si="4"/>
        <v>11116585.039999999</v>
      </c>
    </row>
    <row r="81" spans="1:28" s="75" customFormat="1" ht="45.75" customHeight="1" x14ac:dyDescent="0.25">
      <c r="A81" s="1" t="s">
        <v>164</v>
      </c>
      <c r="B81" s="3" t="str">
        <f>'дод 5'!A18</f>
        <v>0160</v>
      </c>
      <c r="C81" s="3" t="str">
        <f>'дод 5'!B18</f>
        <v>0111</v>
      </c>
      <c r="D81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81" s="101">
        <f t="shared" ref="E81:E147" si="35">F81+I81</f>
        <v>5152200</v>
      </c>
      <c r="F81" s="101">
        <f>4452800+324900+374500</f>
        <v>5152200</v>
      </c>
      <c r="G81" s="101">
        <f>3309400+266300+307200</f>
        <v>3882900</v>
      </c>
      <c r="H81" s="101">
        <v>111200</v>
      </c>
      <c r="I81" s="101"/>
      <c r="J81" s="101">
        <v>2181154.44</v>
      </c>
      <c r="K81" s="101">
        <v>1688449.73</v>
      </c>
      <c r="L81" s="101">
        <v>34325.43</v>
      </c>
      <c r="M81" s="112">
        <f t="shared" ref="M81:M144" si="36">J81/E81*100</f>
        <v>42.334428787702336</v>
      </c>
      <c r="N81" s="101">
        <f>P81+S81</f>
        <v>0</v>
      </c>
      <c r="O81" s="101">
        <v>0</v>
      </c>
      <c r="P81" s="101"/>
      <c r="Q81" s="101"/>
      <c r="R81" s="101"/>
      <c r="S81" s="101">
        <v>0</v>
      </c>
      <c r="T81" s="101">
        <f t="shared" ref="T81:T151" si="37">E81+N81</f>
        <v>5152200</v>
      </c>
      <c r="U81" s="104">
        <f>W81+Z81</f>
        <v>0</v>
      </c>
      <c r="V81" s="104"/>
      <c r="W81" s="104"/>
      <c r="X81" s="104"/>
      <c r="Y81" s="104"/>
      <c r="Z81" s="104"/>
      <c r="AA81" s="112"/>
      <c r="AB81" s="101">
        <f t="shared" ref="AB81:AB144" si="38">U81+J81</f>
        <v>2181154.44</v>
      </c>
    </row>
    <row r="82" spans="1:28" s="75" customFormat="1" ht="21.75" customHeight="1" x14ac:dyDescent="0.25">
      <c r="A82" s="1" t="s">
        <v>165</v>
      </c>
      <c r="B82" s="3" t="str">
        <f>'дод 5'!A36</f>
        <v>1010</v>
      </c>
      <c r="C82" s="3" t="str">
        <f>'дод 5'!B36</f>
        <v>0910</v>
      </c>
      <c r="D82" s="38" t="str">
        <f>'дод 5'!C36</f>
        <v>Надання дошкільної освіти</v>
      </c>
      <c r="E82" s="101">
        <f t="shared" si="35"/>
        <v>378762720</v>
      </c>
      <c r="F82" s="101">
        <f>387213800-11201080-750000+3500000</f>
        <v>378762720</v>
      </c>
      <c r="G82" s="101">
        <v>260000000</v>
      </c>
      <c r="H82" s="101">
        <f>46345800-250000</f>
        <v>46095800</v>
      </c>
      <c r="I82" s="101"/>
      <c r="J82" s="101">
        <v>181690356.03</v>
      </c>
      <c r="K82" s="101">
        <v>123153324.93000001</v>
      </c>
      <c r="L82" s="101">
        <v>23353124.890000001</v>
      </c>
      <c r="M82" s="112">
        <f t="shared" si="36"/>
        <v>47.969440083754812</v>
      </c>
      <c r="N82" s="101">
        <f>P82+S82</f>
        <v>83912920</v>
      </c>
      <c r="O82" s="101">
        <f>20000000+390000+193770+31455908+1954092</f>
        <v>53993770</v>
      </c>
      <c r="P82" s="101">
        <v>29919150</v>
      </c>
      <c r="Q82" s="101"/>
      <c r="R82" s="101"/>
      <c r="S82" s="101">
        <f>20000000+390000+193770+31455908+1954092</f>
        <v>53993770</v>
      </c>
      <c r="T82" s="101">
        <f t="shared" si="37"/>
        <v>462675640</v>
      </c>
      <c r="U82" s="104">
        <f t="shared" ref="U82:U145" si="39">W82+Z82</f>
        <v>28941975.989999998</v>
      </c>
      <c r="V82" s="104">
        <v>22362109.649999999</v>
      </c>
      <c r="W82" s="104">
        <v>6345026.04</v>
      </c>
      <c r="X82" s="104">
        <v>257253.36</v>
      </c>
      <c r="Y82" s="104"/>
      <c r="Z82" s="104">
        <v>22596949.949999999</v>
      </c>
      <c r="AA82" s="112">
        <f t="shared" ref="AA82:AA144" si="40">U82/N82*100</f>
        <v>34.490488461133282</v>
      </c>
      <c r="AB82" s="101">
        <f t="shared" si="38"/>
        <v>210632332.02000001</v>
      </c>
    </row>
    <row r="83" spans="1:28" s="75" customFormat="1" ht="54" customHeight="1" x14ac:dyDescent="0.25">
      <c r="A83" s="1" t="s">
        <v>445</v>
      </c>
      <c r="B83" s="1">
        <f>'дод 5'!A38</f>
        <v>1021</v>
      </c>
      <c r="C83" s="3" t="str">
        <f>'дод 5'!B38</f>
        <v>0921</v>
      </c>
      <c r="D83" s="38" t="str">
        <f>'дод 5'!C38</f>
        <v>Надання загальної середньої освіти закладами загальної середньої освіти за рахунок коштів місцевого бюджету, у т.ч. за рахунок:</v>
      </c>
      <c r="E83" s="101">
        <f t="shared" si="35"/>
        <v>269614110</v>
      </c>
      <c r="F83" s="101">
        <f>276972600-11595000-750000+3638040+1200000+34100+114370</f>
        <v>269614110</v>
      </c>
      <c r="G83" s="101">
        <v>146950000</v>
      </c>
      <c r="H83" s="101">
        <f>64072800-250000</f>
        <v>63822800</v>
      </c>
      <c r="I83" s="101"/>
      <c r="J83" s="101">
        <v>127813305.48999999</v>
      </c>
      <c r="K83" s="101">
        <v>68582998.230000004</v>
      </c>
      <c r="L83" s="101">
        <v>33845770.979999997</v>
      </c>
      <c r="M83" s="112">
        <f t="shared" si="36"/>
        <v>47.406015022730074</v>
      </c>
      <c r="N83" s="101">
        <f t="shared" ref="N83:N151" si="41">P83+S83</f>
        <v>82022680</v>
      </c>
      <c r="O83" s="101">
        <f>10653058-3498324+2000000+2000000+320460+1913540+5285000</f>
        <v>18673734</v>
      </c>
      <c r="P83" s="101">
        <f>56784750+6564196</f>
        <v>63348946</v>
      </c>
      <c r="Q83" s="101">
        <v>2197510</v>
      </c>
      <c r="R83" s="101">
        <v>276700</v>
      </c>
      <c r="S83" s="107">
        <f>10653058-3498324+2000000+2000000+320460+1913540+5285000</f>
        <v>18673734</v>
      </c>
      <c r="T83" s="101">
        <f t="shared" si="37"/>
        <v>351636790</v>
      </c>
      <c r="U83" s="104">
        <f t="shared" si="39"/>
        <v>26253780.969999999</v>
      </c>
      <c r="V83" s="104">
        <v>4547445.41</v>
      </c>
      <c r="W83" s="104">
        <v>15056972.84</v>
      </c>
      <c r="X83" s="104">
        <v>3007297.41</v>
      </c>
      <c r="Y83" s="104">
        <v>32310.13</v>
      </c>
      <c r="Z83" s="104">
        <v>11196808.130000001</v>
      </c>
      <c r="AA83" s="112">
        <f t="shared" si="40"/>
        <v>32.007953129549044</v>
      </c>
      <c r="AB83" s="101">
        <f t="shared" si="38"/>
        <v>154067086.45999998</v>
      </c>
    </row>
    <row r="84" spans="1:28" s="5" customFormat="1" ht="22.15" customHeight="1" x14ac:dyDescent="0.25">
      <c r="A84" s="41"/>
      <c r="B84" s="41"/>
      <c r="C84" s="28"/>
      <c r="D84" s="39" t="str">
        <f>'дод 5'!C39</f>
        <v>іншої субвенції з місцевого бюджету</v>
      </c>
      <c r="E84" s="105">
        <f t="shared" si="35"/>
        <v>0</v>
      </c>
      <c r="F84" s="105"/>
      <c r="G84" s="105"/>
      <c r="H84" s="105"/>
      <c r="I84" s="105"/>
      <c r="J84" s="105"/>
      <c r="K84" s="105"/>
      <c r="L84" s="105"/>
      <c r="M84" s="112"/>
      <c r="N84" s="105">
        <f t="shared" si="41"/>
        <v>6564196</v>
      </c>
      <c r="O84" s="105"/>
      <c r="P84" s="105">
        <v>6564196</v>
      </c>
      <c r="Q84" s="105"/>
      <c r="R84" s="105"/>
      <c r="S84" s="105"/>
      <c r="T84" s="105">
        <f t="shared" si="37"/>
        <v>6564196</v>
      </c>
      <c r="U84" s="104">
        <f t="shared" si="39"/>
        <v>762440.66</v>
      </c>
      <c r="V84" s="106"/>
      <c r="W84" s="106">
        <v>762440.66</v>
      </c>
      <c r="X84" s="106"/>
      <c r="Y84" s="106"/>
      <c r="Z84" s="106"/>
      <c r="AA84" s="112">
        <f t="shared" si="40"/>
        <v>11.615141595406353</v>
      </c>
      <c r="AB84" s="105">
        <f t="shared" si="38"/>
        <v>762440.66</v>
      </c>
    </row>
    <row r="85" spans="1:28" s="75" customFormat="1" ht="80.25" customHeight="1" x14ac:dyDescent="0.25">
      <c r="A85" s="1" t="s">
        <v>447</v>
      </c>
      <c r="B85" s="3">
        <v>1022</v>
      </c>
      <c r="C85" s="1" t="s">
        <v>54</v>
      </c>
      <c r="D85" s="38" t="str">
        <f>'дод 5'!C46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85" s="101">
        <f t="shared" si="35"/>
        <v>19640200</v>
      </c>
      <c r="F85" s="101">
        <v>19640200</v>
      </c>
      <c r="G85" s="101">
        <v>11259000</v>
      </c>
      <c r="H85" s="101">
        <v>2667000</v>
      </c>
      <c r="I85" s="101"/>
      <c r="J85" s="101">
        <v>8921607.5999999996</v>
      </c>
      <c r="K85" s="101">
        <v>5217191.7</v>
      </c>
      <c r="L85" s="101">
        <v>1625922.74</v>
      </c>
      <c r="M85" s="112">
        <f t="shared" si="36"/>
        <v>45.42523803219926</v>
      </c>
      <c r="N85" s="101">
        <f t="shared" si="41"/>
        <v>0</v>
      </c>
      <c r="O85" s="101"/>
      <c r="P85" s="101"/>
      <c r="Q85" s="101"/>
      <c r="R85" s="101"/>
      <c r="S85" s="101"/>
      <c r="T85" s="101">
        <f t="shared" si="37"/>
        <v>19640200</v>
      </c>
      <c r="U85" s="104">
        <f t="shared" si="39"/>
        <v>765181.6</v>
      </c>
      <c r="V85" s="104"/>
      <c r="W85" s="104">
        <v>472411.61</v>
      </c>
      <c r="X85" s="104">
        <v>143239.26999999999</v>
      </c>
      <c r="Y85" s="104"/>
      <c r="Z85" s="104">
        <v>292769.99</v>
      </c>
      <c r="AA85" s="112"/>
      <c r="AB85" s="101">
        <f t="shared" si="38"/>
        <v>9686789.1999999993</v>
      </c>
    </row>
    <row r="86" spans="1:28" s="75" customFormat="1" ht="83.25" customHeight="1" x14ac:dyDescent="0.25">
      <c r="A86" s="1" t="s">
        <v>535</v>
      </c>
      <c r="B86" s="3">
        <v>1025</v>
      </c>
      <c r="C86" s="1" t="s">
        <v>54</v>
      </c>
      <c r="D86" s="38" t="str">
        <f>'дод 5'!C48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86" s="101">
        <f t="shared" si="35"/>
        <v>14028100</v>
      </c>
      <c r="F86" s="101">
        <v>14028100</v>
      </c>
      <c r="G86" s="101">
        <v>9815000</v>
      </c>
      <c r="H86" s="101">
        <v>1219000</v>
      </c>
      <c r="I86" s="101"/>
      <c r="J86" s="101">
        <v>6586485.5700000003</v>
      </c>
      <c r="K86" s="101">
        <v>4750226.68</v>
      </c>
      <c r="L86" s="101">
        <v>549415.49</v>
      </c>
      <c r="M86" s="112">
        <f t="shared" si="36"/>
        <v>46.952085956045373</v>
      </c>
      <c r="N86" s="101">
        <f t="shared" si="41"/>
        <v>0</v>
      </c>
      <c r="O86" s="101"/>
      <c r="P86" s="101"/>
      <c r="Q86" s="101"/>
      <c r="R86" s="101"/>
      <c r="S86" s="101"/>
      <c r="T86" s="101">
        <f t="shared" si="37"/>
        <v>14028100</v>
      </c>
      <c r="U86" s="104">
        <f t="shared" si="39"/>
        <v>182175.87</v>
      </c>
      <c r="V86" s="104"/>
      <c r="W86" s="104">
        <v>129947.87</v>
      </c>
      <c r="X86" s="104"/>
      <c r="Y86" s="104"/>
      <c r="Z86" s="104">
        <v>52228</v>
      </c>
      <c r="AA86" s="112"/>
      <c r="AB86" s="101">
        <f t="shared" si="38"/>
        <v>6768661.4400000004</v>
      </c>
    </row>
    <row r="87" spans="1:28" s="75" customFormat="1" ht="54" customHeight="1" x14ac:dyDescent="0.25">
      <c r="A87" s="1" t="s">
        <v>449</v>
      </c>
      <c r="B87" s="3">
        <v>1031</v>
      </c>
      <c r="C87" s="1" t="s">
        <v>50</v>
      </c>
      <c r="D87" s="38" t="str">
        <f>'дод 5'!C49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87" s="101">
        <f t="shared" si="35"/>
        <v>508400300</v>
      </c>
      <c r="F87" s="101">
        <v>508400300</v>
      </c>
      <c r="G87" s="101">
        <v>415576000</v>
      </c>
      <c r="H87" s="101"/>
      <c r="I87" s="101"/>
      <c r="J87" s="101">
        <v>290050328.42000002</v>
      </c>
      <c r="K87" s="101">
        <v>237984094.34</v>
      </c>
      <c r="L87" s="101"/>
      <c r="M87" s="112">
        <f t="shared" si="36"/>
        <v>57.051565158399789</v>
      </c>
      <c r="N87" s="101">
        <f t="shared" si="41"/>
        <v>0</v>
      </c>
      <c r="O87" s="101"/>
      <c r="P87" s="101"/>
      <c r="Q87" s="101"/>
      <c r="R87" s="101"/>
      <c r="S87" s="101"/>
      <c r="T87" s="101">
        <f t="shared" si="37"/>
        <v>508400300</v>
      </c>
      <c r="U87" s="104">
        <f t="shared" si="39"/>
        <v>0</v>
      </c>
      <c r="V87" s="104"/>
      <c r="W87" s="104"/>
      <c r="X87" s="104"/>
      <c r="Y87" s="104"/>
      <c r="Z87" s="104"/>
      <c r="AA87" s="112"/>
      <c r="AB87" s="101">
        <f t="shared" si="38"/>
        <v>290050328.42000002</v>
      </c>
    </row>
    <row r="88" spans="1:28" s="5" customFormat="1" ht="31.5" customHeight="1" x14ac:dyDescent="0.25">
      <c r="A88" s="41"/>
      <c r="B88" s="28"/>
      <c r="C88" s="28"/>
      <c r="D88" s="39" t="s">
        <v>383</v>
      </c>
      <c r="E88" s="105">
        <f t="shared" si="35"/>
        <v>506171900</v>
      </c>
      <c r="F88" s="105">
        <v>506171900</v>
      </c>
      <c r="G88" s="105">
        <v>415576000</v>
      </c>
      <c r="H88" s="105"/>
      <c r="I88" s="105"/>
      <c r="J88" s="105">
        <v>289449552.17000002</v>
      </c>
      <c r="K88" s="105">
        <v>237984094.34</v>
      </c>
      <c r="L88" s="105"/>
      <c r="M88" s="112">
        <f t="shared" si="36"/>
        <v>57.184042055673189</v>
      </c>
      <c r="N88" s="105">
        <f t="shared" si="41"/>
        <v>0</v>
      </c>
      <c r="O88" s="105"/>
      <c r="P88" s="105"/>
      <c r="Q88" s="105"/>
      <c r="R88" s="105"/>
      <c r="S88" s="105"/>
      <c r="T88" s="105">
        <f t="shared" si="37"/>
        <v>506171900</v>
      </c>
      <c r="U88" s="104">
        <f t="shared" si="39"/>
        <v>0</v>
      </c>
      <c r="V88" s="106"/>
      <c r="W88" s="106"/>
      <c r="X88" s="106"/>
      <c r="Y88" s="106"/>
      <c r="Z88" s="106"/>
      <c r="AA88" s="112"/>
      <c r="AB88" s="105">
        <f t="shared" si="38"/>
        <v>289449552.17000002</v>
      </c>
    </row>
    <row r="89" spans="1:28" s="5" customFormat="1" ht="47.25" x14ac:dyDescent="0.25">
      <c r="A89" s="41"/>
      <c r="B89" s="28"/>
      <c r="C89" s="28"/>
      <c r="D89" s="39" t="s">
        <v>378</v>
      </c>
      <c r="E89" s="105">
        <f t="shared" si="35"/>
        <v>2228400</v>
      </c>
      <c r="F89" s="105">
        <v>2228400</v>
      </c>
      <c r="G89" s="105"/>
      <c r="H89" s="105"/>
      <c r="I89" s="105"/>
      <c r="J89" s="105">
        <v>600776.25</v>
      </c>
      <c r="K89" s="105"/>
      <c r="L89" s="105"/>
      <c r="M89" s="112">
        <f t="shared" si="36"/>
        <v>26.959982498653744</v>
      </c>
      <c r="N89" s="105">
        <f t="shared" si="41"/>
        <v>0</v>
      </c>
      <c r="O89" s="105"/>
      <c r="P89" s="105"/>
      <c r="Q89" s="105"/>
      <c r="R89" s="105"/>
      <c r="S89" s="105"/>
      <c r="T89" s="105">
        <f t="shared" si="37"/>
        <v>2228400</v>
      </c>
      <c r="U89" s="104">
        <f t="shared" si="39"/>
        <v>0</v>
      </c>
      <c r="V89" s="106"/>
      <c r="W89" s="106"/>
      <c r="X89" s="106"/>
      <c r="Y89" s="106"/>
      <c r="Z89" s="106"/>
      <c r="AA89" s="112"/>
      <c r="AB89" s="105">
        <f t="shared" si="38"/>
        <v>600776.25</v>
      </c>
    </row>
    <row r="90" spans="1:28" s="75" customFormat="1" ht="84" customHeight="1" x14ac:dyDescent="0.25">
      <c r="A90" s="1" t="s">
        <v>450</v>
      </c>
      <c r="B90" s="1" t="s">
        <v>451</v>
      </c>
      <c r="C90" s="1" t="s">
        <v>54</v>
      </c>
      <c r="D90" s="38" t="str">
        <f>'дод 5'!C52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90" s="101">
        <f t="shared" si="35"/>
        <v>20154300</v>
      </c>
      <c r="F90" s="101">
        <v>20154300</v>
      </c>
      <c r="G90" s="101">
        <v>16520000</v>
      </c>
      <c r="H90" s="101"/>
      <c r="I90" s="101"/>
      <c r="J90" s="101">
        <v>9694620.4499999993</v>
      </c>
      <c r="K90" s="101">
        <v>7973569.8200000003</v>
      </c>
      <c r="L90" s="101"/>
      <c r="M90" s="112">
        <f t="shared" si="36"/>
        <v>48.101995355829771</v>
      </c>
      <c r="N90" s="101">
        <f t="shared" si="41"/>
        <v>0</v>
      </c>
      <c r="O90" s="101"/>
      <c r="P90" s="101"/>
      <c r="Q90" s="101"/>
      <c r="R90" s="101"/>
      <c r="S90" s="101"/>
      <c r="T90" s="101">
        <f t="shared" si="37"/>
        <v>20154300</v>
      </c>
      <c r="U90" s="104">
        <f t="shared" si="39"/>
        <v>0</v>
      </c>
      <c r="V90" s="104"/>
      <c r="W90" s="104"/>
      <c r="X90" s="104"/>
      <c r="Y90" s="104"/>
      <c r="Z90" s="104"/>
      <c r="AA90" s="112"/>
      <c r="AB90" s="101">
        <f t="shared" si="38"/>
        <v>9694620.4499999993</v>
      </c>
    </row>
    <row r="91" spans="1:28" s="5" customFormat="1" ht="33" customHeight="1" x14ac:dyDescent="0.25">
      <c r="A91" s="41"/>
      <c r="B91" s="28"/>
      <c r="C91" s="28"/>
      <c r="D91" s="39" t="s">
        <v>383</v>
      </c>
      <c r="E91" s="105">
        <f t="shared" si="35"/>
        <v>20154300</v>
      </c>
      <c r="F91" s="105">
        <v>20154300</v>
      </c>
      <c r="G91" s="105">
        <v>16520000</v>
      </c>
      <c r="H91" s="105"/>
      <c r="I91" s="105"/>
      <c r="J91" s="105">
        <v>9694620.4499999993</v>
      </c>
      <c r="K91" s="105">
        <v>7973569.8200000003</v>
      </c>
      <c r="L91" s="105"/>
      <c r="M91" s="112">
        <f t="shared" si="36"/>
        <v>48.101995355829771</v>
      </c>
      <c r="N91" s="105">
        <f t="shared" ref="N91:N93" si="42">P91+S91</f>
        <v>0</v>
      </c>
      <c r="O91" s="105"/>
      <c r="P91" s="105"/>
      <c r="Q91" s="105"/>
      <c r="R91" s="105"/>
      <c r="S91" s="105"/>
      <c r="T91" s="105">
        <f t="shared" ref="T91:T93" si="43">E91+N91</f>
        <v>20154300</v>
      </c>
      <c r="U91" s="104">
        <f t="shared" si="39"/>
        <v>0</v>
      </c>
      <c r="V91" s="106"/>
      <c r="W91" s="106"/>
      <c r="X91" s="106"/>
      <c r="Y91" s="106"/>
      <c r="Z91" s="106"/>
      <c r="AA91" s="112"/>
      <c r="AB91" s="105">
        <f t="shared" si="38"/>
        <v>9694620.4499999993</v>
      </c>
    </row>
    <row r="92" spans="1:28" s="75" customFormat="1" ht="78.75" x14ac:dyDescent="0.25">
      <c r="A92" s="1" t="s">
        <v>536</v>
      </c>
      <c r="B92" s="3">
        <v>1035</v>
      </c>
      <c r="C92" s="1" t="s">
        <v>54</v>
      </c>
      <c r="D92" s="38" t="str">
        <f>'дод 5'!C54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92" s="101">
        <f t="shared" si="35"/>
        <v>1773800</v>
      </c>
      <c r="F92" s="101">
        <v>1773800</v>
      </c>
      <c r="G92" s="101">
        <v>1454000</v>
      </c>
      <c r="H92" s="101"/>
      <c r="I92" s="101"/>
      <c r="J92" s="101">
        <v>723682.73</v>
      </c>
      <c r="K92" s="101">
        <v>607415.46</v>
      </c>
      <c r="L92" s="101"/>
      <c r="M92" s="112">
        <f t="shared" si="36"/>
        <v>40.798440072161462</v>
      </c>
      <c r="N92" s="101">
        <f t="shared" si="41"/>
        <v>0</v>
      </c>
      <c r="O92" s="101"/>
      <c r="P92" s="101"/>
      <c r="Q92" s="101"/>
      <c r="R92" s="101"/>
      <c r="S92" s="101"/>
      <c r="T92" s="101">
        <f t="shared" si="37"/>
        <v>1773800</v>
      </c>
      <c r="U92" s="104">
        <f t="shared" si="39"/>
        <v>0</v>
      </c>
      <c r="V92" s="104"/>
      <c r="W92" s="104"/>
      <c r="X92" s="104"/>
      <c r="Y92" s="104"/>
      <c r="Z92" s="104"/>
      <c r="AA92" s="112"/>
      <c r="AB92" s="101">
        <f t="shared" si="38"/>
        <v>723682.73</v>
      </c>
    </row>
    <row r="93" spans="1:28" s="5" customFormat="1" ht="31.5" customHeight="1" x14ac:dyDescent="0.25">
      <c r="A93" s="41"/>
      <c r="B93" s="28"/>
      <c r="C93" s="41"/>
      <c r="D93" s="39" t="s">
        <v>383</v>
      </c>
      <c r="E93" s="105">
        <f t="shared" si="35"/>
        <v>1773800</v>
      </c>
      <c r="F93" s="105">
        <v>1773800</v>
      </c>
      <c r="G93" s="105">
        <v>1454000</v>
      </c>
      <c r="H93" s="105"/>
      <c r="I93" s="105"/>
      <c r="J93" s="105">
        <v>723682.73</v>
      </c>
      <c r="K93" s="105">
        <v>607415.46</v>
      </c>
      <c r="L93" s="105"/>
      <c r="M93" s="112">
        <f t="shared" si="36"/>
        <v>40.798440072161462</v>
      </c>
      <c r="N93" s="105">
        <f t="shared" si="42"/>
        <v>0</v>
      </c>
      <c r="O93" s="105"/>
      <c r="P93" s="105"/>
      <c r="Q93" s="105"/>
      <c r="R93" s="105"/>
      <c r="S93" s="105"/>
      <c r="T93" s="105">
        <f t="shared" si="43"/>
        <v>1773800</v>
      </c>
      <c r="U93" s="104">
        <f t="shared" si="39"/>
        <v>0</v>
      </c>
      <c r="V93" s="106"/>
      <c r="W93" s="106"/>
      <c r="X93" s="106"/>
      <c r="Y93" s="106"/>
      <c r="Z93" s="106"/>
      <c r="AA93" s="112"/>
      <c r="AB93" s="105">
        <f t="shared" si="38"/>
        <v>723682.73</v>
      </c>
    </row>
    <row r="94" spans="1:28" s="5" customFormat="1" ht="31.5" customHeight="1" x14ac:dyDescent="0.25">
      <c r="A94" s="1" t="s">
        <v>492</v>
      </c>
      <c r="B94" s="3">
        <v>1061</v>
      </c>
      <c r="C94" s="1" t="s">
        <v>50</v>
      </c>
      <c r="D94" s="38" t="s">
        <v>446</v>
      </c>
      <c r="E94" s="101">
        <f t="shared" si="35"/>
        <v>351767.89</v>
      </c>
      <c r="F94" s="101">
        <v>351767.89</v>
      </c>
      <c r="G94" s="105">
        <v>290000</v>
      </c>
      <c r="H94" s="105"/>
      <c r="I94" s="105"/>
      <c r="J94" s="105">
        <v>351767.89</v>
      </c>
      <c r="K94" s="105">
        <v>290000</v>
      </c>
      <c r="L94" s="105"/>
      <c r="M94" s="112">
        <f t="shared" si="36"/>
        <v>100</v>
      </c>
      <c r="N94" s="101">
        <f t="shared" si="41"/>
        <v>0</v>
      </c>
      <c r="O94" s="101"/>
      <c r="P94" s="101">
        <f>262064-262064</f>
        <v>0</v>
      </c>
      <c r="Q94" s="101"/>
      <c r="R94" s="101"/>
      <c r="S94" s="101"/>
      <c r="T94" s="101">
        <f t="shared" si="37"/>
        <v>351767.89</v>
      </c>
      <c r="U94" s="104">
        <f t="shared" si="39"/>
        <v>0</v>
      </c>
      <c r="V94" s="106"/>
      <c r="W94" s="106"/>
      <c r="X94" s="106"/>
      <c r="Y94" s="106"/>
      <c r="Z94" s="106"/>
      <c r="AA94" s="112"/>
      <c r="AB94" s="101">
        <f t="shared" si="38"/>
        <v>351767.89</v>
      </c>
    </row>
    <row r="95" spans="1:28" s="5" customFormat="1" ht="55.15" hidden="1" customHeight="1" x14ac:dyDescent="0.25">
      <c r="A95" s="41"/>
      <c r="B95" s="28"/>
      <c r="C95" s="41"/>
      <c r="D95" s="39" t="s">
        <v>504</v>
      </c>
      <c r="E95" s="101">
        <f t="shared" si="35"/>
        <v>0</v>
      </c>
      <c r="F95" s="105"/>
      <c r="G95" s="105"/>
      <c r="H95" s="105"/>
      <c r="I95" s="105"/>
      <c r="J95" s="105"/>
      <c r="K95" s="105"/>
      <c r="L95" s="105"/>
      <c r="M95" s="112" t="e">
        <f t="shared" si="36"/>
        <v>#DIV/0!</v>
      </c>
      <c r="N95" s="105">
        <f>P95+S95</f>
        <v>0</v>
      </c>
      <c r="O95" s="105"/>
      <c r="P95" s="105">
        <f>262064-262064</f>
        <v>0</v>
      </c>
      <c r="Q95" s="105"/>
      <c r="R95" s="105"/>
      <c r="S95" s="105"/>
      <c r="T95" s="105">
        <f t="shared" si="37"/>
        <v>0</v>
      </c>
      <c r="U95" s="104">
        <f t="shared" si="39"/>
        <v>0</v>
      </c>
      <c r="V95" s="106"/>
      <c r="W95" s="106"/>
      <c r="X95" s="106"/>
      <c r="Y95" s="106"/>
      <c r="Z95" s="106"/>
      <c r="AA95" s="112"/>
      <c r="AB95" s="101">
        <f t="shared" si="38"/>
        <v>0</v>
      </c>
    </row>
    <row r="96" spans="1:28" s="5" customFormat="1" ht="31.5" customHeight="1" x14ac:dyDescent="0.25">
      <c r="A96" s="41"/>
      <c r="B96" s="28"/>
      <c r="C96" s="41"/>
      <c r="D96" s="39" t="s">
        <v>501</v>
      </c>
      <c r="E96" s="105">
        <f t="shared" si="35"/>
        <v>351767.89</v>
      </c>
      <c r="F96" s="105">
        <v>351767.89</v>
      </c>
      <c r="G96" s="105">
        <v>290000</v>
      </c>
      <c r="H96" s="105"/>
      <c r="I96" s="105"/>
      <c r="J96" s="105">
        <v>351767.89</v>
      </c>
      <c r="K96" s="105">
        <v>290000</v>
      </c>
      <c r="L96" s="105"/>
      <c r="M96" s="112">
        <f t="shared" si="36"/>
        <v>100</v>
      </c>
      <c r="N96" s="105">
        <f t="shared" ref="N96" si="44">P96+S96</f>
        <v>0</v>
      </c>
      <c r="O96" s="105"/>
      <c r="P96" s="105"/>
      <c r="Q96" s="105"/>
      <c r="R96" s="105"/>
      <c r="S96" s="105"/>
      <c r="T96" s="105">
        <f t="shared" si="37"/>
        <v>351767.89</v>
      </c>
      <c r="U96" s="104">
        <f t="shared" si="39"/>
        <v>0</v>
      </c>
      <c r="V96" s="106"/>
      <c r="W96" s="106"/>
      <c r="X96" s="106"/>
      <c r="Y96" s="106"/>
      <c r="Z96" s="106"/>
      <c r="AA96" s="112"/>
      <c r="AB96" s="105">
        <f t="shared" si="38"/>
        <v>351767.89</v>
      </c>
    </row>
    <row r="97" spans="1:28" s="5" customFormat="1" ht="63" hidden="1" customHeight="1" x14ac:dyDescent="0.25">
      <c r="A97" s="1" t="s">
        <v>496</v>
      </c>
      <c r="B97" s="3">
        <v>1062</v>
      </c>
      <c r="C97" s="1" t="s">
        <v>54</v>
      </c>
      <c r="D97" s="38" t="s">
        <v>478</v>
      </c>
      <c r="E97" s="101">
        <f t="shared" si="35"/>
        <v>0</v>
      </c>
      <c r="F97" s="101"/>
      <c r="G97" s="105"/>
      <c r="H97" s="105"/>
      <c r="I97" s="105"/>
      <c r="J97" s="105"/>
      <c r="K97" s="105"/>
      <c r="L97" s="105"/>
      <c r="M97" s="112" t="e">
        <f t="shared" si="36"/>
        <v>#DIV/0!</v>
      </c>
      <c r="N97" s="101">
        <f>P97+S97</f>
        <v>0</v>
      </c>
      <c r="O97" s="105"/>
      <c r="P97" s="105"/>
      <c r="Q97" s="105"/>
      <c r="R97" s="105"/>
      <c r="S97" s="105"/>
      <c r="T97" s="101">
        <f t="shared" si="37"/>
        <v>0</v>
      </c>
      <c r="U97" s="104">
        <f t="shared" si="39"/>
        <v>0</v>
      </c>
      <c r="V97" s="106"/>
      <c r="W97" s="106"/>
      <c r="X97" s="106"/>
      <c r="Y97" s="106"/>
      <c r="Z97" s="106"/>
      <c r="AA97" s="112" t="e">
        <f t="shared" si="40"/>
        <v>#DIV/0!</v>
      </c>
      <c r="AB97" s="101">
        <f t="shared" si="38"/>
        <v>0</v>
      </c>
    </row>
    <row r="98" spans="1:28" s="5" customFormat="1" ht="31.5" hidden="1" customHeight="1" x14ac:dyDescent="0.25">
      <c r="A98" s="41"/>
      <c r="B98" s="28"/>
      <c r="C98" s="41"/>
      <c r="D98" s="39" t="s">
        <v>501</v>
      </c>
      <c r="E98" s="101">
        <f t="shared" si="35"/>
        <v>0</v>
      </c>
      <c r="F98" s="105"/>
      <c r="G98" s="105"/>
      <c r="H98" s="105"/>
      <c r="I98" s="105"/>
      <c r="J98" s="105"/>
      <c r="K98" s="105"/>
      <c r="L98" s="105"/>
      <c r="M98" s="112" t="e">
        <f t="shared" si="36"/>
        <v>#DIV/0!</v>
      </c>
      <c r="N98" s="105">
        <f>P98+S98</f>
        <v>0</v>
      </c>
      <c r="O98" s="101"/>
      <c r="P98" s="105"/>
      <c r="Q98" s="105"/>
      <c r="R98" s="105"/>
      <c r="S98" s="101"/>
      <c r="T98" s="105">
        <f t="shared" si="37"/>
        <v>0</v>
      </c>
      <c r="U98" s="104">
        <f t="shared" si="39"/>
        <v>0</v>
      </c>
      <c r="V98" s="106"/>
      <c r="W98" s="106"/>
      <c r="X98" s="106"/>
      <c r="Y98" s="106"/>
      <c r="Z98" s="106"/>
      <c r="AA98" s="112" t="e">
        <f t="shared" si="40"/>
        <v>#DIV/0!</v>
      </c>
      <c r="AB98" s="101">
        <f t="shared" si="38"/>
        <v>0</v>
      </c>
    </row>
    <row r="99" spans="1:28" s="75" customFormat="1" ht="57.75" customHeight="1" x14ac:dyDescent="0.25">
      <c r="A99" s="1" t="s">
        <v>452</v>
      </c>
      <c r="B99" s="1" t="s">
        <v>53</v>
      </c>
      <c r="C99" s="1" t="s">
        <v>56</v>
      </c>
      <c r="D99" s="38" t="str">
        <f>'дод 5'!C61</f>
        <v>Надання позашкільної освіти закладами позашкільної освіти, заходи із позашкільної роботи з дітьми</v>
      </c>
      <c r="E99" s="101">
        <f t="shared" si="35"/>
        <v>49233900</v>
      </c>
      <c r="F99" s="101">
        <v>49233900</v>
      </c>
      <c r="G99" s="101">
        <v>34500000</v>
      </c>
      <c r="H99" s="101">
        <v>6479900</v>
      </c>
      <c r="I99" s="101"/>
      <c r="J99" s="101">
        <v>24220476.07</v>
      </c>
      <c r="K99" s="101">
        <v>16725052.27</v>
      </c>
      <c r="L99" s="101">
        <v>3581731.09</v>
      </c>
      <c r="M99" s="112">
        <f t="shared" si="36"/>
        <v>49.194713540873259</v>
      </c>
      <c r="N99" s="101">
        <f t="shared" si="41"/>
        <v>3255000</v>
      </c>
      <c r="O99" s="101">
        <f>1000000+2255000</f>
        <v>3255000</v>
      </c>
      <c r="P99" s="101"/>
      <c r="Q99" s="101"/>
      <c r="R99" s="101"/>
      <c r="S99" s="101">
        <f>1000000+2255000</f>
        <v>3255000</v>
      </c>
      <c r="T99" s="101">
        <f t="shared" si="37"/>
        <v>52488900</v>
      </c>
      <c r="U99" s="104">
        <f t="shared" si="39"/>
        <v>2607843.83</v>
      </c>
      <c r="V99" s="104">
        <v>1672240.01</v>
      </c>
      <c r="W99" s="104">
        <v>932174.71</v>
      </c>
      <c r="X99" s="104">
        <v>148416.5</v>
      </c>
      <c r="Y99" s="104"/>
      <c r="Z99" s="104">
        <v>1675669.12</v>
      </c>
      <c r="AA99" s="112">
        <f t="shared" si="40"/>
        <v>80.118090015360991</v>
      </c>
      <c r="AB99" s="101">
        <f t="shared" si="38"/>
        <v>26828319.899999999</v>
      </c>
    </row>
    <row r="100" spans="1:28" s="75" customFormat="1" ht="66.75" customHeight="1" x14ac:dyDescent="0.25">
      <c r="A100" s="1" t="s">
        <v>565</v>
      </c>
      <c r="B100" s="3">
        <v>1091</v>
      </c>
      <c r="C100" s="1" t="s">
        <v>566</v>
      </c>
      <c r="D100" s="38" t="str">
        <f>'дод 5'!C63</f>
        <v>Підготовка кадрів закладами професійної (професійно-технічної) освіти та іншими закладами освіти за рахунок коштів місцевого бюджету</v>
      </c>
      <c r="E100" s="101">
        <f t="shared" si="35"/>
        <v>164761300</v>
      </c>
      <c r="F100" s="101">
        <f>166005300-500000-744000</f>
        <v>164761300</v>
      </c>
      <c r="G100" s="101">
        <f>91215400-609000</f>
        <v>90606400</v>
      </c>
      <c r="H100" s="101">
        <v>18732100</v>
      </c>
      <c r="I100" s="101"/>
      <c r="J100" s="101">
        <v>79834431.430000007</v>
      </c>
      <c r="K100" s="101">
        <v>44137658.140000001</v>
      </c>
      <c r="L100" s="101">
        <v>10470561.470000001</v>
      </c>
      <c r="M100" s="112">
        <f t="shared" si="36"/>
        <v>48.454601553884316</v>
      </c>
      <c r="N100" s="101">
        <f>P100+S100</f>
        <v>14580725</v>
      </c>
      <c r="O100" s="101"/>
      <c r="P100" s="101">
        <v>14430725</v>
      </c>
      <c r="Q100" s="101">
        <v>4542152</v>
      </c>
      <c r="R100" s="101">
        <v>5317700</v>
      </c>
      <c r="S100" s="101">
        <v>150000</v>
      </c>
      <c r="T100" s="101">
        <f t="shared" si="37"/>
        <v>179342025</v>
      </c>
      <c r="U100" s="104">
        <f t="shared" si="39"/>
        <v>22155307.260000002</v>
      </c>
      <c r="V100" s="104"/>
      <c r="W100" s="104">
        <v>20518932.16</v>
      </c>
      <c r="X100" s="104">
        <v>2863697.98</v>
      </c>
      <c r="Y100" s="104">
        <v>2425703.19</v>
      </c>
      <c r="Z100" s="104">
        <v>1636375.1</v>
      </c>
      <c r="AA100" s="112" t="s">
        <v>720</v>
      </c>
      <c r="AB100" s="101">
        <f t="shared" si="38"/>
        <v>101989738.69000001</v>
      </c>
    </row>
    <row r="101" spans="1:28" s="75" customFormat="1" ht="63" customHeight="1" x14ac:dyDescent="0.25">
      <c r="A101" s="1" t="s">
        <v>568</v>
      </c>
      <c r="B101" s="3">
        <v>1092</v>
      </c>
      <c r="C101" s="1" t="s">
        <v>566</v>
      </c>
      <c r="D101" s="38" t="str">
        <f>'дод 5'!C64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01" s="101">
        <f t="shared" si="35"/>
        <v>22978300</v>
      </c>
      <c r="F101" s="101">
        <v>22978300</v>
      </c>
      <c r="G101" s="101">
        <v>18834600</v>
      </c>
      <c r="H101" s="101"/>
      <c r="I101" s="101"/>
      <c r="J101" s="101">
        <v>10449934.32</v>
      </c>
      <c r="K101" s="101">
        <v>8610229.3300000001</v>
      </c>
      <c r="L101" s="101"/>
      <c r="M101" s="112">
        <f t="shared" si="36"/>
        <v>45.477403985499365</v>
      </c>
      <c r="N101" s="101">
        <f t="shared" si="41"/>
        <v>0</v>
      </c>
      <c r="O101" s="101"/>
      <c r="P101" s="101"/>
      <c r="Q101" s="101"/>
      <c r="R101" s="101"/>
      <c r="S101" s="101"/>
      <c r="T101" s="101">
        <f t="shared" si="37"/>
        <v>22978300</v>
      </c>
      <c r="U101" s="104">
        <f t="shared" si="39"/>
        <v>0</v>
      </c>
      <c r="V101" s="104"/>
      <c r="W101" s="104"/>
      <c r="X101" s="104"/>
      <c r="Y101" s="104"/>
      <c r="Z101" s="104"/>
      <c r="AA101" s="112"/>
      <c r="AB101" s="101">
        <f t="shared" si="38"/>
        <v>10449934.32</v>
      </c>
    </row>
    <row r="102" spans="1:28" s="5" customFormat="1" ht="31.5" customHeight="1" x14ac:dyDescent="0.25">
      <c r="A102" s="41"/>
      <c r="B102" s="28"/>
      <c r="C102" s="41"/>
      <c r="D102" s="39" t="s">
        <v>383</v>
      </c>
      <c r="E102" s="105">
        <f t="shared" si="35"/>
        <v>22978300</v>
      </c>
      <c r="F102" s="105">
        <v>22978300</v>
      </c>
      <c r="G102" s="105">
        <v>18834600</v>
      </c>
      <c r="H102" s="105"/>
      <c r="I102" s="105"/>
      <c r="J102" s="105">
        <v>10449934.32</v>
      </c>
      <c r="K102" s="101">
        <v>8610229.3300000001</v>
      </c>
      <c r="L102" s="105"/>
      <c r="M102" s="112">
        <f t="shared" si="36"/>
        <v>45.477403985499365</v>
      </c>
      <c r="N102" s="105">
        <f t="shared" si="41"/>
        <v>0</v>
      </c>
      <c r="O102" s="105"/>
      <c r="P102" s="105"/>
      <c r="Q102" s="105"/>
      <c r="R102" s="105"/>
      <c r="S102" s="105"/>
      <c r="T102" s="105">
        <f t="shared" si="37"/>
        <v>22978300</v>
      </c>
      <c r="U102" s="104">
        <f t="shared" si="39"/>
        <v>0</v>
      </c>
      <c r="V102" s="106"/>
      <c r="W102" s="106"/>
      <c r="X102" s="106"/>
      <c r="Y102" s="106"/>
      <c r="Z102" s="106"/>
      <c r="AA102" s="112"/>
      <c r="AB102" s="105">
        <f t="shared" si="38"/>
        <v>10449934.32</v>
      </c>
    </row>
    <row r="103" spans="1:28" s="75" customFormat="1" ht="34.5" customHeight="1" x14ac:dyDescent="0.25">
      <c r="A103" s="1" t="s">
        <v>453</v>
      </c>
      <c r="B103" s="1" t="s">
        <v>454</v>
      </c>
      <c r="C103" s="1" t="s">
        <v>57</v>
      </c>
      <c r="D103" s="38" t="str">
        <f>'дод 5'!C66</f>
        <v>Забезпечення діяльності інших закладів у сфері освіти</v>
      </c>
      <c r="E103" s="101">
        <f t="shared" si="35"/>
        <v>13653300</v>
      </c>
      <c r="F103" s="101">
        <v>13653300</v>
      </c>
      <c r="G103" s="101">
        <v>9562000</v>
      </c>
      <c r="H103" s="101">
        <v>1300700</v>
      </c>
      <c r="I103" s="101"/>
      <c r="J103" s="101">
        <v>6136286.9699999997</v>
      </c>
      <c r="K103" s="101">
        <v>4482022.83</v>
      </c>
      <c r="L103" s="101">
        <v>398054.34</v>
      </c>
      <c r="M103" s="112">
        <f t="shared" si="36"/>
        <v>44.943617806684095</v>
      </c>
      <c r="N103" s="101">
        <f t="shared" si="41"/>
        <v>0</v>
      </c>
      <c r="O103" s="101"/>
      <c r="P103" s="101"/>
      <c r="Q103" s="101"/>
      <c r="R103" s="101"/>
      <c r="S103" s="101"/>
      <c r="T103" s="101">
        <f t="shared" si="37"/>
        <v>13653300</v>
      </c>
      <c r="U103" s="104">
        <f t="shared" si="39"/>
        <v>60692.95</v>
      </c>
      <c r="V103" s="104"/>
      <c r="W103" s="104">
        <v>60692.95</v>
      </c>
      <c r="X103" s="104"/>
      <c r="Y103" s="104"/>
      <c r="Z103" s="104"/>
      <c r="AA103" s="112"/>
      <c r="AB103" s="101">
        <f t="shared" si="38"/>
        <v>6196979.9199999999</v>
      </c>
    </row>
    <row r="104" spans="1:28" s="75" customFormat="1" ht="27.75" customHeight="1" x14ac:dyDescent="0.25">
      <c r="A104" s="1" t="s">
        <v>455</v>
      </c>
      <c r="B104" s="1" t="s">
        <v>456</v>
      </c>
      <c r="C104" s="1" t="s">
        <v>57</v>
      </c>
      <c r="D104" s="38" t="str">
        <f>'дод 5'!C67</f>
        <v>Інші програми та заходи у сфері освіти</v>
      </c>
      <c r="E104" s="101">
        <f t="shared" si="35"/>
        <v>134000</v>
      </c>
      <c r="F104" s="101">
        <v>134000</v>
      </c>
      <c r="G104" s="101"/>
      <c r="H104" s="101"/>
      <c r="I104" s="101"/>
      <c r="J104" s="101">
        <v>46200</v>
      </c>
      <c r="K104" s="101"/>
      <c r="L104" s="101"/>
      <c r="M104" s="112">
        <f t="shared" si="36"/>
        <v>34.477611940298509</v>
      </c>
      <c r="N104" s="101">
        <f t="shared" ref="N104" si="45">P104+S104</f>
        <v>0</v>
      </c>
      <c r="O104" s="101"/>
      <c r="P104" s="101"/>
      <c r="Q104" s="101"/>
      <c r="R104" s="101"/>
      <c r="S104" s="101"/>
      <c r="T104" s="101">
        <f t="shared" ref="T104" si="46">E104+N104</f>
        <v>134000</v>
      </c>
      <c r="U104" s="104">
        <f t="shared" si="39"/>
        <v>0</v>
      </c>
      <c r="V104" s="104"/>
      <c r="W104" s="104"/>
      <c r="X104" s="104"/>
      <c r="Y104" s="104"/>
      <c r="Z104" s="104"/>
      <c r="AA104" s="112"/>
      <c r="AB104" s="101">
        <f t="shared" si="38"/>
        <v>46200</v>
      </c>
    </row>
    <row r="105" spans="1:28" s="75" customFormat="1" ht="35.25" customHeight="1" x14ac:dyDescent="0.25">
      <c r="A105" s="1" t="s">
        <v>457</v>
      </c>
      <c r="B105" s="1" t="s">
        <v>458</v>
      </c>
      <c r="C105" s="1" t="s">
        <v>57</v>
      </c>
      <c r="D105" s="38" t="str">
        <f>'дод 5'!C68</f>
        <v>Забезпечення діяльності інклюзивно-ресурсних центрів за рахунок коштів місцевого бюджету</v>
      </c>
      <c r="E105" s="101">
        <f t="shared" si="35"/>
        <v>174700</v>
      </c>
      <c r="F105" s="101">
        <v>174700</v>
      </c>
      <c r="G105" s="101"/>
      <c r="H105" s="101">
        <v>122400</v>
      </c>
      <c r="I105" s="101"/>
      <c r="J105" s="101">
        <v>80078.33</v>
      </c>
      <c r="K105" s="101"/>
      <c r="L105" s="101">
        <v>73315.679999999993</v>
      </c>
      <c r="M105" s="112">
        <f t="shared" si="36"/>
        <v>45.837624499141391</v>
      </c>
      <c r="N105" s="101">
        <f t="shared" si="41"/>
        <v>0</v>
      </c>
      <c r="O105" s="101"/>
      <c r="P105" s="101"/>
      <c r="Q105" s="101"/>
      <c r="R105" s="101"/>
      <c r="S105" s="101"/>
      <c r="T105" s="101">
        <f t="shared" si="37"/>
        <v>174700</v>
      </c>
      <c r="U105" s="104">
        <f t="shared" si="39"/>
        <v>22010.42</v>
      </c>
      <c r="V105" s="104"/>
      <c r="W105" s="104">
        <v>22010.42</v>
      </c>
      <c r="X105" s="104"/>
      <c r="Y105" s="104"/>
      <c r="Z105" s="104"/>
      <c r="AA105" s="112"/>
      <c r="AB105" s="101">
        <f t="shared" si="38"/>
        <v>102088.75</v>
      </c>
    </row>
    <row r="106" spans="1:28" s="75" customFormat="1" ht="47.25" x14ac:dyDescent="0.25">
      <c r="A106" s="1" t="s">
        <v>460</v>
      </c>
      <c r="B106" s="1" t="s">
        <v>461</v>
      </c>
      <c r="C106" s="1" t="str">
        <f>'дод 5'!B68</f>
        <v>0990</v>
      </c>
      <c r="D106" s="38" t="str">
        <f>'дод 5'!C69</f>
        <v>Забезпечення діяльності інклюзивно-ресурсних центрів за рахунок освітньої субвенції, у т.ч. за рахунок:</v>
      </c>
      <c r="E106" s="101">
        <f t="shared" si="35"/>
        <v>2091775</v>
      </c>
      <c r="F106" s="101">
        <v>2091775</v>
      </c>
      <c r="G106" s="101">
        <v>1714570</v>
      </c>
      <c r="H106" s="101"/>
      <c r="I106" s="101"/>
      <c r="J106" s="101">
        <v>996846.91</v>
      </c>
      <c r="K106" s="101">
        <v>817087.62</v>
      </c>
      <c r="L106" s="101"/>
      <c r="M106" s="112">
        <f t="shared" si="36"/>
        <v>47.655551385784797</v>
      </c>
      <c r="N106" s="101">
        <f t="shared" si="41"/>
        <v>0</v>
      </c>
      <c r="O106" s="101"/>
      <c r="P106" s="101"/>
      <c r="Q106" s="101"/>
      <c r="R106" s="101"/>
      <c r="S106" s="101"/>
      <c r="T106" s="101">
        <f t="shared" si="37"/>
        <v>2091775</v>
      </c>
      <c r="U106" s="104">
        <f t="shared" si="39"/>
        <v>0</v>
      </c>
      <c r="V106" s="104"/>
      <c r="W106" s="104"/>
      <c r="X106" s="104"/>
      <c r="Y106" s="104"/>
      <c r="Z106" s="104"/>
      <c r="AA106" s="112"/>
      <c r="AB106" s="101">
        <f t="shared" si="38"/>
        <v>996846.91</v>
      </c>
    </row>
    <row r="107" spans="1:28" s="5" customFormat="1" ht="47.25" x14ac:dyDescent="0.25">
      <c r="A107" s="41"/>
      <c r="B107" s="41"/>
      <c r="C107" s="41"/>
      <c r="D107" s="39" t="s">
        <v>378</v>
      </c>
      <c r="E107" s="105">
        <f t="shared" si="35"/>
        <v>2091775</v>
      </c>
      <c r="F107" s="105">
        <v>2091775</v>
      </c>
      <c r="G107" s="105">
        <v>1714570</v>
      </c>
      <c r="H107" s="105"/>
      <c r="I107" s="105"/>
      <c r="J107" s="101">
        <v>996846.91</v>
      </c>
      <c r="K107" s="101">
        <v>817087.62</v>
      </c>
      <c r="L107" s="105"/>
      <c r="M107" s="112">
        <f t="shared" si="36"/>
        <v>47.655551385784797</v>
      </c>
      <c r="N107" s="105">
        <f t="shared" si="41"/>
        <v>0</v>
      </c>
      <c r="O107" s="105"/>
      <c r="P107" s="105"/>
      <c r="Q107" s="105"/>
      <c r="R107" s="105"/>
      <c r="S107" s="105"/>
      <c r="T107" s="105">
        <f t="shared" si="37"/>
        <v>2091775</v>
      </c>
      <c r="U107" s="104">
        <f t="shared" si="39"/>
        <v>0</v>
      </c>
      <c r="V107" s="106"/>
      <c r="W107" s="106"/>
      <c r="X107" s="106"/>
      <c r="Y107" s="106"/>
      <c r="Z107" s="106"/>
      <c r="AA107" s="112"/>
      <c r="AB107" s="105">
        <f t="shared" si="38"/>
        <v>996846.91</v>
      </c>
    </row>
    <row r="108" spans="1:28" s="75" customFormat="1" ht="36" customHeight="1" x14ac:dyDescent="0.25">
      <c r="A108" s="1" t="s">
        <v>462</v>
      </c>
      <c r="B108" s="1" t="s">
        <v>463</v>
      </c>
      <c r="C108" s="1" t="str">
        <f>'дод 5'!B69</f>
        <v>0990</v>
      </c>
      <c r="D108" s="38" t="str">
        <f>'дод 5'!C71</f>
        <v>Забезпечення діяльності центрів професійного розвитку педагогічних працівників</v>
      </c>
      <c r="E108" s="101">
        <f t="shared" si="35"/>
        <v>3905000</v>
      </c>
      <c r="F108" s="101">
        <f>3661000+244000</f>
        <v>3905000</v>
      </c>
      <c r="G108" s="101">
        <f>2625000+200000</f>
        <v>2825000</v>
      </c>
      <c r="H108" s="101">
        <v>303800</v>
      </c>
      <c r="I108" s="101"/>
      <c r="J108" s="101">
        <v>1689824.31</v>
      </c>
      <c r="K108" s="101">
        <v>1252950.77</v>
      </c>
      <c r="L108" s="101">
        <v>152110.57999999999</v>
      </c>
      <c r="M108" s="112">
        <f t="shared" si="36"/>
        <v>43.273349807938544</v>
      </c>
      <c r="N108" s="101">
        <f t="shared" si="41"/>
        <v>0</v>
      </c>
      <c r="O108" s="101"/>
      <c r="P108" s="101"/>
      <c r="Q108" s="101"/>
      <c r="R108" s="101"/>
      <c r="S108" s="101"/>
      <c r="T108" s="101">
        <f t="shared" si="37"/>
        <v>3905000</v>
      </c>
      <c r="U108" s="104">
        <f t="shared" si="39"/>
        <v>46761.78</v>
      </c>
      <c r="V108" s="104"/>
      <c r="W108" s="104">
        <v>46761.78</v>
      </c>
      <c r="X108" s="104"/>
      <c r="Y108" s="104"/>
      <c r="Z108" s="104"/>
      <c r="AA108" s="112"/>
      <c r="AB108" s="101">
        <f t="shared" si="38"/>
        <v>1736586.09</v>
      </c>
    </row>
    <row r="109" spans="1:28" s="75" customFormat="1" ht="63" hidden="1" customHeight="1" x14ac:dyDescent="0.25">
      <c r="A109" s="1" t="s">
        <v>523</v>
      </c>
      <c r="B109" s="1" t="s">
        <v>524</v>
      </c>
      <c r="C109" s="1" t="s">
        <v>57</v>
      </c>
      <c r="D109" s="38" t="str">
        <f>'дод 5'!C72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09" s="101">
        <f t="shared" si="35"/>
        <v>0</v>
      </c>
      <c r="F109" s="101"/>
      <c r="G109" s="101"/>
      <c r="H109" s="101"/>
      <c r="I109" s="101"/>
      <c r="J109" s="101"/>
      <c r="K109" s="101"/>
      <c r="L109" s="101"/>
      <c r="M109" s="112" t="e">
        <f t="shared" si="36"/>
        <v>#DIV/0!</v>
      </c>
      <c r="N109" s="101">
        <f t="shared" si="41"/>
        <v>0</v>
      </c>
      <c r="O109" s="101"/>
      <c r="P109" s="101"/>
      <c r="Q109" s="101"/>
      <c r="R109" s="101"/>
      <c r="S109" s="101"/>
      <c r="T109" s="101">
        <f t="shared" si="37"/>
        <v>0</v>
      </c>
      <c r="U109" s="104">
        <f t="shared" si="39"/>
        <v>0</v>
      </c>
      <c r="V109" s="104"/>
      <c r="W109" s="104"/>
      <c r="X109" s="104"/>
      <c r="Y109" s="104"/>
      <c r="Z109" s="104"/>
      <c r="AA109" s="112" t="e">
        <f t="shared" si="40"/>
        <v>#DIV/0!</v>
      </c>
      <c r="AB109" s="101">
        <f t="shared" si="38"/>
        <v>0</v>
      </c>
    </row>
    <row r="110" spans="1:28" s="75" customFormat="1" ht="63" hidden="1" customHeight="1" x14ac:dyDescent="0.25">
      <c r="A110" s="1" t="s">
        <v>514</v>
      </c>
      <c r="B110" s="1" t="s">
        <v>516</v>
      </c>
      <c r="C110" s="1" t="s">
        <v>57</v>
      </c>
      <c r="D110" s="38" t="s">
        <v>543</v>
      </c>
      <c r="E110" s="101">
        <f t="shared" si="35"/>
        <v>0</v>
      </c>
      <c r="F110" s="101"/>
      <c r="G110" s="101"/>
      <c r="H110" s="101"/>
      <c r="I110" s="101"/>
      <c r="J110" s="101"/>
      <c r="K110" s="101"/>
      <c r="L110" s="101"/>
      <c r="M110" s="112" t="e">
        <f t="shared" si="36"/>
        <v>#DIV/0!</v>
      </c>
      <c r="N110" s="101">
        <f t="shared" si="41"/>
        <v>0</v>
      </c>
      <c r="O110" s="101"/>
      <c r="P110" s="101"/>
      <c r="Q110" s="101"/>
      <c r="R110" s="101"/>
      <c r="S110" s="101"/>
      <c r="T110" s="101">
        <f t="shared" si="37"/>
        <v>0</v>
      </c>
      <c r="U110" s="104">
        <f t="shared" si="39"/>
        <v>0</v>
      </c>
      <c r="V110" s="104"/>
      <c r="W110" s="104"/>
      <c r="X110" s="104"/>
      <c r="Y110" s="104"/>
      <c r="Z110" s="104"/>
      <c r="AA110" s="112" t="e">
        <f t="shared" si="40"/>
        <v>#DIV/0!</v>
      </c>
      <c r="AB110" s="101">
        <f t="shared" si="38"/>
        <v>0</v>
      </c>
    </row>
    <row r="111" spans="1:28" s="5" customFormat="1" ht="47.25" hidden="1" customHeight="1" x14ac:dyDescent="0.25">
      <c r="A111" s="41"/>
      <c r="B111" s="41"/>
      <c r="C111" s="41"/>
      <c r="D111" s="39" t="s">
        <v>538</v>
      </c>
      <c r="E111" s="101">
        <f t="shared" si="35"/>
        <v>0</v>
      </c>
      <c r="F111" s="105"/>
      <c r="G111" s="105"/>
      <c r="H111" s="105"/>
      <c r="I111" s="105"/>
      <c r="J111" s="105"/>
      <c r="K111" s="105"/>
      <c r="L111" s="105"/>
      <c r="M111" s="112" t="e">
        <f t="shared" si="36"/>
        <v>#DIV/0!</v>
      </c>
      <c r="N111" s="105">
        <f t="shared" si="41"/>
        <v>0</v>
      </c>
      <c r="O111" s="105"/>
      <c r="P111" s="105"/>
      <c r="Q111" s="105"/>
      <c r="R111" s="105"/>
      <c r="S111" s="105"/>
      <c r="T111" s="105">
        <f t="shared" si="37"/>
        <v>0</v>
      </c>
      <c r="U111" s="104">
        <f t="shared" si="39"/>
        <v>0</v>
      </c>
      <c r="V111" s="106"/>
      <c r="W111" s="106"/>
      <c r="X111" s="106"/>
      <c r="Y111" s="106"/>
      <c r="Z111" s="106"/>
      <c r="AA111" s="112" t="e">
        <f t="shared" si="40"/>
        <v>#DIV/0!</v>
      </c>
      <c r="AB111" s="101">
        <f t="shared" si="38"/>
        <v>0</v>
      </c>
    </row>
    <row r="112" spans="1:28" s="75" customFormat="1" ht="78.75" hidden="1" customHeight="1" x14ac:dyDescent="0.25">
      <c r="A112" s="1" t="s">
        <v>525</v>
      </c>
      <c r="B112" s="1" t="s">
        <v>526</v>
      </c>
      <c r="C112" s="1" t="s">
        <v>57</v>
      </c>
      <c r="D112" s="38" t="str">
        <f>'дод 5'!C75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12" s="101">
        <f t="shared" si="35"/>
        <v>0</v>
      </c>
      <c r="F112" s="101"/>
      <c r="G112" s="101"/>
      <c r="H112" s="101"/>
      <c r="I112" s="101"/>
      <c r="J112" s="101"/>
      <c r="K112" s="101"/>
      <c r="L112" s="101"/>
      <c r="M112" s="112" t="e">
        <f t="shared" si="36"/>
        <v>#DIV/0!</v>
      </c>
      <c r="N112" s="101">
        <f t="shared" si="41"/>
        <v>0</v>
      </c>
      <c r="O112" s="101"/>
      <c r="P112" s="101"/>
      <c r="Q112" s="101"/>
      <c r="R112" s="101"/>
      <c r="S112" s="101"/>
      <c r="T112" s="101">
        <f t="shared" si="37"/>
        <v>0</v>
      </c>
      <c r="U112" s="104">
        <f t="shared" si="39"/>
        <v>0</v>
      </c>
      <c r="V112" s="104"/>
      <c r="W112" s="104"/>
      <c r="X112" s="104"/>
      <c r="Y112" s="104"/>
      <c r="Z112" s="104"/>
      <c r="AA112" s="112" t="e">
        <f t="shared" si="40"/>
        <v>#DIV/0!</v>
      </c>
      <c r="AB112" s="101">
        <f t="shared" si="38"/>
        <v>0</v>
      </c>
    </row>
    <row r="113" spans="1:28" s="75" customFormat="1" ht="15.75" hidden="1" customHeight="1" x14ac:dyDescent="0.25">
      <c r="A113" s="1"/>
      <c r="B113" s="1"/>
      <c r="C113" s="1"/>
      <c r="D113" s="39" t="s">
        <v>388</v>
      </c>
      <c r="E113" s="101">
        <f t="shared" si="35"/>
        <v>0</v>
      </c>
      <c r="F113" s="105"/>
      <c r="G113" s="101"/>
      <c r="H113" s="101"/>
      <c r="I113" s="101"/>
      <c r="J113" s="101"/>
      <c r="K113" s="101"/>
      <c r="L113" s="101"/>
      <c r="M113" s="112" t="e">
        <f t="shared" si="36"/>
        <v>#DIV/0!</v>
      </c>
      <c r="N113" s="105">
        <f t="shared" si="41"/>
        <v>0</v>
      </c>
      <c r="O113" s="101"/>
      <c r="P113" s="101"/>
      <c r="Q113" s="101"/>
      <c r="R113" s="101"/>
      <c r="S113" s="101"/>
      <c r="T113" s="105">
        <f t="shared" si="37"/>
        <v>0</v>
      </c>
      <c r="U113" s="104">
        <f t="shared" si="39"/>
        <v>0</v>
      </c>
      <c r="V113" s="104"/>
      <c r="W113" s="104"/>
      <c r="X113" s="104"/>
      <c r="Y113" s="104"/>
      <c r="Z113" s="104"/>
      <c r="AA113" s="112" t="e">
        <f t="shared" si="40"/>
        <v>#DIV/0!</v>
      </c>
      <c r="AB113" s="101">
        <f t="shared" si="38"/>
        <v>0</v>
      </c>
    </row>
    <row r="114" spans="1:28" s="75" customFormat="1" ht="78.75" hidden="1" customHeight="1" x14ac:dyDescent="0.25">
      <c r="A114" s="1" t="s">
        <v>515</v>
      </c>
      <c r="B114" s="1" t="s">
        <v>517</v>
      </c>
      <c r="C114" s="1" t="s">
        <v>57</v>
      </c>
      <c r="D114" s="38" t="s">
        <v>539</v>
      </c>
      <c r="E114" s="101">
        <f t="shared" si="35"/>
        <v>0</v>
      </c>
      <c r="F114" s="101"/>
      <c r="G114" s="101"/>
      <c r="H114" s="101"/>
      <c r="I114" s="101"/>
      <c r="J114" s="101"/>
      <c r="K114" s="101"/>
      <c r="L114" s="101"/>
      <c r="M114" s="112" t="e">
        <f t="shared" si="36"/>
        <v>#DIV/0!</v>
      </c>
      <c r="N114" s="101">
        <f t="shared" si="41"/>
        <v>0</v>
      </c>
      <c r="O114" s="101"/>
      <c r="P114" s="101"/>
      <c r="Q114" s="101"/>
      <c r="R114" s="101"/>
      <c r="S114" s="101"/>
      <c r="T114" s="101">
        <f t="shared" si="37"/>
        <v>0</v>
      </c>
      <c r="U114" s="104">
        <f t="shared" si="39"/>
        <v>0</v>
      </c>
      <c r="V114" s="104"/>
      <c r="W114" s="104"/>
      <c r="X114" s="104"/>
      <c r="Y114" s="104"/>
      <c r="Z114" s="104"/>
      <c r="AA114" s="112" t="e">
        <f t="shared" si="40"/>
        <v>#DIV/0!</v>
      </c>
      <c r="AB114" s="101">
        <f t="shared" si="38"/>
        <v>0</v>
      </c>
    </row>
    <row r="115" spans="1:28" s="5" customFormat="1" ht="63" hidden="1" customHeight="1" x14ac:dyDescent="0.25">
      <c r="A115" s="41"/>
      <c r="B115" s="41"/>
      <c r="C115" s="41"/>
      <c r="D115" s="39" t="s">
        <v>518</v>
      </c>
      <c r="E115" s="101">
        <f t="shared" si="35"/>
        <v>0</v>
      </c>
      <c r="F115" s="105"/>
      <c r="G115" s="105"/>
      <c r="H115" s="105"/>
      <c r="I115" s="105"/>
      <c r="J115" s="105"/>
      <c r="K115" s="105"/>
      <c r="L115" s="105"/>
      <c r="M115" s="112" t="e">
        <f t="shared" si="36"/>
        <v>#DIV/0!</v>
      </c>
      <c r="N115" s="105">
        <f t="shared" si="41"/>
        <v>0</v>
      </c>
      <c r="O115" s="105"/>
      <c r="P115" s="105"/>
      <c r="Q115" s="105"/>
      <c r="R115" s="105"/>
      <c r="S115" s="105"/>
      <c r="T115" s="105">
        <f t="shared" si="37"/>
        <v>0</v>
      </c>
      <c r="U115" s="104">
        <f t="shared" si="39"/>
        <v>0</v>
      </c>
      <c r="V115" s="106"/>
      <c r="W115" s="106"/>
      <c r="X115" s="106"/>
      <c r="Y115" s="106"/>
      <c r="Z115" s="106"/>
      <c r="AA115" s="112" t="e">
        <f t="shared" si="40"/>
        <v>#DIV/0!</v>
      </c>
      <c r="AB115" s="101">
        <f t="shared" si="38"/>
        <v>0</v>
      </c>
    </row>
    <row r="116" spans="1:28" s="75" customFormat="1" ht="65.25" customHeight="1" x14ac:dyDescent="0.25">
      <c r="A116" s="1" t="s">
        <v>465</v>
      </c>
      <c r="B116" s="1" t="s">
        <v>466</v>
      </c>
      <c r="C116" s="1" t="s">
        <v>57</v>
      </c>
      <c r="D116" s="42" t="s">
        <v>479</v>
      </c>
      <c r="E116" s="101">
        <f t="shared" si="35"/>
        <v>1331125</v>
      </c>
      <c r="F116" s="101">
        <v>1331125</v>
      </c>
      <c r="G116" s="101">
        <v>1091086</v>
      </c>
      <c r="H116" s="101"/>
      <c r="I116" s="101"/>
      <c r="J116" s="101">
        <v>996666.68</v>
      </c>
      <c r="K116" s="101">
        <v>816936.14</v>
      </c>
      <c r="L116" s="101"/>
      <c r="M116" s="112">
        <f t="shared" si="36"/>
        <v>74.874011080852668</v>
      </c>
      <c r="N116" s="101">
        <f t="shared" si="41"/>
        <v>0</v>
      </c>
      <c r="O116" s="101"/>
      <c r="P116" s="101"/>
      <c r="Q116" s="101"/>
      <c r="R116" s="101"/>
      <c r="S116" s="101"/>
      <c r="T116" s="101">
        <f t="shared" si="37"/>
        <v>1331125</v>
      </c>
      <c r="U116" s="104">
        <f t="shared" si="39"/>
        <v>0</v>
      </c>
      <c r="V116" s="104"/>
      <c r="W116" s="104"/>
      <c r="X116" s="104"/>
      <c r="Y116" s="104"/>
      <c r="Z116" s="104"/>
      <c r="AA116" s="112"/>
      <c r="AB116" s="101">
        <f t="shared" si="38"/>
        <v>996666.68</v>
      </c>
    </row>
    <row r="117" spans="1:28" s="5" customFormat="1" ht="63" customHeight="1" x14ac:dyDescent="0.25">
      <c r="A117" s="41"/>
      <c r="B117" s="28"/>
      <c r="C117" s="28"/>
      <c r="D117" s="39" t="s">
        <v>694</v>
      </c>
      <c r="E117" s="105">
        <f t="shared" si="35"/>
        <v>1331125</v>
      </c>
      <c r="F117" s="105">
        <v>1331125</v>
      </c>
      <c r="G117" s="105">
        <v>1091086</v>
      </c>
      <c r="H117" s="105"/>
      <c r="I117" s="105"/>
      <c r="J117" s="105">
        <v>996666.68</v>
      </c>
      <c r="K117" s="105">
        <v>816936.14</v>
      </c>
      <c r="L117" s="105"/>
      <c r="M117" s="112">
        <f t="shared" si="36"/>
        <v>74.874011080852668</v>
      </c>
      <c r="N117" s="105">
        <f t="shared" si="41"/>
        <v>0</v>
      </c>
      <c r="O117" s="105"/>
      <c r="P117" s="105"/>
      <c r="Q117" s="105"/>
      <c r="R117" s="105"/>
      <c r="S117" s="105"/>
      <c r="T117" s="105">
        <f t="shared" si="37"/>
        <v>1331125</v>
      </c>
      <c r="U117" s="104">
        <f t="shared" si="39"/>
        <v>0</v>
      </c>
      <c r="V117" s="106"/>
      <c r="W117" s="106"/>
      <c r="X117" s="106"/>
      <c r="Y117" s="106"/>
      <c r="Z117" s="106"/>
      <c r="AA117" s="112"/>
      <c r="AB117" s="105">
        <f t="shared" si="38"/>
        <v>996666.68</v>
      </c>
    </row>
    <row r="118" spans="1:28" s="5" customFormat="1" ht="70.5" customHeight="1" x14ac:dyDescent="0.25">
      <c r="A118" s="1" t="s">
        <v>486</v>
      </c>
      <c r="B118" s="3">
        <v>1210</v>
      </c>
      <c r="C118" s="1" t="s">
        <v>57</v>
      </c>
      <c r="D118" s="38" t="s">
        <v>487</v>
      </c>
      <c r="E118" s="101">
        <f t="shared" si="35"/>
        <v>714100.24</v>
      </c>
      <c r="F118" s="101">
        <v>714100.24</v>
      </c>
      <c r="G118" s="101">
        <v>585328</v>
      </c>
      <c r="H118" s="105"/>
      <c r="I118" s="105"/>
      <c r="J118" s="105">
        <v>714066.65</v>
      </c>
      <c r="K118" s="105">
        <v>585304.28</v>
      </c>
      <c r="L118" s="105"/>
      <c r="M118" s="112">
        <f t="shared" si="36"/>
        <v>99.995296178586926</v>
      </c>
      <c r="N118" s="101">
        <f t="shared" si="41"/>
        <v>0</v>
      </c>
      <c r="O118" s="105"/>
      <c r="P118" s="105"/>
      <c r="Q118" s="105"/>
      <c r="R118" s="105"/>
      <c r="S118" s="105"/>
      <c r="T118" s="101">
        <f t="shared" si="37"/>
        <v>714100.24</v>
      </c>
      <c r="U118" s="104">
        <f t="shared" si="39"/>
        <v>0</v>
      </c>
      <c r="V118" s="106"/>
      <c r="W118" s="106"/>
      <c r="X118" s="106"/>
      <c r="Y118" s="106"/>
      <c r="Z118" s="106"/>
      <c r="AA118" s="112"/>
      <c r="AB118" s="101">
        <f t="shared" si="38"/>
        <v>714066.65</v>
      </c>
    </row>
    <row r="119" spans="1:28" s="5" customFormat="1" ht="64.5" customHeight="1" x14ac:dyDescent="0.25">
      <c r="A119" s="41"/>
      <c r="B119" s="28"/>
      <c r="C119" s="28"/>
      <c r="D119" s="39" t="s">
        <v>695</v>
      </c>
      <c r="E119" s="105">
        <f t="shared" si="35"/>
        <v>714100.24</v>
      </c>
      <c r="F119" s="105">
        <v>714100.24</v>
      </c>
      <c r="G119" s="105">
        <v>585328</v>
      </c>
      <c r="H119" s="105"/>
      <c r="I119" s="105"/>
      <c r="J119" s="105">
        <v>714066.65</v>
      </c>
      <c r="K119" s="105">
        <v>585304.28</v>
      </c>
      <c r="L119" s="105"/>
      <c r="M119" s="112">
        <f t="shared" si="36"/>
        <v>99.995296178586926</v>
      </c>
      <c r="N119" s="105">
        <f t="shared" si="41"/>
        <v>0</v>
      </c>
      <c r="O119" s="105"/>
      <c r="P119" s="105"/>
      <c r="Q119" s="105"/>
      <c r="R119" s="105"/>
      <c r="S119" s="105"/>
      <c r="T119" s="105">
        <f t="shared" si="37"/>
        <v>714100.24</v>
      </c>
      <c r="U119" s="104">
        <f t="shared" si="39"/>
        <v>0</v>
      </c>
      <c r="V119" s="106"/>
      <c r="W119" s="106"/>
      <c r="X119" s="106"/>
      <c r="Y119" s="106"/>
      <c r="Z119" s="106"/>
      <c r="AA119" s="112"/>
      <c r="AB119" s="105">
        <f t="shared" si="38"/>
        <v>714066.65</v>
      </c>
    </row>
    <row r="120" spans="1:28" s="5" customFormat="1" ht="64.5" hidden="1" customHeight="1" x14ac:dyDescent="0.25">
      <c r="A120" s="1" t="s">
        <v>467</v>
      </c>
      <c r="B120" s="3">
        <v>3140</v>
      </c>
      <c r="C120" s="3">
        <v>1040</v>
      </c>
      <c r="D120" s="4" t="str">
        <f>'дод 5'!C139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20" s="101">
        <f t="shared" si="35"/>
        <v>0</v>
      </c>
      <c r="F120" s="101"/>
      <c r="G120" s="101"/>
      <c r="H120" s="101"/>
      <c r="I120" s="101"/>
      <c r="J120" s="101"/>
      <c r="K120" s="101"/>
      <c r="L120" s="101"/>
      <c r="M120" s="112" t="e">
        <f t="shared" si="36"/>
        <v>#DIV/0!</v>
      </c>
      <c r="N120" s="101">
        <f t="shared" si="41"/>
        <v>0</v>
      </c>
      <c r="O120" s="105"/>
      <c r="P120" s="105"/>
      <c r="Q120" s="105"/>
      <c r="R120" s="105"/>
      <c r="S120" s="105"/>
      <c r="T120" s="101">
        <f t="shared" si="37"/>
        <v>0</v>
      </c>
      <c r="U120" s="104">
        <f t="shared" si="39"/>
        <v>0</v>
      </c>
      <c r="V120" s="106"/>
      <c r="W120" s="106"/>
      <c r="X120" s="106"/>
      <c r="Y120" s="106"/>
      <c r="Z120" s="106"/>
      <c r="AA120" s="112"/>
      <c r="AB120" s="101">
        <f t="shared" si="38"/>
        <v>0</v>
      </c>
    </row>
    <row r="121" spans="1:28" s="5" customFormat="1" ht="69" customHeight="1" x14ac:dyDescent="0.25">
      <c r="A121" s="1" t="s">
        <v>703</v>
      </c>
      <c r="B121" s="3" t="str">
        <f>'дод 5'!A83</f>
        <v>1221</v>
      </c>
      <c r="C121" s="3" t="str">
        <f>'дод 5'!B83</f>
        <v>0990</v>
      </c>
      <c r="D121" s="58" t="str">
        <f>'дод 5'!C83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21" s="101">
        <f t="shared" si="35"/>
        <v>2000000</v>
      </c>
      <c r="F121" s="101">
        <v>2000000</v>
      </c>
      <c r="G121" s="101"/>
      <c r="H121" s="105"/>
      <c r="I121" s="105"/>
      <c r="J121" s="105"/>
      <c r="K121" s="105"/>
      <c r="L121" s="105"/>
      <c r="M121" s="112">
        <f t="shared" si="36"/>
        <v>0</v>
      </c>
      <c r="N121" s="101">
        <f t="shared" si="41"/>
        <v>0</v>
      </c>
      <c r="O121" s="101"/>
      <c r="P121" s="101"/>
      <c r="Q121" s="101"/>
      <c r="R121" s="101"/>
      <c r="S121" s="101"/>
      <c r="T121" s="101">
        <f t="shared" si="37"/>
        <v>2000000</v>
      </c>
      <c r="U121" s="104">
        <f t="shared" si="39"/>
        <v>0</v>
      </c>
      <c r="V121" s="106"/>
      <c r="W121" s="106"/>
      <c r="X121" s="106"/>
      <c r="Y121" s="106"/>
      <c r="Z121" s="106"/>
      <c r="AA121" s="112"/>
      <c r="AB121" s="101">
        <f t="shared" si="38"/>
        <v>0</v>
      </c>
    </row>
    <row r="122" spans="1:28" s="5" customFormat="1" ht="64.5" customHeight="1" x14ac:dyDescent="0.25">
      <c r="A122" s="1" t="s">
        <v>701</v>
      </c>
      <c r="B122" s="3" t="str">
        <f>'дод 5'!A84</f>
        <v>1222</v>
      </c>
      <c r="C122" s="3" t="str">
        <f>'дод 5'!B84</f>
        <v>0990</v>
      </c>
      <c r="D122" s="58" t="str">
        <f>'дод 5'!C84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22" s="101">
        <f t="shared" ref="E122:E123" si="47">F122+I122</f>
        <v>2843700</v>
      </c>
      <c r="F122" s="101">
        <f>2843700</f>
        <v>2843700</v>
      </c>
      <c r="G122" s="101"/>
      <c r="H122" s="105"/>
      <c r="I122" s="105"/>
      <c r="J122" s="105"/>
      <c r="K122" s="105"/>
      <c r="L122" s="105"/>
      <c r="M122" s="112">
        <f t="shared" si="36"/>
        <v>0</v>
      </c>
      <c r="N122" s="101">
        <f t="shared" ref="N122:N123" si="48">P122+S122</f>
        <v>5556300</v>
      </c>
      <c r="O122" s="101">
        <v>5556300</v>
      </c>
      <c r="P122" s="101"/>
      <c r="Q122" s="101"/>
      <c r="R122" s="101"/>
      <c r="S122" s="101">
        <v>5556300</v>
      </c>
      <c r="T122" s="101">
        <f t="shared" ref="T122:T123" si="49">E122+N122</f>
        <v>8400000</v>
      </c>
      <c r="U122" s="104">
        <f t="shared" si="39"/>
        <v>0</v>
      </c>
      <c r="V122" s="106"/>
      <c r="W122" s="106"/>
      <c r="X122" s="106"/>
      <c r="Y122" s="106"/>
      <c r="Z122" s="106"/>
      <c r="AA122" s="112">
        <f t="shared" si="40"/>
        <v>0</v>
      </c>
      <c r="AB122" s="101">
        <f t="shared" si="38"/>
        <v>0</v>
      </c>
    </row>
    <row r="123" spans="1:28" s="5" customFormat="1" ht="64.5" customHeight="1" x14ac:dyDescent="0.25">
      <c r="A123" s="41"/>
      <c r="B123" s="28">
        <f>'дод 5'!A85</f>
        <v>0</v>
      </c>
      <c r="C123" s="28">
        <f>'дод 5'!B85</f>
        <v>0</v>
      </c>
      <c r="D123" s="80" t="str">
        <f>'дод 5'!C85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23" s="105">
        <f t="shared" si="47"/>
        <v>2843700</v>
      </c>
      <c r="F123" s="105">
        <v>2843700</v>
      </c>
      <c r="G123" s="105"/>
      <c r="H123" s="105"/>
      <c r="I123" s="105"/>
      <c r="J123" s="105"/>
      <c r="K123" s="105"/>
      <c r="L123" s="105"/>
      <c r="M123" s="112">
        <f t="shared" si="36"/>
        <v>0</v>
      </c>
      <c r="N123" s="105">
        <f t="shared" si="48"/>
        <v>5556300</v>
      </c>
      <c r="O123" s="105">
        <v>5556300</v>
      </c>
      <c r="P123" s="105"/>
      <c r="Q123" s="105"/>
      <c r="R123" s="105"/>
      <c r="S123" s="105">
        <v>5556300</v>
      </c>
      <c r="T123" s="105">
        <f t="shared" si="49"/>
        <v>8400000</v>
      </c>
      <c r="U123" s="104">
        <f t="shared" si="39"/>
        <v>0</v>
      </c>
      <c r="V123" s="106"/>
      <c r="W123" s="106"/>
      <c r="X123" s="106"/>
      <c r="Y123" s="106"/>
      <c r="Z123" s="106"/>
      <c r="AA123" s="112">
        <f t="shared" si="40"/>
        <v>0</v>
      </c>
      <c r="AB123" s="105">
        <f t="shared" si="38"/>
        <v>0</v>
      </c>
    </row>
    <row r="124" spans="1:28" s="5" customFormat="1" ht="64.5" customHeight="1" x14ac:dyDescent="0.25">
      <c r="A124" s="1" t="s">
        <v>650</v>
      </c>
      <c r="B124" s="3">
        <v>1261</v>
      </c>
      <c r="C124" s="1" t="s">
        <v>57</v>
      </c>
      <c r="D124" s="4" t="s">
        <v>649</v>
      </c>
      <c r="E124" s="101">
        <f t="shared" si="35"/>
        <v>0</v>
      </c>
      <c r="F124" s="101"/>
      <c r="G124" s="101"/>
      <c r="H124" s="101"/>
      <c r="I124" s="101"/>
      <c r="J124" s="101"/>
      <c r="K124" s="101"/>
      <c r="L124" s="101"/>
      <c r="M124" s="112"/>
      <c r="N124" s="101">
        <f t="shared" si="41"/>
        <v>2500000</v>
      </c>
      <c r="O124" s="101">
        <f>1200000+1300000</f>
        <v>2500000</v>
      </c>
      <c r="P124" s="101"/>
      <c r="Q124" s="101"/>
      <c r="R124" s="101"/>
      <c r="S124" s="101">
        <f>1200000+1300000</f>
        <v>2500000</v>
      </c>
      <c r="T124" s="101">
        <f t="shared" si="37"/>
        <v>2500000</v>
      </c>
      <c r="U124" s="104">
        <f t="shared" si="39"/>
        <v>420987.12</v>
      </c>
      <c r="V124" s="106">
        <v>420987.12</v>
      </c>
      <c r="W124" s="106"/>
      <c r="X124" s="106"/>
      <c r="Y124" s="106"/>
      <c r="Z124" s="106">
        <v>420987.12</v>
      </c>
      <c r="AA124" s="112">
        <f t="shared" si="40"/>
        <v>16.839484799999997</v>
      </c>
      <c r="AB124" s="101">
        <f t="shared" si="38"/>
        <v>420987.12</v>
      </c>
    </row>
    <row r="125" spans="1:28" s="5" customFormat="1" ht="64.5" customHeight="1" x14ac:dyDescent="0.25">
      <c r="A125" s="1" t="s">
        <v>651</v>
      </c>
      <c r="B125" s="3">
        <v>1262</v>
      </c>
      <c r="C125" s="1" t="s">
        <v>57</v>
      </c>
      <c r="D125" s="4" t="s">
        <v>708</v>
      </c>
      <c r="E125" s="101">
        <f t="shared" si="35"/>
        <v>0</v>
      </c>
      <c r="F125" s="101"/>
      <c r="G125" s="101"/>
      <c r="H125" s="101"/>
      <c r="I125" s="101"/>
      <c r="J125" s="101"/>
      <c r="K125" s="101"/>
      <c r="L125" s="101"/>
      <c r="M125" s="112"/>
      <c r="N125" s="101">
        <f t="shared" si="41"/>
        <v>0</v>
      </c>
      <c r="O125" s="101"/>
      <c r="P125" s="101"/>
      <c r="Q125" s="101"/>
      <c r="R125" s="101"/>
      <c r="S125" s="101"/>
      <c r="T125" s="101">
        <f t="shared" si="37"/>
        <v>0</v>
      </c>
      <c r="U125" s="104">
        <f t="shared" si="39"/>
        <v>0</v>
      </c>
      <c r="V125" s="106"/>
      <c r="W125" s="106"/>
      <c r="X125" s="106"/>
      <c r="Y125" s="106"/>
      <c r="Z125" s="106"/>
      <c r="AA125" s="112"/>
      <c r="AB125" s="101">
        <f t="shared" si="38"/>
        <v>0</v>
      </c>
    </row>
    <row r="126" spans="1:28" s="5" customFormat="1" ht="64.5" customHeight="1" x14ac:dyDescent="0.25">
      <c r="A126" s="41"/>
      <c r="B126" s="28"/>
      <c r="C126" s="28"/>
      <c r="D126" s="48" t="s">
        <v>652</v>
      </c>
      <c r="E126" s="105">
        <f t="shared" si="35"/>
        <v>0</v>
      </c>
      <c r="F126" s="105"/>
      <c r="G126" s="105"/>
      <c r="H126" s="105"/>
      <c r="I126" s="105"/>
      <c r="J126" s="105"/>
      <c r="K126" s="105"/>
      <c r="L126" s="105"/>
      <c r="M126" s="112"/>
      <c r="N126" s="105">
        <f t="shared" si="41"/>
        <v>0</v>
      </c>
      <c r="O126" s="105"/>
      <c r="P126" s="105"/>
      <c r="Q126" s="105"/>
      <c r="R126" s="105"/>
      <c r="S126" s="105"/>
      <c r="T126" s="105">
        <f t="shared" si="37"/>
        <v>0</v>
      </c>
      <c r="U126" s="104">
        <f t="shared" si="39"/>
        <v>0</v>
      </c>
      <c r="V126" s="106"/>
      <c r="W126" s="106"/>
      <c r="X126" s="106"/>
      <c r="Y126" s="106"/>
      <c r="Z126" s="106"/>
      <c r="AA126" s="112"/>
      <c r="AB126" s="105">
        <f t="shared" si="38"/>
        <v>0</v>
      </c>
    </row>
    <row r="127" spans="1:28" s="5" customFormat="1" ht="110.25" x14ac:dyDescent="0.25">
      <c r="A127" s="1" t="s">
        <v>696</v>
      </c>
      <c r="B127" s="3">
        <v>1291</v>
      </c>
      <c r="C127" s="1" t="s">
        <v>57</v>
      </c>
      <c r="D127" s="4" t="s">
        <v>697</v>
      </c>
      <c r="E127" s="101">
        <f t="shared" si="35"/>
        <v>0</v>
      </c>
      <c r="F127" s="101"/>
      <c r="G127" s="101"/>
      <c r="H127" s="101"/>
      <c r="I127" s="101"/>
      <c r="J127" s="101"/>
      <c r="K127" s="101"/>
      <c r="L127" s="101"/>
      <c r="M127" s="112"/>
      <c r="N127" s="101">
        <f t="shared" si="41"/>
        <v>3097872</v>
      </c>
      <c r="O127" s="101">
        <v>3097872</v>
      </c>
      <c r="P127" s="101"/>
      <c r="Q127" s="101"/>
      <c r="R127" s="101"/>
      <c r="S127" s="101">
        <v>3097872</v>
      </c>
      <c r="T127" s="101">
        <f t="shared" si="37"/>
        <v>3097872</v>
      </c>
      <c r="U127" s="104">
        <f t="shared" si="39"/>
        <v>0</v>
      </c>
      <c r="V127" s="106"/>
      <c r="W127" s="106"/>
      <c r="X127" s="106"/>
      <c r="Y127" s="106"/>
      <c r="Z127" s="106"/>
      <c r="AA127" s="112">
        <f t="shared" si="40"/>
        <v>0</v>
      </c>
      <c r="AB127" s="101">
        <f t="shared" si="38"/>
        <v>0</v>
      </c>
    </row>
    <row r="128" spans="1:28" s="5" customFormat="1" ht="94.5" x14ac:dyDescent="0.25">
      <c r="A128" s="1" t="s">
        <v>691</v>
      </c>
      <c r="B128" s="3" t="str">
        <f>'дод 5'!A90</f>
        <v>1292</v>
      </c>
      <c r="C128" s="3" t="str">
        <f>'дод 5'!B90</f>
        <v>0990</v>
      </c>
      <c r="D128" s="58" t="str">
        <f>'дод 5'!C90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28" s="101">
        <f t="shared" ref="E128:E129" si="50">F128+I128</f>
        <v>0</v>
      </c>
      <c r="F128" s="101"/>
      <c r="G128" s="101"/>
      <c r="H128" s="101"/>
      <c r="I128" s="101"/>
      <c r="J128" s="101"/>
      <c r="K128" s="101"/>
      <c r="L128" s="101"/>
      <c r="M128" s="112"/>
      <c r="N128" s="101">
        <f t="shared" ref="N128:N129" si="51">P128+S128</f>
        <v>7490430</v>
      </c>
      <c r="O128" s="101"/>
      <c r="P128" s="101">
        <v>262064</v>
      </c>
      <c r="Q128" s="101"/>
      <c r="R128" s="101"/>
      <c r="S128" s="101">
        <f>7228366</f>
        <v>7228366</v>
      </c>
      <c r="T128" s="101">
        <f t="shared" ref="T128:T129" si="52">E128+N128</f>
        <v>7490430</v>
      </c>
      <c r="U128" s="104">
        <f t="shared" si="39"/>
        <v>0</v>
      </c>
      <c r="V128" s="106"/>
      <c r="W128" s="106"/>
      <c r="X128" s="106"/>
      <c r="Y128" s="106"/>
      <c r="Z128" s="106"/>
      <c r="AA128" s="112">
        <f t="shared" si="40"/>
        <v>0</v>
      </c>
      <c r="AB128" s="101">
        <f t="shared" si="38"/>
        <v>0</v>
      </c>
    </row>
    <row r="129" spans="1:28" s="5" customFormat="1" ht="64.5" customHeight="1" x14ac:dyDescent="0.25">
      <c r="A129" s="41"/>
      <c r="B129" s="28"/>
      <c r="C129" s="28"/>
      <c r="D129" s="39" t="s">
        <v>504</v>
      </c>
      <c r="E129" s="105">
        <f t="shared" si="50"/>
        <v>0</v>
      </c>
      <c r="F129" s="105"/>
      <c r="G129" s="105"/>
      <c r="H129" s="105"/>
      <c r="I129" s="105"/>
      <c r="J129" s="105"/>
      <c r="K129" s="105"/>
      <c r="L129" s="105"/>
      <c r="M129" s="112"/>
      <c r="N129" s="105">
        <f t="shared" si="51"/>
        <v>7490430</v>
      </c>
      <c r="O129" s="105"/>
      <c r="P129" s="105">
        <v>262064</v>
      </c>
      <c r="Q129" s="105"/>
      <c r="R129" s="105"/>
      <c r="S129" s="105">
        <f>7228366</f>
        <v>7228366</v>
      </c>
      <c r="T129" s="105">
        <f t="shared" si="52"/>
        <v>7490430</v>
      </c>
      <c r="U129" s="104">
        <f t="shared" si="39"/>
        <v>0</v>
      </c>
      <c r="V129" s="106"/>
      <c r="W129" s="106"/>
      <c r="X129" s="106"/>
      <c r="Y129" s="106"/>
      <c r="Z129" s="106"/>
      <c r="AA129" s="112">
        <f t="shared" si="40"/>
        <v>0</v>
      </c>
      <c r="AB129" s="105">
        <f t="shared" si="38"/>
        <v>0</v>
      </c>
    </row>
    <row r="130" spans="1:28" s="5" customFormat="1" ht="64.5" hidden="1" customHeight="1" x14ac:dyDescent="0.25">
      <c r="A130" s="1" t="s">
        <v>467</v>
      </c>
      <c r="B130" s="3">
        <v>3140</v>
      </c>
      <c r="C130" s="3">
        <v>1040</v>
      </c>
      <c r="D130" s="4" t="s">
        <v>20</v>
      </c>
      <c r="E130" s="101">
        <f t="shared" si="35"/>
        <v>0</v>
      </c>
      <c r="F130" s="101">
        <f>2000000-2000000</f>
        <v>0</v>
      </c>
      <c r="G130" s="101"/>
      <c r="H130" s="101"/>
      <c r="I130" s="101"/>
      <c r="J130" s="101"/>
      <c r="K130" s="101"/>
      <c r="L130" s="101"/>
      <c r="M130" s="112" t="e">
        <f t="shared" si="36"/>
        <v>#DIV/0!</v>
      </c>
      <c r="N130" s="105">
        <f t="shared" si="41"/>
        <v>0</v>
      </c>
      <c r="O130" s="105"/>
      <c r="P130" s="105"/>
      <c r="Q130" s="105"/>
      <c r="R130" s="105"/>
      <c r="S130" s="105"/>
      <c r="T130" s="101">
        <f t="shared" si="37"/>
        <v>0</v>
      </c>
      <c r="U130" s="104">
        <f t="shared" si="39"/>
        <v>0</v>
      </c>
      <c r="V130" s="106"/>
      <c r="W130" s="106"/>
      <c r="X130" s="106"/>
      <c r="Y130" s="106"/>
      <c r="Z130" s="106"/>
      <c r="AA130" s="112" t="e">
        <f t="shared" si="40"/>
        <v>#DIV/0!</v>
      </c>
      <c r="AB130" s="101">
        <f t="shared" si="38"/>
        <v>0</v>
      </c>
    </row>
    <row r="131" spans="1:28" s="5" customFormat="1" ht="31.5" x14ac:dyDescent="0.25">
      <c r="A131" s="1" t="s">
        <v>468</v>
      </c>
      <c r="B131" s="3">
        <v>3242</v>
      </c>
      <c r="C131" s="3">
        <v>1090</v>
      </c>
      <c r="D131" s="38" t="s">
        <v>400</v>
      </c>
      <c r="E131" s="101">
        <f t="shared" si="35"/>
        <v>65200</v>
      </c>
      <c r="F131" s="101">
        <v>65200</v>
      </c>
      <c r="G131" s="101"/>
      <c r="H131" s="101"/>
      <c r="I131" s="101"/>
      <c r="J131" s="101">
        <v>34390</v>
      </c>
      <c r="K131" s="101"/>
      <c r="L131" s="101"/>
      <c r="M131" s="112">
        <f t="shared" si="36"/>
        <v>52.745398773006137</v>
      </c>
      <c r="N131" s="101">
        <f t="shared" si="41"/>
        <v>0</v>
      </c>
      <c r="O131" s="105"/>
      <c r="P131" s="105"/>
      <c r="Q131" s="105"/>
      <c r="R131" s="105"/>
      <c r="S131" s="105"/>
      <c r="T131" s="101">
        <f t="shared" si="37"/>
        <v>65200</v>
      </c>
      <c r="U131" s="104">
        <f t="shared" si="39"/>
        <v>0</v>
      </c>
      <c r="V131" s="106"/>
      <c r="W131" s="106"/>
      <c r="X131" s="106"/>
      <c r="Y131" s="106"/>
      <c r="Z131" s="106"/>
      <c r="AA131" s="112"/>
      <c r="AB131" s="101">
        <f t="shared" si="38"/>
        <v>34390</v>
      </c>
    </row>
    <row r="132" spans="1:28" s="5" customFormat="1" ht="31.5" x14ac:dyDescent="0.25">
      <c r="A132" s="1" t="s">
        <v>470</v>
      </c>
      <c r="B132" s="3">
        <v>5031</v>
      </c>
      <c r="C132" s="1" t="s">
        <v>79</v>
      </c>
      <c r="D132" s="40" t="str">
        <f>'дод 5'!C171</f>
        <v>Утримання та навчально-тренувальна робота комунальних дитячо-юнацьких спортивних шкіл</v>
      </c>
      <c r="E132" s="101">
        <f t="shared" si="35"/>
        <v>14100800</v>
      </c>
      <c r="F132" s="101">
        <f>14114800-70000+56000</f>
        <v>14100800</v>
      </c>
      <c r="G132" s="101">
        <v>10443800</v>
      </c>
      <c r="H132" s="101">
        <v>457500</v>
      </c>
      <c r="I132" s="101"/>
      <c r="J132" s="101">
        <v>6521364.8399999999</v>
      </c>
      <c r="K132" s="101">
        <v>5028587.38</v>
      </c>
      <c r="L132" s="101">
        <v>256626.3</v>
      </c>
      <c r="M132" s="112">
        <f t="shared" si="36"/>
        <v>46.248190457279023</v>
      </c>
      <c r="N132" s="101">
        <f t="shared" si="41"/>
        <v>0</v>
      </c>
      <c r="O132" s="101"/>
      <c r="P132" s="105"/>
      <c r="Q132" s="105"/>
      <c r="R132" s="105"/>
      <c r="S132" s="101"/>
      <c r="T132" s="101">
        <f t="shared" si="37"/>
        <v>14100800</v>
      </c>
      <c r="U132" s="104">
        <f t="shared" si="39"/>
        <v>2550.8000000000002</v>
      </c>
      <c r="V132" s="106"/>
      <c r="W132" s="106">
        <v>2550.8000000000002</v>
      </c>
      <c r="X132" s="106"/>
      <c r="Y132" s="106"/>
      <c r="Z132" s="106"/>
      <c r="AA132" s="112"/>
      <c r="AB132" s="101">
        <f t="shared" si="38"/>
        <v>6523915.6399999997</v>
      </c>
    </row>
    <row r="133" spans="1:28" s="5" customFormat="1" ht="23.25" hidden="1" customHeight="1" x14ac:dyDescent="0.25">
      <c r="A133" s="41"/>
      <c r="B133" s="28"/>
      <c r="C133" s="41"/>
      <c r="D133" s="39" t="s">
        <v>388</v>
      </c>
      <c r="E133" s="101">
        <f t="shared" si="35"/>
        <v>0</v>
      </c>
      <c r="F133" s="105"/>
      <c r="G133" s="105"/>
      <c r="H133" s="105"/>
      <c r="I133" s="105"/>
      <c r="J133" s="105"/>
      <c r="K133" s="105"/>
      <c r="L133" s="105"/>
      <c r="M133" s="112" t="e">
        <f t="shared" si="36"/>
        <v>#DIV/0!</v>
      </c>
      <c r="N133" s="105">
        <f t="shared" si="41"/>
        <v>0</v>
      </c>
      <c r="O133" s="105"/>
      <c r="P133" s="105"/>
      <c r="Q133" s="105"/>
      <c r="R133" s="105"/>
      <c r="S133" s="105"/>
      <c r="T133" s="105">
        <f t="shared" si="37"/>
        <v>0</v>
      </c>
      <c r="U133" s="104">
        <f t="shared" si="39"/>
        <v>0</v>
      </c>
      <c r="V133" s="106"/>
      <c r="W133" s="106"/>
      <c r="X133" s="106"/>
      <c r="Y133" s="106"/>
      <c r="Z133" s="106"/>
      <c r="AA133" s="112" t="e">
        <f t="shared" si="40"/>
        <v>#DIV/0!</v>
      </c>
      <c r="AB133" s="101">
        <f t="shared" si="38"/>
        <v>0</v>
      </c>
    </row>
    <row r="134" spans="1:28" s="5" customFormat="1" ht="42" hidden="1" customHeight="1" x14ac:dyDescent="0.25">
      <c r="A134" s="1" t="s">
        <v>471</v>
      </c>
      <c r="B134" s="3">
        <v>7321</v>
      </c>
      <c r="C134" s="1" t="s">
        <v>110</v>
      </c>
      <c r="D134" s="4" t="str">
        <f>'дод 5'!C208</f>
        <v>Будівництво1 освітніх установ та закладів</v>
      </c>
      <c r="E134" s="101">
        <f t="shared" si="35"/>
        <v>0</v>
      </c>
      <c r="F134" s="101"/>
      <c r="G134" s="101"/>
      <c r="H134" s="101"/>
      <c r="I134" s="101"/>
      <c r="J134" s="101"/>
      <c r="K134" s="101"/>
      <c r="L134" s="101"/>
      <c r="M134" s="112" t="e">
        <f t="shared" si="36"/>
        <v>#DIV/0!</v>
      </c>
      <c r="N134" s="101">
        <f t="shared" si="41"/>
        <v>0</v>
      </c>
      <c r="O134" s="101"/>
      <c r="P134" s="101"/>
      <c r="Q134" s="101"/>
      <c r="R134" s="101"/>
      <c r="S134" s="101"/>
      <c r="T134" s="101">
        <f t="shared" si="37"/>
        <v>0</v>
      </c>
      <c r="U134" s="104">
        <f t="shared" si="39"/>
        <v>0</v>
      </c>
      <c r="V134" s="106"/>
      <c r="W134" s="106"/>
      <c r="X134" s="106"/>
      <c r="Y134" s="106"/>
      <c r="Z134" s="106"/>
      <c r="AA134" s="112" t="e">
        <f t="shared" si="40"/>
        <v>#DIV/0!</v>
      </c>
      <c r="AB134" s="101">
        <f t="shared" si="38"/>
        <v>0</v>
      </c>
    </row>
    <row r="135" spans="1:28" s="5" customFormat="1" ht="21" hidden="1" customHeight="1" x14ac:dyDescent="0.25">
      <c r="A135" s="1"/>
      <c r="B135" s="3"/>
      <c r="C135" s="1"/>
      <c r="D135" s="39" t="s">
        <v>388</v>
      </c>
      <c r="E135" s="101">
        <f t="shared" si="35"/>
        <v>0</v>
      </c>
      <c r="F135" s="101"/>
      <c r="G135" s="101"/>
      <c r="H135" s="101"/>
      <c r="I135" s="101"/>
      <c r="J135" s="101"/>
      <c r="K135" s="101"/>
      <c r="L135" s="101"/>
      <c r="M135" s="112" t="e">
        <f t="shared" si="36"/>
        <v>#DIV/0!</v>
      </c>
      <c r="N135" s="105">
        <f t="shared" si="41"/>
        <v>0</v>
      </c>
      <c r="O135" s="105"/>
      <c r="P135" s="101"/>
      <c r="Q135" s="101"/>
      <c r="R135" s="101"/>
      <c r="S135" s="105"/>
      <c r="T135" s="105">
        <f t="shared" si="37"/>
        <v>0</v>
      </c>
      <c r="U135" s="104">
        <f t="shared" si="39"/>
        <v>0</v>
      </c>
      <c r="V135" s="106"/>
      <c r="W135" s="106"/>
      <c r="X135" s="106"/>
      <c r="Y135" s="106"/>
      <c r="Z135" s="106"/>
      <c r="AA135" s="112" t="e">
        <f t="shared" si="40"/>
        <v>#DIV/0!</v>
      </c>
      <c r="AB135" s="101">
        <f t="shared" si="38"/>
        <v>0</v>
      </c>
    </row>
    <row r="136" spans="1:28" s="5" customFormat="1" ht="47.25" hidden="1" customHeight="1" x14ac:dyDescent="0.25">
      <c r="A136" s="1" t="s">
        <v>511</v>
      </c>
      <c r="B136" s="3">
        <v>7363</v>
      </c>
      <c r="C136" s="1" t="s">
        <v>81</v>
      </c>
      <c r="D136" s="4" t="s">
        <v>570</v>
      </c>
      <c r="E136" s="101">
        <f t="shared" si="35"/>
        <v>0</v>
      </c>
      <c r="F136" s="101"/>
      <c r="G136" s="101"/>
      <c r="H136" s="101"/>
      <c r="I136" s="101"/>
      <c r="J136" s="101"/>
      <c r="K136" s="101"/>
      <c r="L136" s="101"/>
      <c r="M136" s="112" t="e">
        <f t="shared" si="36"/>
        <v>#DIV/0!</v>
      </c>
      <c r="N136" s="101">
        <f t="shared" si="41"/>
        <v>0</v>
      </c>
      <c r="O136" s="101"/>
      <c r="P136" s="101"/>
      <c r="Q136" s="101"/>
      <c r="R136" s="101"/>
      <c r="S136" s="101"/>
      <c r="T136" s="101">
        <f t="shared" si="37"/>
        <v>0</v>
      </c>
      <c r="U136" s="104">
        <f t="shared" si="39"/>
        <v>0</v>
      </c>
      <c r="V136" s="106"/>
      <c r="W136" s="106"/>
      <c r="X136" s="106"/>
      <c r="Y136" s="106"/>
      <c r="Z136" s="106"/>
      <c r="AA136" s="112" t="e">
        <f t="shared" si="40"/>
        <v>#DIV/0!</v>
      </c>
      <c r="AB136" s="101">
        <f t="shared" si="38"/>
        <v>0</v>
      </c>
    </row>
    <row r="137" spans="1:28" s="5" customFormat="1" ht="36.75" hidden="1" customHeight="1" x14ac:dyDescent="0.25">
      <c r="A137" s="41"/>
      <c r="B137" s="28"/>
      <c r="C137" s="41"/>
      <c r="D137" s="48" t="s">
        <v>599</v>
      </c>
      <c r="E137" s="101">
        <f t="shared" si="35"/>
        <v>0</v>
      </c>
      <c r="F137" s="105"/>
      <c r="G137" s="105"/>
      <c r="H137" s="105"/>
      <c r="I137" s="105"/>
      <c r="J137" s="105"/>
      <c r="K137" s="105"/>
      <c r="L137" s="105"/>
      <c r="M137" s="112" t="e">
        <f t="shared" si="36"/>
        <v>#DIV/0!</v>
      </c>
      <c r="N137" s="105">
        <f t="shared" si="41"/>
        <v>0</v>
      </c>
      <c r="O137" s="105"/>
      <c r="P137" s="105"/>
      <c r="Q137" s="105"/>
      <c r="R137" s="105"/>
      <c r="S137" s="105"/>
      <c r="T137" s="105">
        <f t="shared" si="37"/>
        <v>0</v>
      </c>
      <c r="U137" s="104">
        <f t="shared" si="39"/>
        <v>0</v>
      </c>
      <c r="V137" s="106"/>
      <c r="W137" s="106"/>
      <c r="X137" s="106"/>
      <c r="Y137" s="106"/>
      <c r="Z137" s="106"/>
      <c r="AA137" s="112" t="e">
        <f t="shared" si="40"/>
        <v>#DIV/0!</v>
      </c>
      <c r="AB137" s="101">
        <f t="shared" si="38"/>
        <v>0</v>
      </c>
    </row>
    <row r="138" spans="1:28" s="5" customFormat="1" ht="94.5" x14ac:dyDescent="0.25">
      <c r="A138" s="1" t="s">
        <v>681</v>
      </c>
      <c r="B138" s="3">
        <v>7384</v>
      </c>
      <c r="C138" s="1" t="s">
        <v>81</v>
      </c>
      <c r="D138" s="40" t="s">
        <v>682</v>
      </c>
      <c r="E138" s="101">
        <f t="shared" ref="E138" si="53">F138+I138</f>
        <v>0</v>
      </c>
      <c r="F138" s="101">
        <v>0</v>
      </c>
      <c r="G138" s="101">
        <v>0</v>
      </c>
      <c r="H138" s="101">
        <v>0</v>
      </c>
      <c r="I138" s="101"/>
      <c r="J138" s="101"/>
      <c r="K138" s="101"/>
      <c r="L138" s="101"/>
      <c r="M138" s="112"/>
      <c r="N138" s="101">
        <f t="shared" ref="N138" si="54">P138+S138</f>
        <v>51527652.659999996</v>
      </c>
      <c r="O138" s="101"/>
      <c r="P138" s="105"/>
      <c r="Q138" s="105"/>
      <c r="R138" s="105"/>
      <c r="S138" s="101">
        <v>51527652.659999996</v>
      </c>
      <c r="T138" s="101">
        <f t="shared" ref="T138" si="55">E138+N138</f>
        <v>51527652.659999996</v>
      </c>
      <c r="U138" s="104">
        <f t="shared" si="39"/>
        <v>11116585.039999999</v>
      </c>
      <c r="V138" s="106"/>
      <c r="W138" s="106"/>
      <c r="X138" s="106"/>
      <c r="Y138" s="106"/>
      <c r="Z138" s="106">
        <v>11116585.039999999</v>
      </c>
      <c r="AA138" s="112">
        <f t="shared" si="40"/>
        <v>21.574017961484991</v>
      </c>
      <c r="AB138" s="101">
        <f t="shared" si="38"/>
        <v>11116585.039999999</v>
      </c>
    </row>
    <row r="139" spans="1:28" s="5" customFormat="1" ht="118.9" customHeight="1" x14ac:dyDescent="0.25">
      <c r="A139" s="41"/>
      <c r="B139" s="28"/>
      <c r="C139" s="41"/>
      <c r="D139" s="48" t="s">
        <v>686</v>
      </c>
      <c r="E139" s="105">
        <f t="shared" ref="E139" si="56">F139+I139</f>
        <v>0</v>
      </c>
      <c r="F139" s="105">
        <v>0</v>
      </c>
      <c r="G139" s="105">
        <v>0</v>
      </c>
      <c r="H139" s="105">
        <v>0</v>
      </c>
      <c r="I139" s="105"/>
      <c r="J139" s="105"/>
      <c r="K139" s="105"/>
      <c r="L139" s="105"/>
      <c r="M139" s="112"/>
      <c r="N139" s="105">
        <f t="shared" ref="N139" si="57">P139+S139</f>
        <v>51527652.659999996</v>
      </c>
      <c r="O139" s="105"/>
      <c r="P139" s="105"/>
      <c r="Q139" s="105"/>
      <c r="R139" s="105"/>
      <c r="S139" s="105">
        <v>51527652.659999996</v>
      </c>
      <c r="T139" s="105">
        <f t="shared" ref="T139" si="58">E139+N139</f>
        <v>51527652.659999996</v>
      </c>
      <c r="U139" s="104">
        <f t="shared" si="39"/>
        <v>11116585.039999999</v>
      </c>
      <c r="V139" s="106"/>
      <c r="W139" s="106"/>
      <c r="X139" s="106"/>
      <c r="Y139" s="106"/>
      <c r="Z139" s="106">
        <v>11116585.039999999</v>
      </c>
      <c r="AA139" s="119">
        <f t="shared" si="40"/>
        <v>21.574017961484991</v>
      </c>
      <c r="AB139" s="105">
        <f t="shared" si="38"/>
        <v>11116585.039999999</v>
      </c>
    </row>
    <row r="140" spans="1:28" s="75" customFormat="1" ht="27.75" hidden="1" customHeight="1" x14ac:dyDescent="0.25">
      <c r="A140" s="1" t="s">
        <v>596</v>
      </c>
      <c r="B140" s="24" t="s">
        <v>236</v>
      </c>
      <c r="C140" s="24" t="s">
        <v>81</v>
      </c>
      <c r="D140" s="40" t="s">
        <v>17</v>
      </c>
      <c r="E140" s="101">
        <f t="shared" si="35"/>
        <v>0</v>
      </c>
      <c r="F140" s="101"/>
      <c r="G140" s="101"/>
      <c r="H140" s="101"/>
      <c r="I140" s="101"/>
      <c r="J140" s="101"/>
      <c r="K140" s="101"/>
      <c r="L140" s="101"/>
      <c r="M140" s="112" t="e">
        <f t="shared" si="36"/>
        <v>#DIV/0!</v>
      </c>
      <c r="N140" s="101">
        <f t="shared" ref="N140" si="59">P140+S140</f>
        <v>0</v>
      </c>
      <c r="O140" s="105"/>
      <c r="P140" s="105"/>
      <c r="Q140" s="105"/>
      <c r="R140" s="105"/>
      <c r="S140" s="105"/>
      <c r="T140" s="101">
        <f t="shared" ref="T140" si="60">E140+N140</f>
        <v>0</v>
      </c>
      <c r="U140" s="104">
        <f t="shared" si="39"/>
        <v>0</v>
      </c>
      <c r="V140" s="104"/>
      <c r="W140" s="104"/>
      <c r="X140" s="104"/>
      <c r="Y140" s="104"/>
      <c r="Z140" s="104"/>
      <c r="AA140" s="112" t="e">
        <f t="shared" si="40"/>
        <v>#DIV/0!</v>
      </c>
      <c r="AB140" s="101">
        <f t="shared" si="38"/>
        <v>0</v>
      </c>
    </row>
    <row r="141" spans="1:28" s="5" customFormat="1" ht="24" customHeight="1" x14ac:dyDescent="0.25">
      <c r="A141" s="1" t="s">
        <v>472</v>
      </c>
      <c r="B141" s="3">
        <v>7640</v>
      </c>
      <c r="C141" s="1" t="s">
        <v>85</v>
      </c>
      <c r="D141" s="40" t="s">
        <v>410</v>
      </c>
      <c r="E141" s="101">
        <f t="shared" si="35"/>
        <v>766560</v>
      </c>
      <c r="F141" s="101">
        <v>766560</v>
      </c>
      <c r="G141" s="101"/>
      <c r="H141" s="101"/>
      <c r="I141" s="101"/>
      <c r="J141" s="101"/>
      <c r="K141" s="101"/>
      <c r="L141" s="101"/>
      <c r="M141" s="112">
        <f t="shared" si="36"/>
        <v>0</v>
      </c>
      <c r="N141" s="101">
        <f>P141+S141</f>
        <v>95289467</v>
      </c>
      <c r="O141" s="101">
        <f>71289467+24000000</f>
        <v>95289467</v>
      </c>
      <c r="P141" s="101"/>
      <c r="Q141" s="101"/>
      <c r="R141" s="101"/>
      <c r="S141" s="101">
        <f>71289467+24000000</f>
        <v>95289467</v>
      </c>
      <c r="T141" s="101">
        <f t="shared" si="37"/>
        <v>96056027</v>
      </c>
      <c r="U141" s="104">
        <f t="shared" si="39"/>
        <v>8838959.4900000002</v>
      </c>
      <c r="V141" s="106">
        <v>8838959.4900000002</v>
      </c>
      <c r="W141" s="106"/>
      <c r="X141" s="106"/>
      <c r="Y141" s="106"/>
      <c r="Z141" s="106">
        <v>8838959.4900000002</v>
      </c>
      <c r="AA141" s="112">
        <f t="shared" si="40"/>
        <v>9.2759040094116596</v>
      </c>
      <c r="AB141" s="101">
        <f t="shared" si="38"/>
        <v>8838959.4900000002</v>
      </c>
    </row>
    <row r="142" spans="1:28" s="5" customFormat="1" ht="47.25" hidden="1" customHeight="1" x14ac:dyDescent="0.25">
      <c r="A142" s="1" t="s">
        <v>475</v>
      </c>
      <c r="B142" s="3">
        <v>7700</v>
      </c>
      <c r="C142" s="1" t="s">
        <v>92</v>
      </c>
      <c r="D142" s="40" t="s">
        <v>356</v>
      </c>
      <c r="E142" s="101">
        <f t="shared" si="35"/>
        <v>0</v>
      </c>
      <c r="F142" s="101"/>
      <c r="G142" s="101"/>
      <c r="H142" s="101"/>
      <c r="I142" s="101"/>
      <c r="J142" s="101"/>
      <c r="K142" s="101"/>
      <c r="L142" s="101"/>
      <c r="M142" s="112" t="e">
        <f t="shared" si="36"/>
        <v>#DIV/0!</v>
      </c>
      <c r="N142" s="101">
        <f t="shared" si="41"/>
        <v>0</v>
      </c>
      <c r="O142" s="101"/>
      <c r="P142" s="101"/>
      <c r="Q142" s="101"/>
      <c r="R142" s="101"/>
      <c r="S142" s="101"/>
      <c r="T142" s="101">
        <f t="shared" si="37"/>
        <v>0</v>
      </c>
      <c r="U142" s="104">
        <f t="shared" si="39"/>
        <v>0</v>
      </c>
      <c r="V142" s="106"/>
      <c r="W142" s="106"/>
      <c r="X142" s="106"/>
      <c r="Y142" s="106"/>
      <c r="Z142" s="106"/>
      <c r="AA142" s="112" t="e">
        <f t="shared" si="40"/>
        <v>#DIV/0!</v>
      </c>
      <c r="AB142" s="101">
        <f t="shared" si="38"/>
        <v>0</v>
      </c>
    </row>
    <row r="143" spans="1:28" s="5" customFormat="1" ht="47.25" hidden="1" customHeight="1" x14ac:dyDescent="0.25">
      <c r="A143" s="1" t="s">
        <v>596</v>
      </c>
      <c r="B143" s="3" t="str">
        <f>'дод 5'!A259</f>
        <v>7693</v>
      </c>
      <c r="C143" s="3" t="str">
        <f>'дод 5'!B259</f>
        <v>0490</v>
      </c>
      <c r="D143" s="58" t="str">
        <f>'дод 5'!C259</f>
        <v>Інші заходи, пов'язані з економічною діяльністю</v>
      </c>
      <c r="E143" s="101">
        <f t="shared" si="35"/>
        <v>0</v>
      </c>
      <c r="F143" s="106"/>
      <c r="G143" s="101"/>
      <c r="H143" s="101"/>
      <c r="I143" s="101"/>
      <c r="J143" s="101"/>
      <c r="K143" s="101"/>
      <c r="L143" s="101"/>
      <c r="M143" s="112" t="e">
        <f t="shared" si="36"/>
        <v>#DIV/0!</v>
      </c>
      <c r="N143" s="101">
        <f t="shared" si="41"/>
        <v>0</v>
      </c>
      <c r="O143" s="101"/>
      <c r="P143" s="101"/>
      <c r="Q143" s="101"/>
      <c r="R143" s="101"/>
      <c r="S143" s="101"/>
      <c r="T143" s="101">
        <f t="shared" si="37"/>
        <v>0</v>
      </c>
      <c r="U143" s="104">
        <f t="shared" si="39"/>
        <v>0</v>
      </c>
      <c r="V143" s="106"/>
      <c r="W143" s="106"/>
      <c r="X143" s="106"/>
      <c r="Y143" s="106"/>
      <c r="Z143" s="106"/>
      <c r="AA143" s="112" t="e">
        <f t="shared" si="40"/>
        <v>#DIV/0!</v>
      </c>
      <c r="AB143" s="101">
        <f t="shared" si="38"/>
        <v>0</v>
      </c>
    </row>
    <row r="144" spans="1:28" s="5" customFormat="1" ht="65.25" hidden="1" customHeight="1" x14ac:dyDescent="0.25">
      <c r="A144" s="1" t="s">
        <v>475</v>
      </c>
      <c r="B144" s="3">
        <f>'дод 5'!A260</f>
        <v>7700</v>
      </c>
      <c r="C144" s="3" t="str">
        <f>'дод 5'!B260</f>
        <v>0133</v>
      </c>
      <c r="D144" s="58" t="str">
        <f>'дод 5'!C260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44" s="101">
        <f t="shared" si="35"/>
        <v>0</v>
      </c>
      <c r="F144" s="106"/>
      <c r="G144" s="101"/>
      <c r="H144" s="101"/>
      <c r="I144" s="101"/>
      <c r="J144" s="101"/>
      <c r="K144" s="101"/>
      <c r="L144" s="101"/>
      <c r="M144" s="112" t="e">
        <f t="shared" si="36"/>
        <v>#DIV/0!</v>
      </c>
      <c r="N144" s="101">
        <f>P144+S144</f>
        <v>0</v>
      </c>
      <c r="O144" s="101"/>
      <c r="P144" s="101"/>
      <c r="Q144" s="101"/>
      <c r="R144" s="101"/>
      <c r="S144" s="101"/>
      <c r="T144" s="101">
        <f t="shared" si="37"/>
        <v>0</v>
      </c>
      <c r="U144" s="104">
        <f t="shared" si="39"/>
        <v>0</v>
      </c>
      <c r="V144" s="106"/>
      <c r="W144" s="106"/>
      <c r="X144" s="106"/>
      <c r="Y144" s="106"/>
      <c r="Z144" s="106"/>
      <c r="AA144" s="112" t="e">
        <f t="shared" si="40"/>
        <v>#DIV/0!</v>
      </c>
      <c r="AB144" s="101">
        <f t="shared" si="38"/>
        <v>0</v>
      </c>
    </row>
    <row r="145" spans="1:28" s="5" customFormat="1" ht="23.25" hidden="1" customHeight="1" x14ac:dyDescent="0.25">
      <c r="A145" s="1"/>
      <c r="B145" s="3"/>
      <c r="C145" s="3"/>
      <c r="D145" s="39" t="s">
        <v>621</v>
      </c>
      <c r="E145" s="101">
        <f t="shared" si="35"/>
        <v>0</v>
      </c>
      <c r="F145" s="106"/>
      <c r="G145" s="101"/>
      <c r="H145" s="101"/>
      <c r="I145" s="101"/>
      <c r="J145" s="101"/>
      <c r="K145" s="101"/>
      <c r="L145" s="101"/>
      <c r="M145" s="112" t="e">
        <f t="shared" ref="M145:M208" si="61">J145/E145*100</f>
        <v>#DIV/0!</v>
      </c>
      <c r="N145" s="105">
        <f>P145+S145</f>
        <v>0</v>
      </c>
      <c r="O145" s="101"/>
      <c r="P145" s="105"/>
      <c r="Q145" s="101"/>
      <c r="R145" s="101"/>
      <c r="S145" s="105"/>
      <c r="T145" s="105">
        <f t="shared" si="37"/>
        <v>0</v>
      </c>
      <c r="U145" s="104">
        <f t="shared" si="39"/>
        <v>0</v>
      </c>
      <c r="V145" s="106"/>
      <c r="W145" s="106"/>
      <c r="X145" s="106"/>
      <c r="Y145" s="106"/>
      <c r="Z145" s="106"/>
      <c r="AA145" s="112" t="e">
        <f t="shared" ref="AA145:AA201" si="62">U145/N145*100</f>
        <v>#DIV/0!</v>
      </c>
      <c r="AB145" s="101">
        <f t="shared" ref="AB145:AB208" si="63">U145+J145</f>
        <v>0</v>
      </c>
    </row>
    <row r="146" spans="1:28" s="5" customFormat="1" ht="47.25" customHeight="1" x14ac:dyDescent="0.25">
      <c r="A146" s="1" t="s">
        <v>642</v>
      </c>
      <c r="B146" s="3">
        <v>8240</v>
      </c>
      <c r="C146" s="3" t="str">
        <f>'дод 5'!B271</f>
        <v>0380</v>
      </c>
      <c r="D146" s="58" t="str">
        <f>'дод 5'!C271</f>
        <v>Заходи та роботи з територіальної оборони</v>
      </c>
      <c r="E146" s="101">
        <f t="shared" si="35"/>
        <v>14820000</v>
      </c>
      <c r="F146" s="108">
        <v>14820000</v>
      </c>
      <c r="G146" s="101"/>
      <c r="H146" s="101">
        <v>1860000</v>
      </c>
      <c r="I146" s="101"/>
      <c r="J146" s="101">
        <v>5527536.3099999996</v>
      </c>
      <c r="K146" s="101"/>
      <c r="L146" s="101">
        <v>780822.92</v>
      </c>
      <c r="M146" s="112">
        <f t="shared" si="61"/>
        <v>37.297815856950066</v>
      </c>
      <c r="N146" s="101">
        <f t="shared" si="41"/>
        <v>0</v>
      </c>
      <c r="O146" s="101"/>
      <c r="P146" s="101"/>
      <c r="Q146" s="101"/>
      <c r="R146" s="101"/>
      <c r="S146" s="101"/>
      <c r="T146" s="101">
        <f t="shared" si="37"/>
        <v>14820000</v>
      </c>
      <c r="U146" s="104">
        <f t="shared" ref="U146:U147" si="64">W146+Z146</f>
        <v>269235.01</v>
      </c>
      <c r="V146" s="106"/>
      <c r="W146" s="106">
        <v>269235.01</v>
      </c>
      <c r="X146" s="106"/>
      <c r="Y146" s="106"/>
      <c r="Z146" s="106"/>
      <c r="AA146" s="112"/>
      <c r="AB146" s="101">
        <f t="shared" si="63"/>
        <v>5796771.3199999994</v>
      </c>
    </row>
    <row r="147" spans="1:28" s="5" customFormat="1" ht="36" customHeight="1" x14ac:dyDescent="0.25">
      <c r="A147" s="1" t="s">
        <v>473</v>
      </c>
      <c r="B147" s="3">
        <v>8340</v>
      </c>
      <c r="C147" s="1" t="s">
        <v>91</v>
      </c>
      <c r="D147" s="40" t="str">
        <f>'дод 5'!C275</f>
        <v>Природоохоронні заходи за рахунок цільових фондів</v>
      </c>
      <c r="E147" s="101">
        <f t="shared" si="35"/>
        <v>0</v>
      </c>
      <c r="F147" s="101"/>
      <c r="G147" s="101"/>
      <c r="H147" s="101"/>
      <c r="I147" s="101"/>
      <c r="J147" s="101"/>
      <c r="K147" s="101"/>
      <c r="L147" s="101"/>
      <c r="M147" s="112"/>
      <c r="N147" s="101">
        <f t="shared" si="41"/>
        <v>681500</v>
      </c>
      <c r="O147" s="101"/>
      <c r="P147" s="101">
        <v>539500</v>
      </c>
      <c r="Q147" s="101"/>
      <c r="R147" s="101"/>
      <c r="S147" s="101">
        <v>142000</v>
      </c>
      <c r="T147" s="101">
        <f t="shared" si="37"/>
        <v>681500</v>
      </c>
      <c r="U147" s="104">
        <f t="shared" si="64"/>
        <v>62365.5</v>
      </c>
      <c r="V147" s="106"/>
      <c r="W147" s="106">
        <v>62365.5</v>
      </c>
      <c r="X147" s="106"/>
      <c r="Y147" s="106"/>
      <c r="Z147" s="106"/>
      <c r="AA147" s="112">
        <f t="shared" si="62"/>
        <v>9.1512105649303006</v>
      </c>
      <c r="AB147" s="101">
        <f t="shared" si="63"/>
        <v>62365.5</v>
      </c>
    </row>
    <row r="148" spans="1:28" s="5" customFormat="1" ht="47.25" hidden="1" customHeight="1" x14ac:dyDescent="0.25">
      <c r="A148" s="1" t="s">
        <v>497</v>
      </c>
      <c r="B148" s="3">
        <v>9320</v>
      </c>
      <c r="C148" s="1" t="s">
        <v>44</v>
      </c>
      <c r="D148" s="4" t="s">
        <v>540</v>
      </c>
      <c r="E148" s="101">
        <f t="shared" ref="E148:E151" si="65">F148+I148</f>
        <v>0</v>
      </c>
      <c r="F148" s="101"/>
      <c r="G148" s="101"/>
      <c r="H148" s="101"/>
      <c r="I148" s="101"/>
      <c r="J148" s="101"/>
      <c r="K148" s="101"/>
      <c r="L148" s="101"/>
      <c r="M148" s="112" t="e">
        <f t="shared" si="61"/>
        <v>#DIV/0!</v>
      </c>
      <c r="N148" s="101">
        <f t="shared" si="41"/>
        <v>0</v>
      </c>
      <c r="O148" s="101"/>
      <c r="P148" s="101"/>
      <c r="Q148" s="101"/>
      <c r="R148" s="101"/>
      <c r="S148" s="101"/>
      <c r="T148" s="101">
        <f t="shared" si="37"/>
        <v>0</v>
      </c>
      <c r="U148" s="106"/>
      <c r="V148" s="106"/>
      <c r="W148" s="106"/>
      <c r="X148" s="106"/>
      <c r="Y148" s="106"/>
      <c r="Z148" s="106"/>
      <c r="AA148" s="112" t="e">
        <f t="shared" si="62"/>
        <v>#DIV/0!</v>
      </c>
      <c r="AB148" s="101">
        <f t="shared" si="63"/>
        <v>0</v>
      </c>
    </row>
    <row r="149" spans="1:28" s="5" customFormat="1" ht="31.5" hidden="1" customHeight="1" x14ac:dyDescent="0.25">
      <c r="A149" s="41"/>
      <c r="B149" s="28"/>
      <c r="C149" s="41"/>
      <c r="D149" s="39" t="s">
        <v>493</v>
      </c>
      <c r="E149" s="105">
        <f t="shared" si="65"/>
        <v>0</v>
      </c>
      <c r="F149" s="105"/>
      <c r="G149" s="105"/>
      <c r="H149" s="105"/>
      <c r="I149" s="105"/>
      <c r="J149" s="105"/>
      <c r="K149" s="105"/>
      <c r="L149" s="105"/>
      <c r="M149" s="112" t="e">
        <f t="shared" si="61"/>
        <v>#DIV/0!</v>
      </c>
      <c r="N149" s="105">
        <f t="shared" si="41"/>
        <v>0</v>
      </c>
      <c r="O149" s="105"/>
      <c r="P149" s="105"/>
      <c r="Q149" s="105"/>
      <c r="R149" s="105"/>
      <c r="S149" s="105"/>
      <c r="T149" s="105">
        <f t="shared" si="37"/>
        <v>0</v>
      </c>
      <c r="U149" s="106"/>
      <c r="V149" s="106"/>
      <c r="W149" s="106"/>
      <c r="X149" s="106"/>
      <c r="Y149" s="106"/>
      <c r="Z149" s="106"/>
      <c r="AA149" s="112" t="e">
        <f t="shared" si="62"/>
        <v>#DIV/0!</v>
      </c>
      <c r="AB149" s="101">
        <f t="shared" si="63"/>
        <v>0</v>
      </c>
    </row>
    <row r="150" spans="1:28" s="5" customFormat="1" ht="22.5" hidden="1" customHeight="1" x14ac:dyDescent="0.25">
      <c r="A150" s="1" t="s">
        <v>474</v>
      </c>
      <c r="B150" s="3">
        <v>9770</v>
      </c>
      <c r="C150" s="1" t="s">
        <v>44</v>
      </c>
      <c r="D150" s="4" t="str">
        <f>'дод 5'!C296</f>
        <v>Інші субвенції з місцевого бюджету</v>
      </c>
      <c r="E150" s="101">
        <f t="shared" ref="E150" si="66">F150+I150</f>
        <v>0</v>
      </c>
      <c r="F150" s="101"/>
      <c r="G150" s="101"/>
      <c r="H150" s="101"/>
      <c r="I150" s="101"/>
      <c r="J150" s="101"/>
      <c r="K150" s="101"/>
      <c r="L150" s="101"/>
      <c r="M150" s="112" t="e">
        <f t="shared" si="61"/>
        <v>#DIV/0!</v>
      </c>
      <c r="N150" s="101">
        <f t="shared" ref="N150" si="67">P150+S150</f>
        <v>0</v>
      </c>
      <c r="O150" s="101"/>
      <c r="P150" s="101"/>
      <c r="Q150" s="101"/>
      <c r="R150" s="101"/>
      <c r="S150" s="101"/>
      <c r="T150" s="101">
        <f t="shared" ref="T150" si="68">E150+N150</f>
        <v>0</v>
      </c>
      <c r="U150" s="106"/>
      <c r="V150" s="106"/>
      <c r="W150" s="106"/>
      <c r="X150" s="106"/>
      <c r="Y150" s="106"/>
      <c r="Z150" s="106"/>
      <c r="AA150" s="112" t="e">
        <f t="shared" si="62"/>
        <v>#DIV/0!</v>
      </c>
      <c r="AB150" s="101">
        <f t="shared" si="63"/>
        <v>0</v>
      </c>
    </row>
    <row r="151" spans="1:28" s="5" customFormat="1" ht="48.75" hidden="1" customHeight="1" x14ac:dyDescent="0.25">
      <c r="A151" s="1" t="s">
        <v>489</v>
      </c>
      <c r="B151" s="3">
        <v>9800</v>
      </c>
      <c r="C151" s="1" t="s">
        <v>44</v>
      </c>
      <c r="D151" s="4" t="s">
        <v>361</v>
      </c>
      <c r="E151" s="101">
        <f t="shared" si="65"/>
        <v>0</v>
      </c>
      <c r="F151" s="101"/>
      <c r="G151" s="101"/>
      <c r="H151" s="101"/>
      <c r="I151" s="101"/>
      <c r="J151" s="101"/>
      <c r="K151" s="101"/>
      <c r="L151" s="101"/>
      <c r="M151" s="112" t="e">
        <f t="shared" si="61"/>
        <v>#DIV/0!</v>
      </c>
      <c r="N151" s="101">
        <f t="shared" si="41"/>
        <v>0</v>
      </c>
      <c r="O151" s="101"/>
      <c r="P151" s="101"/>
      <c r="Q151" s="101"/>
      <c r="R151" s="101"/>
      <c r="S151" s="101"/>
      <c r="T151" s="101">
        <f t="shared" si="37"/>
        <v>0</v>
      </c>
      <c r="U151" s="106"/>
      <c r="V151" s="106"/>
      <c r="W151" s="106"/>
      <c r="X151" s="106"/>
      <c r="Y151" s="106"/>
      <c r="Z151" s="106"/>
      <c r="AA151" s="112" t="e">
        <f t="shared" si="62"/>
        <v>#DIV/0!</v>
      </c>
      <c r="AB151" s="101">
        <f t="shared" si="63"/>
        <v>0</v>
      </c>
    </row>
    <row r="152" spans="1:28" s="74" customFormat="1" ht="33.75" customHeight="1" x14ac:dyDescent="0.25">
      <c r="A152" s="61" t="s">
        <v>166</v>
      </c>
      <c r="B152" s="33"/>
      <c r="C152" s="33"/>
      <c r="D152" s="59" t="s">
        <v>441</v>
      </c>
      <c r="E152" s="100">
        <f>E153</f>
        <v>124638940</v>
      </c>
      <c r="F152" s="100">
        <f t="shared" ref="F152:Z152" si="69">F153</f>
        <v>124638940</v>
      </c>
      <c r="G152" s="100">
        <f t="shared" si="69"/>
        <v>5280100</v>
      </c>
      <c r="H152" s="100">
        <f t="shared" si="69"/>
        <v>226600</v>
      </c>
      <c r="I152" s="100">
        <f t="shared" si="69"/>
        <v>0</v>
      </c>
      <c r="J152" s="100">
        <f t="shared" si="69"/>
        <v>54546173.910000004</v>
      </c>
      <c r="K152" s="100">
        <f t="shared" si="69"/>
        <v>2532911.56</v>
      </c>
      <c r="L152" s="100">
        <f t="shared" si="69"/>
        <v>109211.72</v>
      </c>
      <c r="M152" s="117">
        <f t="shared" si="61"/>
        <v>43.76334868541084</v>
      </c>
      <c r="N152" s="100">
        <f t="shared" si="69"/>
        <v>81763003.349999994</v>
      </c>
      <c r="O152" s="100">
        <f t="shared" si="69"/>
        <v>81463814</v>
      </c>
      <c r="P152" s="100">
        <f t="shared" si="69"/>
        <v>61189.35</v>
      </c>
      <c r="Q152" s="100">
        <f t="shared" si="69"/>
        <v>0</v>
      </c>
      <c r="R152" s="100">
        <f t="shared" si="69"/>
        <v>0</v>
      </c>
      <c r="S152" s="100">
        <f t="shared" si="69"/>
        <v>81701814</v>
      </c>
      <c r="T152" s="100">
        <f t="shared" si="69"/>
        <v>206401943.34999999</v>
      </c>
      <c r="U152" s="100">
        <f t="shared" si="69"/>
        <v>50856803.840000004</v>
      </c>
      <c r="V152" s="100">
        <f t="shared" si="69"/>
        <v>50665734.840000004</v>
      </c>
      <c r="W152" s="100">
        <f t="shared" si="69"/>
        <v>191069</v>
      </c>
      <c r="X152" s="100">
        <f t="shared" si="69"/>
        <v>0</v>
      </c>
      <c r="Y152" s="100">
        <f t="shared" si="69"/>
        <v>0</v>
      </c>
      <c r="Z152" s="100">
        <f t="shared" si="69"/>
        <v>50665734.840000004</v>
      </c>
      <c r="AA152" s="117">
        <f t="shared" si="62"/>
        <v>62.200263880106121</v>
      </c>
      <c r="AB152" s="100">
        <f t="shared" si="63"/>
        <v>105402977.75</v>
      </c>
    </row>
    <row r="153" spans="1:28" s="9" customFormat="1" ht="33" customHeight="1" x14ac:dyDescent="0.25">
      <c r="A153" s="6" t="s">
        <v>167</v>
      </c>
      <c r="B153" s="7"/>
      <c r="C153" s="7"/>
      <c r="D153" s="8" t="s">
        <v>702</v>
      </c>
      <c r="E153" s="102">
        <f>E163+E164+E170+E173+E175+E177+E180+E181+E182+E183+E184+E186+E189+E191+E169+E172+E192</f>
        <v>124638940</v>
      </c>
      <c r="F153" s="102">
        <f t="shared" ref="F153:Z153" si="70">F163+F164+F170+F173+F175+F177+F180+F181+F182+F183+F184+F186+F189+F191+F169+F172+F192</f>
        <v>124638940</v>
      </c>
      <c r="G153" s="102">
        <f t="shared" si="70"/>
        <v>5280100</v>
      </c>
      <c r="H153" s="102">
        <f t="shared" si="70"/>
        <v>226600</v>
      </c>
      <c r="I153" s="102">
        <f t="shared" si="70"/>
        <v>0</v>
      </c>
      <c r="J153" s="102">
        <f t="shared" si="70"/>
        <v>54546173.910000004</v>
      </c>
      <c r="K153" s="102">
        <f t="shared" si="70"/>
        <v>2532911.56</v>
      </c>
      <c r="L153" s="102">
        <f t="shared" si="70"/>
        <v>109211.72</v>
      </c>
      <c r="M153" s="118">
        <f t="shared" si="61"/>
        <v>43.76334868541084</v>
      </c>
      <c r="N153" s="102">
        <f t="shared" si="70"/>
        <v>81763003.349999994</v>
      </c>
      <c r="O153" s="102">
        <f t="shared" si="70"/>
        <v>81463814</v>
      </c>
      <c r="P153" s="102">
        <f t="shared" si="70"/>
        <v>61189.35</v>
      </c>
      <c r="Q153" s="102">
        <f t="shared" si="70"/>
        <v>0</v>
      </c>
      <c r="R153" s="102">
        <f t="shared" si="70"/>
        <v>0</v>
      </c>
      <c r="S153" s="102">
        <f t="shared" si="70"/>
        <v>81701814</v>
      </c>
      <c r="T153" s="102">
        <f t="shared" si="70"/>
        <v>206401943.34999999</v>
      </c>
      <c r="U153" s="102">
        <f t="shared" si="70"/>
        <v>50856803.840000004</v>
      </c>
      <c r="V153" s="102">
        <f t="shared" si="70"/>
        <v>50665734.840000004</v>
      </c>
      <c r="W153" s="102">
        <f t="shared" si="70"/>
        <v>191069</v>
      </c>
      <c r="X153" s="102">
        <f t="shared" si="70"/>
        <v>0</v>
      </c>
      <c r="Y153" s="102">
        <f t="shared" si="70"/>
        <v>0</v>
      </c>
      <c r="Z153" s="102">
        <f t="shared" si="70"/>
        <v>50665734.840000004</v>
      </c>
      <c r="AA153" s="118">
        <f t="shared" si="62"/>
        <v>62.200263880106121</v>
      </c>
      <c r="AB153" s="102">
        <f t="shared" si="63"/>
        <v>105402977.75</v>
      </c>
    </row>
    <row r="154" spans="1:28" s="9" customFormat="1" ht="94.5" hidden="1" customHeight="1" x14ac:dyDescent="0.25">
      <c r="A154" s="6"/>
      <c r="B154" s="7"/>
      <c r="C154" s="7"/>
      <c r="D154" s="8" t="s">
        <v>600</v>
      </c>
      <c r="E154" s="102">
        <f>E168</f>
        <v>0</v>
      </c>
      <c r="F154" s="102">
        <f t="shared" ref="F154:Z154" si="71">F168</f>
        <v>0</v>
      </c>
      <c r="G154" s="102">
        <f t="shared" si="71"/>
        <v>0</v>
      </c>
      <c r="H154" s="102">
        <f t="shared" si="71"/>
        <v>0</v>
      </c>
      <c r="I154" s="102">
        <f t="shared" si="71"/>
        <v>0</v>
      </c>
      <c r="J154" s="102">
        <f t="shared" si="71"/>
        <v>0</v>
      </c>
      <c r="K154" s="102">
        <f t="shared" si="71"/>
        <v>0</v>
      </c>
      <c r="L154" s="102">
        <f t="shared" si="71"/>
        <v>0</v>
      </c>
      <c r="M154" s="118" t="e">
        <f t="shared" si="61"/>
        <v>#DIV/0!</v>
      </c>
      <c r="N154" s="102">
        <f t="shared" si="71"/>
        <v>0</v>
      </c>
      <c r="O154" s="102">
        <f t="shared" si="71"/>
        <v>0</v>
      </c>
      <c r="P154" s="102">
        <f t="shared" si="71"/>
        <v>0</v>
      </c>
      <c r="Q154" s="102">
        <f t="shared" si="71"/>
        <v>0</v>
      </c>
      <c r="R154" s="102">
        <f t="shared" si="71"/>
        <v>0</v>
      </c>
      <c r="S154" s="102">
        <f t="shared" si="71"/>
        <v>0</v>
      </c>
      <c r="T154" s="102">
        <f t="shared" si="71"/>
        <v>0</v>
      </c>
      <c r="U154" s="102">
        <f t="shared" si="71"/>
        <v>0</v>
      </c>
      <c r="V154" s="102">
        <f t="shared" si="71"/>
        <v>0</v>
      </c>
      <c r="W154" s="102">
        <f t="shared" si="71"/>
        <v>0</v>
      </c>
      <c r="X154" s="102">
        <f t="shared" si="71"/>
        <v>0</v>
      </c>
      <c r="Y154" s="102">
        <f t="shared" si="71"/>
        <v>0</v>
      </c>
      <c r="Z154" s="102">
        <f t="shared" si="71"/>
        <v>0</v>
      </c>
      <c r="AA154" s="118" t="e">
        <f t="shared" si="62"/>
        <v>#DIV/0!</v>
      </c>
      <c r="AB154" s="105">
        <f t="shared" si="63"/>
        <v>0</v>
      </c>
    </row>
    <row r="155" spans="1:28" s="9" customFormat="1" ht="31.5" hidden="1" customHeight="1" x14ac:dyDescent="0.25">
      <c r="A155" s="6"/>
      <c r="B155" s="7"/>
      <c r="C155" s="7"/>
      <c r="D155" s="8" t="s">
        <v>384</v>
      </c>
      <c r="E155" s="102">
        <f>E165+E171+E174</f>
        <v>0</v>
      </c>
      <c r="F155" s="102">
        <f t="shared" ref="F155:Z155" si="72">F165+F171+F174</f>
        <v>0</v>
      </c>
      <c r="G155" s="102">
        <f t="shared" si="72"/>
        <v>0</v>
      </c>
      <c r="H155" s="102">
        <f t="shared" si="72"/>
        <v>0</v>
      </c>
      <c r="I155" s="102">
        <f t="shared" si="72"/>
        <v>0</v>
      </c>
      <c r="J155" s="102">
        <f t="shared" si="72"/>
        <v>0</v>
      </c>
      <c r="K155" s="102">
        <f t="shared" si="72"/>
        <v>0</v>
      </c>
      <c r="L155" s="102">
        <f t="shared" si="72"/>
        <v>0</v>
      </c>
      <c r="M155" s="118" t="e">
        <f t="shared" si="61"/>
        <v>#DIV/0!</v>
      </c>
      <c r="N155" s="102">
        <f t="shared" si="72"/>
        <v>0</v>
      </c>
      <c r="O155" s="102">
        <f t="shared" si="72"/>
        <v>0</v>
      </c>
      <c r="P155" s="102">
        <f t="shared" si="72"/>
        <v>0</v>
      </c>
      <c r="Q155" s="102">
        <f t="shared" si="72"/>
        <v>0</v>
      </c>
      <c r="R155" s="102">
        <f t="shared" si="72"/>
        <v>0</v>
      </c>
      <c r="S155" s="102">
        <f t="shared" si="72"/>
        <v>0</v>
      </c>
      <c r="T155" s="102">
        <f t="shared" si="72"/>
        <v>0</v>
      </c>
      <c r="U155" s="102">
        <f t="shared" si="72"/>
        <v>0</v>
      </c>
      <c r="V155" s="102">
        <f t="shared" si="72"/>
        <v>0</v>
      </c>
      <c r="W155" s="102">
        <f t="shared" si="72"/>
        <v>0</v>
      </c>
      <c r="X155" s="102">
        <f t="shared" si="72"/>
        <v>0</v>
      </c>
      <c r="Y155" s="102">
        <f t="shared" si="72"/>
        <v>0</v>
      </c>
      <c r="Z155" s="102">
        <f t="shared" si="72"/>
        <v>0</v>
      </c>
      <c r="AA155" s="118" t="e">
        <f t="shared" si="62"/>
        <v>#DIV/0!</v>
      </c>
      <c r="AB155" s="105">
        <f t="shared" si="63"/>
        <v>0</v>
      </c>
    </row>
    <row r="156" spans="1:28" s="9" customFormat="1" ht="57" hidden="1" customHeight="1" x14ac:dyDescent="0.25">
      <c r="A156" s="6"/>
      <c r="B156" s="7"/>
      <c r="C156" s="7"/>
      <c r="D156" s="8" t="s">
        <v>382</v>
      </c>
      <c r="E156" s="102">
        <f>E185</f>
        <v>0</v>
      </c>
      <c r="F156" s="102">
        <f t="shared" ref="F156:Z156" si="73">F185</f>
        <v>0</v>
      </c>
      <c r="G156" s="102">
        <f t="shared" si="73"/>
        <v>0</v>
      </c>
      <c r="H156" s="102">
        <f t="shared" si="73"/>
        <v>0</v>
      </c>
      <c r="I156" s="102">
        <f t="shared" si="73"/>
        <v>0</v>
      </c>
      <c r="J156" s="102">
        <f t="shared" si="73"/>
        <v>0</v>
      </c>
      <c r="K156" s="102">
        <f t="shared" si="73"/>
        <v>0</v>
      </c>
      <c r="L156" s="102">
        <f t="shared" si="73"/>
        <v>0</v>
      </c>
      <c r="M156" s="118" t="e">
        <f t="shared" si="61"/>
        <v>#DIV/0!</v>
      </c>
      <c r="N156" s="102">
        <f t="shared" si="73"/>
        <v>0</v>
      </c>
      <c r="O156" s="102">
        <f t="shared" si="73"/>
        <v>0</v>
      </c>
      <c r="P156" s="102">
        <f t="shared" si="73"/>
        <v>0</v>
      </c>
      <c r="Q156" s="102">
        <f t="shared" si="73"/>
        <v>0</v>
      </c>
      <c r="R156" s="102">
        <f t="shared" si="73"/>
        <v>0</v>
      </c>
      <c r="S156" s="102">
        <f t="shared" si="73"/>
        <v>0</v>
      </c>
      <c r="T156" s="102">
        <f t="shared" si="73"/>
        <v>0</v>
      </c>
      <c r="U156" s="102">
        <f t="shared" si="73"/>
        <v>0</v>
      </c>
      <c r="V156" s="102">
        <f t="shared" si="73"/>
        <v>0</v>
      </c>
      <c r="W156" s="102">
        <f t="shared" si="73"/>
        <v>0</v>
      </c>
      <c r="X156" s="102">
        <f t="shared" si="73"/>
        <v>0</v>
      </c>
      <c r="Y156" s="102">
        <f t="shared" si="73"/>
        <v>0</v>
      </c>
      <c r="Z156" s="102">
        <f t="shared" si="73"/>
        <v>0</v>
      </c>
      <c r="AA156" s="118" t="e">
        <f t="shared" si="62"/>
        <v>#DIV/0!</v>
      </c>
      <c r="AB156" s="105">
        <f t="shared" si="63"/>
        <v>0</v>
      </c>
    </row>
    <row r="157" spans="1:28" s="9" customFormat="1" ht="47.25" hidden="1" customHeight="1" x14ac:dyDescent="0.25">
      <c r="A157" s="6"/>
      <c r="B157" s="7"/>
      <c r="C157" s="7"/>
      <c r="D157" s="8" t="s">
        <v>385</v>
      </c>
      <c r="E157" s="102">
        <f>E166+E178</f>
        <v>0</v>
      </c>
      <c r="F157" s="102">
        <f t="shared" ref="F157:Z157" si="74">F166+F178</f>
        <v>0</v>
      </c>
      <c r="G157" s="102">
        <f t="shared" si="74"/>
        <v>0</v>
      </c>
      <c r="H157" s="102">
        <f t="shared" si="74"/>
        <v>0</v>
      </c>
      <c r="I157" s="102">
        <f t="shared" si="74"/>
        <v>0</v>
      </c>
      <c r="J157" s="102">
        <f t="shared" si="74"/>
        <v>0</v>
      </c>
      <c r="K157" s="102">
        <f t="shared" si="74"/>
        <v>0</v>
      </c>
      <c r="L157" s="102">
        <f t="shared" si="74"/>
        <v>0</v>
      </c>
      <c r="M157" s="118" t="e">
        <f t="shared" si="61"/>
        <v>#DIV/0!</v>
      </c>
      <c r="N157" s="102">
        <f t="shared" si="74"/>
        <v>0</v>
      </c>
      <c r="O157" s="102">
        <f t="shared" si="74"/>
        <v>0</v>
      </c>
      <c r="P157" s="102">
        <f t="shared" si="74"/>
        <v>0</v>
      </c>
      <c r="Q157" s="102">
        <f t="shared" si="74"/>
        <v>0</v>
      </c>
      <c r="R157" s="102">
        <f t="shared" si="74"/>
        <v>0</v>
      </c>
      <c r="S157" s="102">
        <f t="shared" si="74"/>
        <v>0</v>
      </c>
      <c r="T157" s="102">
        <f t="shared" si="74"/>
        <v>0</v>
      </c>
      <c r="U157" s="102">
        <f t="shared" si="74"/>
        <v>0</v>
      </c>
      <c r="V157" s="102">
        <f t="shared" si="74"/>
        <v>0</v>
      </c>
      <c r="W157" s="102">
        <f t="shared" si="74"/>
        <v>0</v>
      </c>
      <c r="X157" s="102">
        <f t="shared" si="74"/>
        <v>0</v>
      </c>
      <c r="Y157" s="102">
        <f t="shared" si="74"/>
        <v>0</v>
      </c>
      <c r="Z157" s="102">
        <f t="shared" si="74"/>
        <v>0</v>
      </c>
      <c r="AA157" s="118" t="e">
        <f t="shared" si="62"/>
        <v>#DIV/0!</v>
      </c>
      <c r="AB157" s="105">
        <f t="shared" si="63"/>
        <v>0</v>
      </c>
    </row>
    <row r="158" spans="1:28" s="9" customFormat="1" ht="63" hidden="1" customHeight="1" x14ac:dyDescent="0.25">
      <c r="A158" s="6"/>
      <c r="B158" s="7"/>
      <c r="C158" s="7"/>
      <c r="D158" s="8" t="s">
        <v>386</v>
      </c>
      <c r="E158" s="102">
        <f>E176+E179</f>
        <v>0</v>
      </c>
      <c r="F158" s="102">
        <f t="shared" ref="F158:Z158" si="75">F176+F179</f>
        <v>0</v>
      </c>
      <c r="G158" s="102">
        <f t="shared" si="75"/>
        <v>0</v>
      </c>
      <c r="H158" s="102">
        <f t="shared" si="75"/>
        <v>0</v>
      </c>
      <c r="I158" s="102">
        <f t="shared" si="75"/>
        <v>0</v>
      </c>
      <c r="J158" s="102">
        <f t="shared" si="75"/>
        <v>0</v>
      </c>
      <c r="K158" s="102">
        <f t="shared" si="75"/>
        <v>0</v>
      </c>
      <c r="L158" s="102">
        <f t="shared" si="75"/>
        <v>0</v>
      </c>
      <c r="M158" s="118" t="e">
        <f t="shared" si="61"/>
        <v>#DIV/0!</v>
      </c>
      <c r="N158" s="102">
        <f t="shared" si="75"/>
        <v>0</v>
      </c>
      <c r="O158" s="102">
        <f t="shared" si="75"/>
        <v>0</v>
      </c>
      <c r="P158" s="102">
        <f t="shared" si="75"/>
        <v>0</v>
      </c>
      <c r="Q158" s="102">
        <f t="shared" si="75"/>
        <v>0</v>
      </c>
      <c r="R158" s="102">
        <f t="shared" si="75"/>
        <v>0</v>
      </c>
      <c r="S158" s="102">
        <f t="shared" si="75"/>
        <v>0</v>
      </c>
      <c r="T158" s="102">
        <f t="shared" si="75"/>
        <v>0</v>
      </c>
      <c r="U158" s="102">
        <f t="shared" si="75"/>
        <v>0</v>
      </c>
      <c r="V158" s="102">
        <f t="shared" si="75"/>
        <v>0</v>
      </c>
      <c r="W158" s="102">
        <f t="shared" si="75"/>
        <v>0</v>
      </c>
      <c r="X158" s="102">
        <f t="shared" si="75"/>
        <v>0</v>
      </c>
      <c r="Y158" s="102">
        <f t="shared" si="75"/>
        <v>0</v>
      </c>
      <c r="Z158" s="102">
        <f t="shared" si="75"/>
        <v>0</v>
      </c>
      <c r="AA158" s="118" t="e">
        <f t="shared" si="62"/>
        <v>#DIV/0!</v>
      </c>
      <c r="AB158" s="105">
        <f t="shared" si="63"/>
        <v>0</v>
      </c>
    </row>
    <row r="159" spans="1:28" s="9" customFormat="1" ht="53.25" hidden="1" customHeight="1" x14ac:dyDescent="0.25">
      <c r="A159" s="6"/>
      <c r="B159" s="7"/>
      <c r="C159" s="7"/>
      <c r="D159" s="8" t="s">
        <v>382</v>
      </c>
      <c r="E159" s="102">
        <f>E185</f>
        <v>0</v>
      </c>
      <c r="F159" s="102">
        <f t="shared" ref="F159:Z159" si="76">F185</f>
        <v>0</v>
      </c>
      <c r="G159" s="102">
        <f t="shared" si="76"/>
        <v>0</v>
      </c>
      <c r="H159" s="102">
        <f t="shared" si="76"/>
        <v>0</v>
      </c>
      <c r="I159" s="102">
        <f t="shared" si="76"/>
        <v>0</v>
      </c>
      <c r="J159" s="102">
        <f t="shared" si="76"/>
        <v>0</v>
      </c>
      <c r="K159" s="102">
        <f t="shared" si="76"/>
        <v>0</v>
      </c>
      <c r="L159" s="102">
        <f t="shared" si="76"/>
        <v>0</v>
      </c>
      <c r="M159" s="118" t="e">
        <f t="shared" si="61"/>
        <v>#DIV/0!</v>
      </c>
      <c r="N159" s="102">
        <f t="shared" si="76"/>
        <v>0</v>
      </c>
      <c r="O159" s="102">
        <f t="shared" si="76"/>
        <v>0</v>
      </c>
      <c r="P159" s="102">
        <f t="shared" si="76"/>
        <v>0</v>
      </c>
      <c r="Q159" s="102">
        <f t="shared" si="76"/>
        <v>0</v>
      </c>
      <c r="R159" s="102">
        <f t="shared" si="76"/>
        <v>0</v>
      </c>
      <c r="S159" s="102">
        <f t="shared" si="76"/>
        <v>0</v>
      </c>
      <c r="T159" s="102">
        <f t="shared" si="76"/>
        <v>0</v>
      </c>
      <c r="U159" s="102">
        <f t="shared" si="76"/>
        <v>0</v>
      </c>
      <c r="V159" s="102">
        <f t="shared" si="76"/>
        <v>0</v>
      </c>
      <c r="W159" s="102">
        <f t="shared" si="76"/>
        <v>0</v>
      </c>
      <c r="X159" s="102">
        <f t="shared" si="76"/>
        <v>0</v>
      </c>
      <c r="Y159" s="102">
        <f t="shared" si="76"/>
        <v>0</v>
      </c>
      <c r="Z159" s="102">
        <f t="shared" si="76"/>
        <v>0</v>
      </c>
      <c r="AA159" s="118" t="e">
        <f t="shared" si="62"/>
        <v>#DIV/0!</v>
      </c>
      <c r="AB159" s="105">
        <f t="shared" si="63"/>
        <v>0</v>
      </c>
    </row>
    <row r="160" spans="1:28" s="9" customFormat="1" ht="15.75" hidden="1" customHeight="1" x14ac:dyDescent="0.25">
      <c r="A160" s="6"/>
      <c r="B160" s="7"/>
      <c r="C160" s="7"/>
      <c r="D160" s="8" t="s">
        <v>387</v>
      </c>
      <c r="E160" s="102">
        <f>E167</f>
        <v>0</v>
      </c>
      <c r="F160" s="102">
        <f t="shared" ref="F160:Z160" si="77">F167</f>
        <v>0</v>
      </c>
      <c r="G160" s="102">
        <f t="shared" si="77"/>
        <v>0</v>
      </c>
      <c r="H160" s="102">
        <f t="shared" si="77"/>
        <v>0</v>
      </c>
      <c r="I160" s="102">
        <f t="shared" si="77"/>
        <v>0</v>
      </c>
      <c r="J160" s="102">
        <f t="shared" si="77"/>
        <v>0</v>
      </c>
      <c r="K160" s="102">
        <f t="shared" si="77"/>
        <v>0</v>
      </c>
      <c r="L160" s="102">
        <f t="shared" si="77"/>
        <v>0</v>
      </c>
      <c r="M160" s="118" t="e">
        <f t="shared" si="61"/>
        <v>#DIV/0!</v>
      </c>
      <c r="N160" s="102">
        <f t="shared" si="77"/>
        <v>0</v>
      </c>
      <c r="O160" s="102">
        <f t="shared" si="77"/>
        <v>0</v>
      </c>
      <c r="P160" s="102">
        <f t="shared" si="77"/>
        <v>0</v>
      </c>
      <c r="Q160" s="102">
        <f t="shared" si="77"/>
        <v>0</v>
      </c>
      <c r="R160" s="102">
        <f t="shared" si="77"/>
        <v>0</v>
      </c>
      <c r="S160" s="102">
        <f t="shared" si="77"/>
        <v>0</v>
      </c>
      <c r="T160" s="102">
        <f t="shared" si="77"/>
        <v>0</v>
      </c>
      <c r="U160" s="102">
        <f t="shared" si="77"/>
        <v>0</v>
      </c>
      <c r="V160" s="102">
        <f t="shared" si="77"/>
        <v>0</v>
      </c>
      <c r="W160" s="102">
        <f t="shared" si="77"/>
        <v>0</v>
      </c>
      <c r="X160" s="102">
        <f t="shared" si="77"/>
        <v>0</v>
      </c>
      <c r="Y160" s="102">
        <f t="shared" si="77"/>
        <v>0</v>
      </c>
      <c r="Z160" s="102">
        <f t="shared" si="77"/>
        <v>0</v>
      </c>
      <c r="AA160" s="118" t="e">
        <f t="shared" si="62"/>
        <v>#DIV/0!</v>
      </c>
      <c r="AB160" s="105">
        <f t="shared" si="63"/>
        <v>0</v>
      </c>
    </row>
    <row r="161" spans="1:28" s="9" customFormat="1" ht="15.75" hidden="1" customHeight="1" x14ac:dyDescent="0.25">
      <c r="A161" s="6"/>
      <c r="B161" s="7"/>
      <c r="C161" s="7"/>
      <c r="D161" s="8" t="s">
        <v>407</v>
      </c>
      <c r="E161" s="102">
        <f>E187</f>
        <v>0</v>
      </c>
      <c r="F161" s="102">
        <f t="shared" ref="F161:Z161" si="78">F187</f>
        <v>0</v>
      </c>
      <c r="G161" s="102">
        <f t="shared" si="78"/>
        <v>0</v>
      </c>
      <c r="H161" s="102">
        <f t="shared" si="78"/>
        <v>0</v>
      </c>
      <c r="I161" s="102">
        <f t="shared" si="78"/>
        <v>0</v>
      </c>
      <c r="J161" s="102">
        <f t="shared" si="78"/>
        <v>0</v>
      </c>
      <c r="K161" s="102">
        <f t="shared" si="78"/>
        <v>0</v>
      </c>
      <c r="L161" s="102">
        <f t="shared" si="78"/>
        <v>0</v>
      </c>
      <c r="M161" s="118" t="e">
        <f t="shared" si="61"/>
        <v>#DIV/0!</v>
      </c>
      <c r="N161" s="102">
        <f t="shared" si="78"/>
        <v>0</v>
      </c>
      <c r="O161" s="102">
        <f t="shared" si="78"/>
        <v>0</v>
      </c>
      <c r="P161" s="102">
        <f t="shared" si="78"/>
        <v>0</v>
      </c>
      <c r="Q161" s="102">
        <f t="shared" si="78"/>
        <v>0</v>
      </c>
      <c r="R161" s="102">
        <f t="shared" si="78"/>
        <v>0</v>
      </c>
      <c r="S161" s="102">
        <f t="shared" si="78"/>
        <v>0</v>
      </c>
      <c r="T161" s="102">
        <f t="shared" si="78"/>
        <v>0</v>
      </c>
      <c r="U161" s="102">
        <f t="shared" si="78"/>
        <v>0</v>
      </c>
      <c r="V161" s="102">
        <f t="shared" si="78"/>
        <v>0</v>
      </c>
      <c r="W161" s="102">
        <f t="shared" si="78"/>
        <v>0</v>
      </c>
      <c r="X161" s="102">
        <f t="shared" si="78"/>
        <v>0</v>
      </c>
      <c r="Y161" s="102">
        <f t="shared" si="78"/>
        <v>0</v>
      </c>
      <c r="Z161" s="102">
        <f t="shared" si="78"/>
        <v>0</v>
      </c>
      <c r="AA161" s="118" t="e">
        <f t="shared" si="62"/>
        <v>#DIV/0!</v>
      </c>
      <c r="AB161" s="105">
        <f t="shared" si="63"/>
        <v>0</v>
      </c>
    </row>
    <row r="162" spans="1:28" s="9" customFormat="1" ht="15.75" customHeight="1" x14ac:dyDescent="0.25">
      <c r="A162" s="6"/>
      <c r="B162" s="7"/>
      <c r="C162" s="7"/>
      <c r="D162" s="8" t="s">
        <v>621</v>
      </c>
      <c r="E162" s="102">
        <f>E188</f>
        <v>0</v>
      </c>
      <c r="F162" s="102">
        <f t="shared" ref="F162:Z162" si="79">F188</f>
        <v>0</v>
      </c>
      <c r="G162" s="102">
        <f t="shared" si="79"/>
        <v>0</v>
      </c>
      <c r="H162" s="102">
        <f t="shared" si="79"/>
        <v>0</v>
      </c>
      <c r="I162" s="102">
        <f t="shared" si="79"/>
        <v>0</v>
      </c>
      <c r="J162" s="102">
        <f t="shared" si="79"/>
        <v>0</v>
      </c>
      <c r="K162" s="102">
        <f t="shared" si="79"/>
        <v>0</v>
      </c>
      <c r="L162" s="102">
        <f t="shared" si="79"/>
        <v>0</v>
      </c>
      <c r="M162" s="118"/>
      <c r="N162" s="102">
        <f t="shared" si="79"/>
        <v>299189.34999999998</v>
      </c>
      <c r="O162" s="102">
        <f t="shared" si="79"/>
        <v>0</v>
      </c>
      <c r="P162" s="102">
        <f t="shared" si="79"/>
        <v>61189.35</v>
      </c>
      <c r="Q162" s="102">
        <f t="shared" si="79"/>
        <v>0</v>
      </c>
      <c r="R162" s="102">
        <f t="shared" si="79"/>
        <v>0</v>
      </c>
      <c r="S162" s="102">
        <f t="shared" si="79"/>
        <v>238000</v>
      </c>
      <c r="T162" s="102">
        <f t="shared" si="79"/>
        <v>299189.34999999998</v>
      </c>
      <c r="U162" s="102">
        <f t="shared" si="79"/>
        <v>0</v>
      </c>
      <c r="V162" s="102">
        <f t="shared" si="79"/>
        <v>0</v>
      </c>
      <c r="W162" s="102">
        <f t="shared" si="79"/>
        <v>0</v>
      </c>
      <c r="X162" s="102">
        <f t="shared" si="79"/>
        <v>0</v>
      </c>
      <c r="Y162" s="102">
        <f t="shared" si="79"/>
        <v>0</v>
      </c>
      <c r="Z162" s="102">
        <f t="shared" si="79"/>
        <v>0</v>
      </c>
      <c r="AA162" s="118">
        <f t="shared" si="62"/>
        <v>0</v>
      </c>
      <c r="AB162" s="102">
        <f t="shared" si="63"/>
        <v>0</v>
      </c>
    </row>
    <row r="163" spans="1:28" s="75" customFormat="1" ht="48" customHeight="1" x14ac:dyDescent="0.25">
      <c r="A163" s="1" t="s">
        <v>168</v>
      </c>
      <c r="B163" s="3" t="str">
        <f>'дод 5'!A18</f>
        <v>0160</v>
      </c>
      <c r="C163" s="3" t="str">
        <f>'дод 5'!B18</f>
        <v>0111</v>
      </c>
      <c r="D163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63" s="101">
        <f t="shared" ref="E163:E191" si="80">F163+I163</f>
        <v>3023600</v>
      </c>
      <c r="F163" s="101">
        <f>3144200-12700-314700+206800</f>
        <v>3023600</v>
      </c>
      <c r="G163" s="101">
        <f>2288600-258000+169700</f>
        <v>2200300</v>
      </c>
      <c r="H163" s="101">
        <v>72400</v>
      </c>
      <c r="I163" s="101"/>
      <c r="J163" s="101">
        <v>1355283.24</v>
      </c>
      <c r="K163" s="101">
        <v>1031391.84</v>
      </c>
      <c r="L163" s="101">
        <v>34384.720000000001</v>
      </c>
      <c r="M163" s="112">
        <f t="shared" si="61"/>
        <v>44.823496494245269</v>
      </c>
      <c r="N163" s="101">
        <f>P163+S163</f>
        <v>0</v>
      </c>
      <c r="O163" s="101"/>
      <c r="P163" s="101"/>
      <c r="Q163" s="101"/>
      <c r="R163" s="101"/>
      <c r="S163" s="101"/>
      <c r="T163" s="101">
        <f t="shared" ref="T163:T192" si="81">E163+N163</f>
        <v>3023600</v>
      </c>
      <c r="U163" s="104">
        <f>W163+Z163</f>
        <v>0</v>
      </c>
      <c r="V163" s="104"/>
      <c r="W163" s="104"/>
      <c r="X163" s="104"/>
      <c r="Y163" s="104"/>
      <c r="Z163" s="104"/>
      <c r="AA163" s="112"/>
      <c r="AB163" s="101">
        <f t="shared" si="63"/>
        <v>1355283.24</v>
      </c>
    </row>
    <row r="164" spans="1:28" s="75" customFormat="1" ht="33" customHeight="1" x14ac:dyDescent="0.25">
      <c r="A164" s="1" t="s">
        <v>169</v>
      </c>
      <c r="B164" s="3" t="str">
        <f>'дод 5'!A99</f>
        <v>2010</v>
      </c>
      <c r="C164" s="3" t="str">
        <f>'дод 5'!B99</f>
        <v>0731</v>
      </c>
      <c r="D164" s="4" t="str">
        <f>'дод 5'!C99</f>
        <v>Багатопрофільна стаціонарна медична допомога населенню</v>
      </c>
      <c r="E164" s="101">
        <f>F164+I164</f>
        <v>68478300</v>
      </c>
      <c r="F164" s="101">
        <f>61266100+4826700+428200-250000+393700+95800+68000+1649800</f>
        <v>68478300</v>
      </c>
      <c r="G164" s="101"/>
      <c r="H164" s="101"/>
      <c r="I164" s="101"/>
      <c r="J164" s="101">
        <v>30418238.190000001</v>
      </c>
      <c r="K164" s="101"/>
      <c r="L164" s="101"/>
      <c r="M164" s="112">
        <f t="shared" si="61"/>
        <v>44.420258957947262</v>
      </c>
      <c r="N164" s="101">
        <f t="shared" ref="N164:N192" si="82">P164+S164</f>
        <v>15475687</v>
      </c>
      <c r="O164" s="101">
        <f>13500000-500000+68100+2407587</f>
        <v>15475687</v>
      </c>
      <c r="P164" s="101"/>
      <c r="Q164" s="101"/>
      <c r="R164" s="101"/>
      <c r="S164" s="101">
        <f>13500000-500000+68100+2407587</f>
        <v>15475687</v>
      </c>
      <c r="T164" s="101">
        <f t="shared" si="81"/>
        <v>83953987</v>
      </c>
      <c r="U164" s="104">
        <f t="shared" ref="U164:U188" si="83">W164+Z164</f>
        <v>476644</v>
      </c>
      <c r="V164" s="104">
        <v>476644</v>
      </c>
      <c r="W164" s="104"/>
      <c r="X164" s="104"/>
      <c r="Y164" s="104"/>
      <c r="Z164" s="104">
        <v>476644</v>
      </c>
      <c r="AA164" s="112">
        <f t="shared" si="62"/>
        <v>3.0799537364641711</v>
      </c>
      <c r="AB164" s="101">
        <f t="shared" si="63"/>
        <v>30894882.190000001</v>
      </c>
    </row>
    <row r="165" spans="1:28" s="5" customFormat="1" ht="31.5" hidden="1" customHeight="1" x14ac:dyDescent="0.25">
      <c r="A165" s="41"/>
      <c r="B165" s="28"/>
      <c r="C165" s="28"/>
      <c r="D165" s="39" t="s">
        <v>384</v>
      </c>
      <c r="E165" s="105">
        <f t="shared" si="80"/>
        <v>0</v>
      </c>
      <c r="F165" s="105"/>
      <c r="G165" s="105"/>
      <c r="H165" s="105"/>
      <c r="I165" s="105"/>
      <c r="J165" s="105"/>
      <c r="K165" s="105"/>
      <c r="L165" s="105"/>
      <c r="M165" s="112" t="e">
        <f t="shared" si="61"/>
        <v>#DIV/0!</v>
      </c>
      <c r="N165" s="105">
        <f t="shared" si="82"/>
        <v>0</v>
      </c>
      <c r="O165" s="105"/>
      <c r="P165" s="105"/>
      <c r="Q165" s="105"/>
      <c r="R165" s="105"/>
      <c r="S165" s="105"/>
      <c r="T165" s="105">
        <f t="shared" si="81"/>
        <v>0</v>
      </c>
      <c r="U165" s="104">
        <f t="shared" si="83"/>
        <v>0</v>
      </c>
      <c r="V165" s="106"/>
      <c r="W165" s="106"/>
      <c r="X165" s="106"/>
      <c r="Y165" s="106"/>
      <c r="Z165" s="106"/>
      <c r="AA165" s="112" t="e">
        <f t="shared" si="62"/>
        <v>#DIV/0!</v>
      </c>
      <c r="AB165" s="101">
        <f t="shared" si="63"/>
        <v>0</v>
      </c>
    </row>
    <row r="166" spans="1:28" s="5" customFormat="1" ht="47.25" hidden="1" customHeight="1" x14ac:dyDescent="0.25">
      <c r="A166" s="41"/>
      <c r="B166" s="28"/>
      <c r="C166" s="28"/>
      <c r="D166" s="39" t="s">
        <v>385</v>
      </c>
      <c r="E166" s="105">
        <f t="shared" si="80"/>
        <v>0</v>
      </c>
      <c r="F166" s="105"/>
      <c r="G166" s="105"/>
      <c r="H166" s="105"/>
      <c r="I166" s="105"/>
      <c r="J166" s="105"/>
      <c r="K166" s="105"/>
      <c r="L166" s="105"/>
      <c r="M166" s="112" t="e">
        <f t="shared" si="61"/>
        <v>#DIV/0!</v>
      </c>
      <c r="N166" s="105">
        <f t="shared" si="82"/>
        <v>0</v>
      </c>
      <c r="O166" s="105"/>
      <c r="P166" s="105"/>
      <c r="Q166" s="105"/>
      <c r="R166" s="105"/>
      <c r="S166" s="105"/>
      <c r="T166" s="105">
        <f t="shared" si="81"/>
        <v>0</v>
      </c>
      <c r="U166" s="104">
        <f t="shared" si="83"/>
        <v>0</v>
      </c>
      <c r="V166" s="106"/>
      <c r="W166" s="106"/>
      <c r="X166" s="106"/>
      <c r="Y166" s="106"/>
      <c r="Z166" s="106"/>
      <c r="AA166" s="112" t="e">
        <f t="shared" si="62"/>
        <v>#DIV/0!</v>
      </c>
      <c r="AB166" s="101">
        <f t="shared" si="63"/>
        <v>0</v>
      </c>
    </row>
    <row r="167" spans="1:28" s="5" customFormat="1" ht="15.75" hidden="1" customHeight="1" x14ac:dyDescent="0.25">
      <c r="A167" s="41"/>
      <c r="B167" s="28"/>
      <c r="C167" s="28"/>
      <c r="D167" s="39" t="s">
        <v>387</v>
      </c>
      <c r="E167" s="105">
        <f t="shared" si="80"/>
        <v>0</v>
      </c>
      <c r="F167" s="105"/>
      <c r="G167" s="105"/>
      <c r="H167" s="105"/>
      <c r="I167" s="105"/>
      <c r="J167" s="105"/>
      <c r="K167" s="105"/>
      <c r="L167" s="105"/>
      <c r="M167" s="112" t="e">
        <f t="shared" si="61"/>
        <v>#DIV/0!</v>
      </c>
      <c r="N167" s="105">
        <f t="shared" si="82"/>
        <v>0</v>
      </c>
      <c r="O167" s="105"/>
      <c r="P167" s="105"/>
      <c r="Q167" s="105"/>
      <c r="R167" s="105"/>
      <c r="S167" s="105"/>
      <c r="T167" s="105">
        <f t="shared" si="81"/>
        <v>0</v>
      </c>
      <c r="U167" s="104">
        <f t="shared" si="83"/>
        <v>0</v>
      </c>
      <c r="V167" s="106"/>
      <c r="W167" s="106"/>
      <c r="X167" s="106"/>
      <c r="Y167" s="106"/>
      <c r="Z167" s="106"/>
      <c r="AA167" s="112" t="e">
        <f t="shared" si="62"/>
        <v>#DIV/0!</v>
      </c>
      <c r="AB167" s="101">
        <f t="shared" si="63"/>
        <v>0</v>
      </c>
    </row>
    <row r="168" spans="1:28" s="5" customFormat="1" ht="94.5" hidden="1" customHeight="1" x14ac:dyDescent="0.25">
      <c r="A168" s="41"/>
      <c r="B168" s="28"/>
      <c r="C168" s="28"/>
      <c r="D168" s="39" t="s">
        <v>600</v>
      </c>
      <c r="E168" s="105"/>
      <c r="F168" s="105"/>
      <c r="G168" s="105"/>
      <c r="H168" s="105"/>
      <c r="I168" s="105"/>
      <c r="J168" s="105"/>
      <c r="K168" s="105"/>
      <c r="L168" s="105"/>
      <c r="M168" s="112" t="e">
        <f t="shared" si="61"/>
        <v>#DIV/0!</v>
      </c>
      <c r="N168" s="101">
        <f t="shared" ref="N168" si="84">P168+S168</f>
        <v>0</v>
      </c>
      <c r="O168" s="101"/>
      <c r="P168" s="105"/>
      <c r="Q168" s="105"/>
      <c r="R168" s="105"/>
      <c r="S168" s="101"/>
      <c r="T168" s="101">
        <f t="shared" ref="T168" si="85">E168+N168</f>
        <v>0</v>
      </c>
      <c r="U168" s="104">
        <f t="shared" si="83"/>
        <v>0</v>
      </c>
      <c r="V168" s="106"/>
      <c r="W168" s="106"/>
      <c r="X168" s="106"/>
      <c r="Y168" s="106"/>
      <c r="Z168" s="106"/>
      <c r="AA168" s="112" t="e">
        <f t="shared" si="62"/>
        <v>#DIV/0!</v>
      </c>
      <c r="AB168" s="101">
        <f t="shared" si="63"/>
        <v>0</v>
      </c>
    </row>
    <row r="169" spans="1:28" s="75" customFormat="1" ht="31.5" hidden="1" customHeight="1" x14ac:dyDescent="0.25">
      <c r="A169" s="1" t="s">
        <v>427</v>
      </c>
      <c r="B169" s="3">
        <v>2020</v>
      </c>
      <c r="C169" s="1" t="s">
        <v>428</v>
      </c>
      <c r="D169" s="38" t="str">
        <f>'дод 5'!C103</f>
        <v xml:space="preserve"> Спеціалізована стаціонарна медична допомога населенню</v>
      </c>
      <c r="E169" s="101">
        <f t="shared" si="80"/>
        <v>0</v>
      </c>
      <c r="F169" s="101"/>
      <c r="G169" s="101"/>
      <c r="H169" s="101"/>
      <c r="I169" s="101"/>
      <c r="J169" s="101"/>
      <c r="K169" s="101"/>
      <c r="L169" s="101"/>
      <c r="M169" s="112" t="e">
        <f t="shared" si="61"/>
        <v>#DIV/0!</v>
      </c>
      <c r="N169" s="101">
        <f t="shared" si="82"/>
        <v>0</v>
      </c>
      <c r="O169" s="101"/>
      <c r="P169" s="101"/>
      <c r="Q169" s="101"/>
      <c r="R169" s="101"/>
      <c r="S169" s="101"/>
      <c r="T169" s="101">
        <f t="shared" si="81"/>
        <v>0</v>
      </c>
      <c r="U169" s="104">
        <f t="shared" si="83"/>
        <v>0</v>
      </c>
      <c r="V169" s="104"/>
      <c r="W169" s="104"/>
      <c r="X169" s="104"/>
      <c r="Y169" s="104"/>
      <c r="Z169" s="104"/>
      <c r="AA169" s="112" t="e">
        <f t="shared" si="62"/>
        <v>#DIV/0!</v>
      </c>
      <c r="AB169" s="101">
        <f t="shared" si="63"/>
        <v>0</v>
      </c>
    </row>
    <row r="170" spans="1:28" s="75" customFormat="1" ht="31.5" x14ac:dyDescent="0.25">
      <c r="A170" s="1" t="s">
        <v>174</v>
      </c>
      <c r="B170" s="3" t="str">
        <f>'дод 5'!A105</f>
        <v>2030</v>
      </c>
      <c r="C170" s="3" t="str">
        <f>'дод 5'!B105</f>
        <v>0733</v>
      </c>
      <c r="D170" s="38" t="str">
        <f>'дод 5'!C105</f>
        <v>Лікарсько-акушерська допомога вагітним, породіллям та новонародженим</v>
      </c>
      <c r="E170" s="101">
        <f t="shared" si="80"/>
        <v>6012400</v>
      </c>
      <c r="F170" s="101">
        <v>6012400</v>
      </c>
      <c r="G170" s="101"/>
      <c r="H170" s="101"/>
      <c r="I170" s="101"/>
      <c r="J170" s="101">
        <v>2392603.04</v>
      </c>
      <c r="K170" s="101"/>
      <c r="L170" s="101"/>
      <c r="M170" s="112">
        <f t="shared" si="61"/>
        <v>39.794475417470558</v>
      </c>
      <c r="N170" s="101">
        <f t="shared" si="82"/>
        <v>0</v>
      </c>
      <c r="O170" s="101"/>
      <c r="P170" s="101"/>
      <c r="Q170" s="101"/>
      <c r="R170" s="101"/>
      <c r="S170" s="101"/>
      <c r="T170" s="101">
        <f t="shared" si="81"/>
        <v>6012400</v>
      </c>
      <c r="U170" s="104">
        <f t="shared" si="83"/>
        <v>0</v>
      </c>
      <c r="V170" s="104"/>
      <c r="W170" s="104"/>
      <c r="X170" s="104"/>
      <c r="Y170" s="104"/>
      <c r="Z170" s="104"/>
      <c r="AA170" s="112"/>
      <c r="AB170" s="101">
        <f t="shared" si="63"/>
        <v>2392603.04</v>
      </c>
    </row>
    <row r="171" spans="1:28" s="5" customFormat="1" ht="31.5" hidden="1" customHeight="1" x14ac:dyDescent="0.25">
      <c r="A171" s="41"/>
      <c r="B171" s="28"/>
      <c r="C171" s="28"/>
      <c r="D171" s="39" t="s">
        <v>384</v>
      </c>
      <c r="E171" s="105">
        <f t="shared" si="80"/>
        <v>0</v>
      </c>
      <c r="F171" s="105"/>
      <c r="G171" s="105"/>
      <c r="H171" s="105"/>
      <c r="I171" s="105"/>
      <c r="J171" s="105"/>
      <c r="K171" s="105"/>
      <c r="L171" s="105"/>
      <c r="M171" s="112" t="e">
        <f t="shared" si="61"/>
        <v>#DIV/0!</v>
      </c>
      <c r="N171" s="105"/>
      <c r="O171" s="105"/>
      <c r="P171" s="105"/>
      <c r="Q171" s="105"/>
      <c r="R171" s="105"/>
      <c r="S171" s="105"/>
      <c r="T171" s="101">
        <f t="shared" si="81"/>
        <v>0</v>
      </c>
      <c r="U171" s="104">
        <f t="shared" si="83"/>
        <v>0</v>
      </c>
      <c r="V171" s="106"/>
      <c r="W171" s="106"/>
      <c r="X171" s="106"/>
      <c r="Y171" s="106"/>
      <c r="Z171" s="106"/>
      <c r="AA171" s="112"/>
      <c r="AB171" s="101">
        <f t="shared" si="63"/>
        <v>0</v>
      </c>
    </row>
    <row r="172" spans="1:28" s="5" customFormat="1" ht="21" hidden="1" customHeight="1" x14ac:dyDescent="0.25">
      <c r="A172" s="1" t="s">
        <v>576</v>
      </c>
      <c r="B172" s="3">
        <v>2070</v>
      </c>
      <c r="C172" s="26" t="s">
        <v>577</v>
      </c>
      <c r="D172" s="38" t="s">
        <v>578</v>
      </c>
      <c r="E172" s="101">
        <f t="shared" si="80"/>
        <v>0</v>
      </c>
      <c r="F172" s="101"/>
      <c r="G172" s="101"/>
      <c r="H172" s="101"/>
      <c r="I172" s="101"/>
      <c r="J172" s="101"/>
      <c r="K172" s="101"/>
      <c r="L172" s="101"/>
      <c r="M172" s="112" t="e">
        <f t="shared" si="61"/>
        <v>#DIV/0!</v>
      </c>
      <c r="N172" s="101">
        <f t="shared" si="82"/>
        <v>0</v>
      </c>
      <c r="O172" s="101"/>
      <c r="P172" s="101"/>
      <c r="Q172" s="101"/>
      <c r="R172" s="101"/>
      <c r="S172" s="101"/>
      <c r="T172" s="101">
        <f t="shared" si="81"/>
        <v>0</v>
      </c>
      <c r="U172" s="104">
        <f t="shared" si="83"/>
        <v>0</v>
      </c>
      <c r="V172" s="106"/>
      <c r="W172" s="106"/>
      <c r="X172" s="106"/>
      <c r="Y172" s="106"/>
      <c r="Z172" s="106"/>
      <c r="AA172" s="112"/>
      <c r="AB172" s="101">
        <f t="shared" si="63"/>
        <v>0</v>
      </c>
    </row>
    <row r="173" spans="1:28" s="75" customFormat="1" ht="24" customHeight="1" x14ac:dyDescent="0.25">
      <c r="A173" s="1" t="s">
        <v>173</v>
      </c>
      <c r="B173" s="3" t="str">
        <f>'дод 5'!A108</f>
        <v>2100</v>
      </c>
      <c r="C173" s="3" t="str">
        <f>'дод 5'!B108</f>
        <v>0722</v>
      </c>
      <c r="D173" s="38" t="str">
        <f>'дод 5'!C108</f>
        <v>Стоматологічна допомога населенню</v>
      </c>
      <c r="E173" s="101">
        <f t="shared" si="80"/>
        <v>12460400</v>
      </c>
      <c r="F173" s="101">
        <v>12460400</v>
      </c>
      <c r="G173" s="101"/>
      <c r="H173" s="101"/>
      <c r="I173" s="101"/>
      <c r="J173" s="101">
        <v>6090030.7800000003</v>
      </c>
      <c r="K173" s="101"/>
      <c r="L173" s="101"/>
      <c r="M173" s="112">
        <f t="shared" si="61"/>
        <v>48.875082501364325</v>
      </c>
      <c r="N173" s="101">
        <f t="shared" si="82"/>
        <v>0</v>
      </c>
      <c r="O173" s="101"/>
      <c r="P173" s="101"/>
      <c r="Q173" s="101"/>
      <c r="R173" s="101"/>
      <c r="S173" s="101"/>
      <c r="T173" s="101">
        <f t="shared" si="81"/>
        <v>12460400</v>
      </c>
      <c r="U173" s="104">
        <f t="shared" si="83"/>
        <v>0</v>
      </c>
      <c r="V173" s="104"/>
      <c r="W173" s="104"/>
      <c r="X173" s="104"/>
      <c r="Y173" s="104"/>
      <c r="Z173" s="104"/>
      <c r="AA173" s="112"/>
      <c r="AB173" s="101">
        <f t="shared" si="63"/>
        <v>6090030.7800000003</v>
      </c>
    </row>
    <row r="174" spans="1:28" s="5" customFormat="1" ht="30" hidden="1" customHeight="1" x14ac:dyDescent="0.25">
      <c r="A174" s="41"/>
      <c r="B174" s="28"/>
      <c r="C174" s="28"/>
      <c r="D174" s="39" t="s">
        <v>384</v>
      </c>
      <c r="E174" s="105">
        <f t="shared" si="80"/>
        <v>0</v>
      </c>
      <c r="F174" s="105"/>
      <c r="G174" s="105"/>
      <c r="H174" s="105"/>
      <c r="I174" s="105"/>
      <c r="J174" s="105"/>
      <c r="K174" s="105"/>
      <c r="L174" s="105"/>
      <c r="M174" s="112" t="e">
        <f t="shared" si="61"/>
        <v>#DIV/0!</v>
      </c>
      <c r="N174" s="105">
        <f t="shared" si="82"/>
        <v>0</v>
      </c>
      <c r="O174" s="105"/>
      <c r="P174" s="105"/>
      <c r="Q174" s="105"/>
      <c r="R174" s="105"/>
      <c r="S174" s="105"/>
      <c r="T174" s="105">
        <f t="shared" si="81"/>
        <v>0</v>
      </c>
      <c r="U174" s="104">
        <f t="shared" si="83"/>
        <v>0</v>
      </c>
      <c r="V174" s="106"/>
      <c r="W174" s="106"/>
      <c r="X174" s="106"/>
      <c r="Y174" s="106"/>
      <c r="Z174" s="106"/>
      <c r="AA174" s="112" t="e">
        <f t="shared" si="62"/>
        <v>#DIV/0!</v>
      </c>
      <c r="AB174" s="101">
        <f t="shared" si="63"/>
        <v>0</v>
      </c>
    </row>
    <row r="175" spans="1:28" s="75" customFormat="1" ht="48" customHeight="1" x14ac:dyDescent="0.25">
      <c r="A175" s="1" t="s">
        <v>172</v>
      </c>
      <c r="B175" s="3" t="str">
        <f>'дод 5'!A110</f>
        <v>2111</v>
      </c>
      <c r="C175" s="3" t="str">
        <f>'дод 5'!B110</f>
        <v>0726</v>
      </c>
      <c r="D175" s="38" t="str">
        <f>'дод 5'!C110</f>
        <v>Первинна медична допомога населенню, що надається центрами первинної медичної (медико-санітарної) допомоги</v>
      </c>
      <c r="E175" s="101">
        <f t="shared" si="80"/>
        <v>5716100</v>
      </c>
      <c r="F175" s="101">
        <v>5716100</v>
      </c>
      <c r="G175" s="101"/>
      <c r="H175" s="101"/>
      <c r="I175" s="101"/>
      <c r="J175" s="101">
        <v>2487778.02</v>
      </c>
      <c r="K175" s="101"/>
      <c r="L175" s="101"/>
      <c r="M175" s="112">
        <f t="shared" si="61"/>
        <v>43.52229702069593</v>
      </c>
      <c r="N175" s="101">
        <f t="shared" si="82"/>
        <v>1638127</v>
      </c>
      <c r="O175" s="101">
        <f>3980000-2522740+180867</f>
        <v>1638127</v>
      </c>
      <c r="P175" s="101"/>
      <c r="Q175" s="101"/>
      <c r="R175" s="101"/>
      <c r="S175" s="101">
        <f>3980000-2522740+180867</f>
        <v>1638127</v>
      </c>
      <c r="T175" s="101">
        <f t="shared" si="81"/>
        <v>7354227</v>
      </c>
      <c r="U175" s="104">
        <f t="shared" si="83"/>
        <v>0</v>
      </c>
      <c r="V175" s="104"/>
      <c r="W175" s="104"/>
      <c r="X175" s="104"/>
      <c r="Y175" s="104"/>
      <c r="Z175" s="104"/>
      <c r="AA175" s="112">
        <f t="shared" si="62"/>
        <v>0</v>
      </c>
      <c r="AB175" s="101">
        <f t="shared" si="63"/>
        <v>2487778.02</v>
      </c>
    </row>
    <row r="176" spans="1:28" s="5" customFormat="1" ht="63" hidden="1" customHeight="1" x14ac:dyDescent="0.25">
      <c r="A176" s="41"/>
      <c r="B176" s="28"/>
      <c r="C176" s="28"/>
      <c r="D176" s="39" t="s">
        <v>386</v>
      </c>
      <c r="E176" s="105">
        <f t="shared" si="80"/>
        <v>0</v>
      </c>
      <c r="F176" s="105"/>
      <c r="G176" s="105"/>
      <c r="H176" s="105"/>
      <c r="I176" s="105"/>
      <c r="J176" s="105"/>
      <c r="K176" s="105"/>
      <c r="L176" s="105"/>
      <c r="M176" s="112" t="e">
        <f t="shared" si="61"/>
        <v>#DIV/0!</v>
      </c>
      <c r="N176" s="105">
        <f t="shared" si="82"/>
        <v>0</v>
      </c>
      <c r="O176" s="105"/>
      <c r="P176" s="105"/>
      <c r="Q176" s="105"/>
      <c r="R176" s="105"/>
      <c r="S176" s="105"/>
      <c r="T176" s="105">
        <f t="shared" si="81"/>
        <v>0</v>
      </c>
      <c r="U176" s="104">
        <f t="shared" si="83"/>
        <v>0</v>
      </c>
      <c r="V176" s="106"/>
      <c r="W176" s="106"/>
      <c r="X176" s="106"/>
      <c r="Y176" s="106"/>
      <c r="Z176" s="106"/>
      <c r="AA176" s="112" t="e">
        <f t="shared" si="62"/>
        <v>#DIV/0!</v>
      </c>
      <c r="AB176" s="101">
        <f t="shared" si="63"/>
        <v>0</v>
      </c>
    </row>
    <row r="177" spans="1:28" s="75" customFormat="1" ht="31.5" hidden="1" customHeight="1" x14ac:dyDescent="0.25">
      <c r="A177" s="1" t="s">
        <v>171</v>
      </c>
      <c r="B177" s="3">
        <f>'дод 5'!A112</f>
        <v>2144</v>
      </c>
      <c r="C177" s="3" t="str">
        <f>'дод 5'!B112</f>
        <v>0763</v>
      </c>
      <c r="D177" s="78" t="str">
        <f>'дод 5'!C112</f>
        <v>Централізовані заходи з лікування хворих на цукровий та нецукровий діабет, у т.ч. за рахунок:</v>
      </c>
      <c r="E177" s="101">
        <f t="shared" si="80"/>
        <v>0</v>
      </c>
      <c r="F177" s="101"/>
      <c r="G177" s="101"/>
      <c r="H177" s="101"/>
      <c r="I177" s="101"/>
      <c r="J177" s="101"/>
      <c r="K177" s="101"/>
      <c r="L177" s="101"/>
      <c r="M177" s="112" t="e">
        <f t="shared" si="61"/>
        <v>#DIV/0!</v>
      </c>
      <c r="N177" s="101">
        <f t="shared" si="82"/>
        <v>0</v>
      </c>
      <c r="O177" s="101"/>
      <c r="P177" s="101"/>
      <c r="Q177" s="101"/>
      <c r="R177" s="101"/>
      <c r="S177" s="101"/>
      <c r="T177" s="101">
        <f t="shared" si="81"/>
        <v>0</v>
      </c>
      <c r="U177" s="104">
        <f t="shared" si="83"/>
        <v>0</v>
      </c>
      <c r="V177" s="104"/>
      <c r="W177" s="104"/>
      <c r="X177" s="104"/>
      <c r="Y177" s="104"/>
      <c r="Z177" s="104"/>
      <c r="AA177" s="112" t="e">
        <f t="shared" si="62"/>
        <v>#DIV/0!</v>
      </c>
      <c r="AB177" s="101">
        <f t="shared" si="63"/>
        <v>0</v>
      </c>
    </row>
    <row r="178" spans="1:28" s="5" customFormat="1" ht="47.25" hidden="1" customHeight="1" x14ac:dyDescent="0.25">
      <c r="A178" s="41"/>
      <c r="B178" s="28"/>
      <c r="C178" s="28"/>
      <c r="D178" s="79" t="s">
        <v>385</v>
      </c>
      <c r="E178" s="105">
        <f t="shared" si="80"/>
        <v>0</v>
      </c>
      <c r="F178" s="105"/>
      <c r="G178" s="105"/>
      <c r="H178" s="105"/>
      <c r="I178" s="105"/>
      <c r="J178" s="105"/>
      <c r="K178" s="105"/>
      <c r="L178" s="105"/>
      <c r="M178" s="112" t="e">
        <f t="shared" si="61"/>
        <v>#DIV/0!</v>
      </c>
      <c r="N178" s="105">
        <f t="shared" si="82"/>
        <v>0</v>
      </c>
      <c r="O178" s="105"/>
      <c r="P178" s="105"/>
      <c r="Q178" s="105"/>
      <c r="R178" s="105"/>
      <c r="S178" s="105"/>
      <c r="T178" s="105">
        <f t="shared" si="81"/>
        <v>0</v>
      </c>
      <c r="U178" s="104">
        <f t="shared" si="83"/>
        <v>0</v>
      </c>
      <c r="V178" s="106"/>
      <c r="W178" s="106"/>
      <c r="X178" s="106"/>
      <c r="Y178" s="106"/>
      <c r="Z178" s="106"/>
      <c r="AA178" s="112" t="e">
        <f t="shared" si="62"/>
        <v>#DIV/0!</v>
      </c>
      <c r="AB178" s="101">
        <f t="shared" si="63"/>
        <v>0</v>
      </c>
    </row>
    <row r="179" spans="1:28" s="5" customFormat="1" ht="63" hidden="1" customHeight="1" x14ac:dyDescent="0.25">
      <c r="A179" s="41"/>
      <c r="B179" s="28"/>
      <c r="C179" s="28"/>
      <c r="D179" s="79" t="s">
        <v>386</v>
      </c>
      <c r="E179" s="105">
        <f t="shared" si="80"/>
        <v>0</v>
      </c>
      <c r="F179" s="105"/>
      <c r="G179" s="105"/>
      <c r="H179" s="105"/>
      <c r="I179" s="105"/>
      <c r="J179" s="105"/>
      <c r="K179" s="105"/>
      <c r="L179" s="105"/>
      <c r="M179" s="112" t="e">
        <f t="shared" si="61"/>
        <v>#DIV/0!</v>
      </c>
      <c r="N179" s="105">
        <f t="shared" si="82"/>
        <v>0</v>
      </c>
      <c r="O179" s="105"/>
      <c r="P179" s="105"/>
      <c r="Q179" s="105"/>
      <c r="R179" s="105"/>
      <c r="S179" s="105"/>
      <c r="T179" s="105">
        <f t="shared" si="81"/>
        <v>0</v>
      </c>
      <c r="U179" s="104">
        <f t="shared" si="83"/>
        <v>0</v>
      </c>
      <c r="V179" s="106"/>
      <c r="W179" s="106"/>
      <c r="X179" s="106"/>
      <c r="Y179" s="106"/>
      <c r="Z179" s="106"/>
      <c r="AA179" s="112" t="e">
        <f t="shared" si="62"/>
        <v>#DIV/0!</v>
      </c>
      <c r="AB179" s="101">
        <f t="shared" si="63"/>
        <v>0</v>
      </c>
    </row>
    <row r="180" spans="1:28" s="75" customFormat="1" ht="30" customHeight="1" x14ac:dyDescent="0.25">
      <c r="A180" s="1" t="s">
        <v>319</v>
      </c>
      <c r="B180" s="3" t="str">
        <f>'дод 5'!A115</f>
        <v>2151</v>
      </c>
      <c r="C180" s="3" t="str">
        <f>'дод 5'!B115</f>
        <v>0763</v>
      </c>
      <c r="D180" s="38" t="str">
        <f>'дод 5'!C115</f>
        <v>Забезпечення діяльності інших закладів у сфері охорони здоров'я</v>
      </c>
      <c r="E180" s="101">
        <f t="shared" si="80"/>
        <v>4113000</v>
      </c>
      <c r="F180" s="101">
        <v>4113000</v>
      </c>
      <c r="G180" s="101">
        <v>3079800</v>
      </c>
      <c r="H180" s="101">
        <v>154200</v>
      </c>
      <c r="I180" s="101"/>
      <c r="J180" s="101">
        <v>1974387.6</v>
      </c>
      <c r="K180" s="101">
        <v>1501519.72</v>
      </c>
      <c r="L180" s="101">
        <v>74827</v>
      </c>
      <c r="M180" s="112">
        <f t="shared" si="61"/>
        <v>48.003588621444202</v>
      </c>
      <c r="N180" s="101">
        <f t="shared" si="82"/>
        <v>0</v>
      </c>
      <c r="O180" s="101"/>
      <c r="P180" s="101"/>
      <c r="Q180" s="101"/>
      <c r="R180" s="101"/>
      <c r="S180" s="101"/>
      <c r="T180" s="101">
        <f t="shared" si="81"/>
        <v>4113000</v>
      </c>
      <c r="U180" s="104">
        <f t="shared" si="83"/>
        <v>125</v>
      </c>
      <c r="V180" s="104"/>
      <c r="W180" s="104">
        <v>125</v>
      </c>
      <c r="X180" s="104"/>
      <c r="Y180" s="104"/>
      <c r="Z180" s="104"/>
      <c r="AA180" s="112"/>
      <c r="AB180" s="101">
        <f t="shared" si="63"/>
        <v>1974512.6</v>
      </c>
    </row>
    <row r="181" spans="1:28" s="75" customFormat="1" ht="34.5" customHeight="1" x14ac:dyDescent="0.25">
      <c r="A181" s="1" t="s">
        <v>320</v>
      </c>
      <c r="B181" s="3" t="str">
        <f>'дод 5'!A116</f>
        <v>2152</v>
      </c>
      <c r="C181" s="3" t="str">
        <f>'дод 5'!B116</f>
        <v>0763</v>
      </c>
      <c r="D181" s="38" t="str">
        <f>'дод 5'!C116</f>
        <v>Інші програми та заходи у сфері охорони здоров'я</v>
      </c>
      <c r="E181" s="101">
        <f>F181+I181</f>
        <v>24510540</v>
      </c>
      <c r="F181" s="101">
        <f>23965400+250000+250000+45140</f>
        <v>24510540</v>
      </c>
      <c r="G181" s="101"/>
      <c r="H181" s="101"/>
      <c r="I181" s="101"/>
      <c r="J181" s="101">
        <v>9762653.0399999991</v>
      </c>
      <c r="K181" s="101"/>
      <c r="L181" s="101"/>
      <c r="M181" s="112">
        <f t="shared" si="61"/>
        <v>39.830428215779818</v>
      </c>
      <c r="N181" s="101">
        <f t="shared" si="82"/>
        <v>50000000</v>
      </c>
      <c r="O181" s="101">
        <v>50000000</v>
      </c>
      <c r="P181" s="101"/>
      <c r="Q181" s="101"/>
      <c r="R181" s="101"/>
      <c r="S181" s="101">
        <v>50000000</v>
      </c>
      <c r="T181" s="101">
        <f t="shared" si="81"/>
        <v>74510540</v>
      </c>
      <c r="U181" s="104">
        <f t="shared" si="83"/>
        <v>50190944</v>
      </c>
      <c r="V181" s="104">
        <v>50000000</v>
      </c>
      <c r="W181" s="104">
        <v>190944</v>
      </c>
      <c r="X181" s="104"/>
      <c r="Y181" s="104"/>
      <c r="Z181" s="104">
        <v>50000000</v>
      </c>
      <c r="AA181" s="112">
        <f t="shared" si="62"/>
        <v>100.381888</v>
      </c>
      <c r="AB181" s="101">
        <f t="shared" si="63"/>
        <v>59953597.039999999</v>
      </c>
    </row>
    <row r="182" spans="1:28" s="75" customFormat="1" ht="24.75" hidden="1" customHeight="1" x14ac:dyDescent="0.25">
      <c r="A182" s="1" t="s">
        <v>404</v>
      </c>
      <c r="B182" s="3">
        <v>7322</v>
      </c>
      <c r="C182" s="1" t="s">
        <v>110</v>
      </c>
      <c r="D182" s="4" t="str">
        <f>'дод 5'!C210</f>
        <v>Будівництво1 медичних установ та закладів</v>
      </c>
      <c r="E182" s="101">
        <f>F182+I182</f>
        <v>0</v>
      </c>
      <c r="F182" s="101"/>
      <c r="G182" s="101"/>
      <c r="H182" s="101"/>
      <c r="I182" s="101"/>
      <c r="J182" s="101"/>
      <c r="K182" s="101"/>
      <c r="L182" s="101"/>
      <c r="M182" s="112" t="e">
        <f t="shared" si="61"/>
        <v>#DIV/0!</v>
      </c>
      <c r="N182" s="101">
        <f t="shared" si="82"/>
        <v>0</v>
      </c>
      <c r="O182" s="101"/>
      <c r="P182" s="101"/>
      <c r="Q182" s="101"/>
      <c r="R182" s="101"/>
      <c r="S182" s="101"/>
      <c r="T182" s="101">
        <f t="shared" si="81"/>
        <v>0</v>
      </c>
      <c r="U182" s="104">
        <f t="shared" si="83"/>
        <v>0</v>
      </c>
      <c r="V182" s="104"/>
      <c r="W182" s="104"/>
      <c r="X182" s="104"/>
      <c r="Y182" s="104"/>
      <c r="Z182" s="104"/>
      <c r="AA182" s="112" t="e">
        <f t="shared" si="62"/>
        <v>#DIV/0!</v>
      </c>
      <c r="AB182" s="101">
        <f t="shared" si="63"/>
        <v>0</v>
      </c>
    </row>
    <row r="183" spans="1:28" s="75" customFormat="1" ht="47.25" hidden="1" customHeight="1" x14ac:dyDescent="0.25">
      <c r="A183" s="1" t="s">
        <v>367</v>
      </c>
      <c r="B183" s="3">
        <f>'дод 5'!A217</f>
        <v>7361</v>
      </c>
      <c r="C183" s="3" t="str">
        <f>'дод 5'!B217</f>
        <v>0490</v>
      </c>
      <c r="D183" s="38" t="str">
        <f>'дод 5'!C217</f>
        <v>Співфінансування інвестиційних проектів, що реалізуються за рахунок коштів державного фонду регіонального розвитку</v>
      </c>
      <c r="E183" s="101">
        <f t="shared" si="80"/>
        <v>0</v>
      </c>
      <c r="F183" s="101"/>
      <c r="G183" s="101"/>
      <c r="H183" s="101"/>
      <c r="I183" s="101"/>
      <c r="J183" s="101"/>
      <c r="K183" s="101"/>
      <c r="L183" s="101"/>
      <c r="M183" s="112" t="e">
        <f t="shared" si="61"/>
        <v>#DIV/0!</v>
      </c>
      <c r="N183" s="101">
        <f t="shared" si="82"/>
        <v>0</v>
      </c>
      <c r="O183" s="101"/>
      <c r="P183" s="101"/>
      <c r="Q183" s="101"/>
      <c r="R183" s="101"/>
      <c r="S183" s="101"/>
      <c r="T183" s="101">
        <f t="shared" si="81"/>
        <v>0</v>
      </c>
      <c r="U183" s="104">
        <f t="shared" si="83"/>
        <v>0</v>
      </c>
      <c r="V183" s="104"/>
      <c r="W183" s="104"/>
      <c r="X183" s="104"/>
      <c r="Y183" s="104"/>
      <c r="Z183" s="104"/>
      <c r="AA183" s="112" t="e">
        <f t="shared" si="62"/>
        <v>#DIV/0!</v>
      </c>
      <c r="AB183" s="101">
        <f t="shared" si="63"/>
        <v>0</v>
      </c>
    </row>
    <row r="184" spans="1:28" s="75" customFormat="1" ht="47.25" hidden="1" customHeight="1" x14ac:dyDescent="0.25">
      <c r="A184" s="1" t="s">
        <v>411</v>
      </c>
      <c r="B184" s="3">
        <v>7363</v>
      </c>
      <c r="C184" s="1" t="s">
        <v>81</v>
      </c>
      <c r="D184" s="38" t="s">
        <v>390</v>
      </c>
      <c r="E184" s="101">
        <f t="shared" si="80"/>
        <v>0</v>
      </c>
      <c r="F184" s="101"/>
      <c r="G184" s="101"/>
      <c r="H184" s="101"/>
      <c r="I184" s="101"/>
      <c r="J184" s="101"/>
      <c r="K184" s="101"/>
      <c r="L184" s="101"/>
      <c r="M184" s="112" t="e">
        <f t="shared" si="61"/>
        <v>#DIV/0!</v>
      </c>
      <c r="N184" s="101">
        <f t="shared" si="82"/>
        <v>0</v>
      </c>
      <c r="O184" s="101"/>
      <c r="P184" s="101"/>
      <c r="Q184" s="101"/>
      <c r="R184" s="101"/>
      <c r="S184" s="101"/>
      <c r="T184" s="101">
        <f t="shared" si="81"/>
        <v>0</v>
      </c>
      <c r="U184" s="104">
        <f t="shared" si="83"/>
        <v>0</v>
      </c>
      <c r="V184" s="104"/>
      <c r="W184" s="104"/>
      <c r="X184" s="104"/>
      <c r="Y184" s="104"/>
      <c r="Z184" s="104"/>
      <c r="AA184" s="112" t="e">
        <f t="shared" si="62"/>
        <v>#DIV/0!</v>
      </c>
      <c r="AB184" s="101">
        <f t="shared" si="63"/>
        <v>0</v>
      </c>
    </row>
    <row r="185" spans="1:28" s="75" customFormat="1" ht="47.25" hidden="1" customHeight="1" x14ac:dyDescent="0.25">
      <c r="A185" s="1"/>
      <c r="B185" s="3"/>
      <c r="C185" s="3"/>
      <c r="D185" s="39" t="s">
        <v>382</v>
      </c>
      <c r="E185" s="105">
        <f t="shared" si="80"/>
        <v>0</v>
      </c>
      <c r="F185" s="105"/>
      <c r="G185" s="105"/>
      <c r="H185" s="105"/>
      <c r="I185" s="105"/>
      <c r="J185" s="105"/>
      <c r="K185" s="105"/>
      <c r="L185" s="105"/>
      <c r="M185" s="112" t="e">
        <f t="shared" si="61"/>
        <v>#DIV/0!</v>
      </c>
      <c r="N185" s="105">
        <f t="shared" si="82"/>
        <v>0</v>
      </c>
      <c r="O185" s="105"/>
      <c r="P185" s="105"/>
      <c r="Q185" s="105"/>
      <c r="R185" s="105"/>
      <c r="S185" s="105"/>
      <c r="T185" s="105">
        <f t="shared" si="81"/>
        <v>0</v>
      </c>
      <c r="U185" s="104">
        <f t="shared" si="83"/>
        <v>0</v>
      </c>
      <c r="V185" s="104"/>
      <c r="W185" s="104"/>
      <c r="X185" s="104"/>
      <c r="Y185" s="104"/>
      <c r="Z185" s="104"/>
      <c r="AA185" s="112" t="e">
        <f t="shared" si="62"/>
        <v>#DIV/0!</v>
      </c>
      <c r="AB185" s="101">
        <f t="shared" si="63"/>
        <v>0</v>
      </c>
    </row>
    <row r="186" spans="1:28" s="75" customFormat="1" ht="23.25" customHeight="1" x14ac:dyDescent="0.25">
      <c r="A186" s="1" t="s">
        <v>170</v>
      </c>
      <c r="B186" s="3" t="str">
        <f>'дод 5'!A249</f>
        <v>7640</v>
      </c>
      <c r="C186" s="3" t="str">
        <f>'дод 5'!B249</f>
        <v>0470</v>
      </c>
      <c r="D186" s="38" t="s">
        <v>410</v>
      </c>
      <c r="E186" s="101">
        <f t="shared" si="80"/>
        <v>324600</v>
      </c>
      <c r="F186" s="101">
        <f>324600</f>
        <v>324600</v>
      </c>
      <c r="G186" s="101"/>
      <c r="H186" s="101"/>
      <c r="I186" s="101"/>
      <c r="J186" s="101">
        <v>65200</v>
      </c>
      <c r="K186" s="101"/>
      <c r="L186" s="101"/>
      <c r="M186" s="112">
        <f t="shared" si="61"/>
        <v>20.08626001232286</v>
      </c>
      <c r="N186" s="101">
        <f t="shared" si="82"/>
        <v>14649189.35</v>
      </c>
      <c r="O186" s="101">
        <f>5000000+9350000</f>
        <v>14350000</v>
      </c>
      <c r="P186" s="101">
        <v>61189.35</v>
      </c>
      <c r="Q186" s="101"/>
      <c r="R186" s="101"/>
      <c r="S186" s="101">
        <f>5000000+9350000+238000</f>
        <v>14588000</v>
      </c>
      <c r="T186" s="101">
        <f t="shared" si="81"/>
        <v>14973789.35</v>
      </c>
      <c r="U186" s="104">
        <f t="shared" si="83"/>
        <v>189090.84</v>
      </c>
      <c r="V186" s="104">
        <v>189090.84</v>
      </c>
      <c r="W186" s="104"/>
      <c r="X186" s="104"/>
      <c r="Y186" s="104"/>
      <c r="Z186" s="104">
        <v>189090.84</v>
      </c>
      <c r="AA186" s="112">
        <f t="shared" si="62"/>
        <v>1.2907938827345418</v>
      </c>
      <c r="AB186" s="101">
        <f t="shared" si="63"/>
        <v>254290.84</v>
      </c>
    </row>
    <row r="187" spans="1:28" s="5" customFormat="1" ht="15" hidden="1" customHeight="1" x14ac:dyDescent="0.25">
      <c r="A187" s="41"/>
      <c r="B187" s="28"/>
      <c r="C187" s="28"/>
      <c r="D187" s="39" t="s">
        <v>407</v>
      </c>
      <c r="E187" s="105">
        <f t="shared" si="80"/>
        <v>0</v>
      </c>
      <c r="F187" s="105"/>
      <c r="G187" s="105"/>
      <c r="H187" s="105"/>
      <c r="I187" s="105"/>
      <c r="J187" s="105"/>
      <c r="K187" s="105"/>
      <c r="L187" s="105"/>
      <c r="M187" s="112" t="e">
        <f t="shared" si="61"/>
        <v>#DIV/0!</v>
      </c>
      <c r="N187" s="105">
        <f t="shared" si="82"/>
        <v>0</v>
      </c>
      <c r="O187" s="105"/>
      <c r="P187" s="105"/>
      <c r="Q187" s="105"/>
      <c r="R187" s="105"/>
      <c r="S187" s="105"/>
      <c r="T187" s="101">
        <f t="shared" si="81"/>
        <v>0</v>
      </c>
      <c r="U187" s="104">
        <f t="shared" si="83"/>
        <v>0</v>
      </c>
      <c r="V187" s="106"/>
      <c r="W187" s="106"/>
      <c r="X187" s="106"/>
      <c r="Y187" s="106"/>
      <c r="Z187" s="106"/>
      <c r="AA187" s="112" t="e">
        <f t="shared" si="62"/>
        <v>#DIV/0!</v>
      </c>
      <c r="AB187" s="101">
        <f t="shared" si="63"/>
        <v>0</v>
      </c>
    </row>
    <row r="188" spans="1:28" s="5" customFormat="1" ht="15" customHeight="1" x14ac:dyDescent="0.25">
      <c r="A188" s="41"/>
      <c r="B188" s="28"/>
      <c r="C188" s="28"/>
      <c r="D188" s="39" t="s">
        <v>621</v>
      </c>
      <c r="E188" s="105">
        <f t="shared" si="80"/>
        <v>0</v>
      </c>
      <c r="F188" s="105"/>
      <c r="G188" s="105"/>
      <c r="H188" s="105"/>
      <c r="I188" s="105"/>
      <c r="J188" s="105"/>
      <c r="K188" s="105"/>
      <c r="L188" s="105"/>
      <c r="M188" s="112"/>
      <c r="N188" s="105">
        <f t="shared" si="82"/>
        <v>299189.34999999998</v>
      </c>
      <c r="O188" s="105"/>
      <c r="P188" s="105">
        <v>61189.35</v>
      </c>
      <c r="Q188" s="105"/>
      <c r="R188" s="105"/>
      <c r="S188" s="105">
        <v>238000</v>
      </c>
      <c r="T188" s="105">
        <f t="shared" si="81"/>
        <v>299189.34999999998</v>
      </c>
      <c r="U188" s="104">
        <f t="shared" si="83"/>
        <v>0</v>
      </c>
      <c r="V188" s="106"/>
      <c r="W188" s="106"/>
      <c r="X188" s="106"/>
      <c r="Y188" s="106"/>
      <c r="Z188" s="106"/>
      <c r="AA188" s="112">
        <f t="shared" si="62"/>
        <v>0</v>
      </c>
      <c r="AB188" s="105">
        <f t="shared" si="63"/>
        <v>0</v>
      </c>
    </row>
    <row r="189" spans="1:28" s="75" customFormat="1" ht="78" hidden="1" customHeight="1" x14ac:dyDescent="0.25">
      <c r="A189" s="1" t="s">
        <v>355</v>
      </c>
      <c r="B189" s="3">
        <v>7700</v>
      </c>
      <c r="C189" s="1" t="s">
        <v>92</v>
      </c>
      <c r="D189" s="38" t="str">
        <f>'дод 5'!C260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89" s="101">
        <f t="shared" si="80"/>
        <v>0</v>
      </c>
      <c r="F189" s="101"/>
      <c r="G189" s="101"/>
      <c r="H189" s="101"/>
      <c r="I189" s="101"/>
      <c r="J189" s="101"/>
      <c r="K189" s="101"/>
      <c r="L189" s="101"/>
      <c r="M189" s="112" t="e">
        <f t="shared" si="61"/>
        <v>#DIV/0!</v>
      </c>
      <c r="N189" s="101">
        <f t="shared" si="82"/>
        <v>0</v>
      </c>
      <c r="O189" s="101"/>
      <c r="P189" s="101"/>
      <c r="Q189" s="101"/>
      <c r="R189" s="101"/>
      <c r="S189" s="101"/>
      <c r="T189" s="101">
        <f t="shared" si="81"/>
        <v>0</v>
      </c>
      <c r="U189" s="104"/>
      <c r="V189" s="104"/>
      <c r="W189" s="104"/>
      <c r="X189" s="104"/>
      <c r="Y189" s="104"/>
      <c r="Z189" s="104"/>
      <c r="AA189" s="112" t="e">
        <f t="shared" si="62"/>
        <v>#DIV/0!</v>
      </c>
      <c r="AB189" s="101">
        <f t="shared" si="63"/>
        <v>0</v>
      </c>
    </row>
    <row r="190" spans="1:28" s="5" customFormat="1" ht="22.5" hidden="1" customHeight="1" x14ac:dyDescent="0.25">
      <c r="A190" s="41"/>
      <c r="B190" s="28"/>
      <c r="C190" s="41"/>
      <c r="D190" s="39" t="s">
        <v>621</v>
      </c>
      <c r="E190" s="105">
        <f t="shared" ref="E190" si="86">F190+I190</f>
        <v>0</v>
      </c>
      <c r="F190" s="105"/>
      <c r="G190" s="105"/>
      <c r="H190" s="105"/>
      <c r="I190" s="105"/>
      <c r="J190" s="105"/>
      <c r="K190" s="105"/>
      <c r="L190" s="105"/>
      <c r="M190" s="112" t="e">
        <f t="shared" si="61"/>
        <v>#DIV/0!</v>
      </c>
      <c r="N190" s="105">
        <f t="shared" ref="N190" si="87">P190+S190</f>
        <v>0</v>
      </c>
      <c r="O190" s="105"/>
      <c r="P190" s="105"/>
      <c r="Q190" s="105"/>
      <c r="R190" s="105"/>
      <c r="S190" s="105"/>
      <c r="T190" s="105">
        <f t="shared" ref="T190" si="88">E190+N190</f>
        <v>0</v>
      </c>
      <c r="U190" s="106"/>
      <c r="V190" s="106"/>
      <c r="W190" s="106"/>
      <c r="X190" s="106"/>
      <c r="Y190" s="106"/>
      <c r="Z190" s="106"/>
      <c r="AA190" s="112" t="e">
        <f t="shared" si="62"/>
        <v>#DIV/0!</v>
      </c>
      <c r="AB190" s="101">
        <f t="shared" si="63"/>
        <v>0</v>
      </c>
    </row>
    <row r="191" spans="1:28" s="75" customFormat="1" ht="15.75" hidden="1" customHeight="1" x14ac:dyDescent="0.25">
      <c r="A191" s="1" t="s">
        <v>416</v>
      </c>
      <c r="B191" s="3">
        <v>9770</v>
      </c>
      <c r="C191" s="1" t="s">
        <v>44</v>
      </c>
      <c r="D191" s="38" t="s">
        <v>417</v>
      </c>
      <c r="E191" s="101">
        <f t="shared" si="80"/>
        <v>0</v>
      </c>
      <c r="F191" s="101"/>
      <c r="G191" s="101"/>
      <c r="H191" s="101"/>
      <c r="I191" s="101"/>
      <c r="J191" s="101"/>
      <c r="K191" s="101"/>
      <c r="L191" s="101"/>
      <c r="M191" s="112" t="e">
        <f t="shared" si="61"/>
        <v>#DIV/0!</v>
      </c>
      <c r="N191" s="101">
        <f t="shared" si="82"/>
        <v>0</v>
      </c>
      <c r="O191" s="101"/>
      <c r="P191" s="101"/>
      <c r="Q191" s="101"/>
      <c r="R191" s="101"/>
      <c r="S191" s="101"/>
      <c r="T191" s="101">
        <f t="shared" si="81"/>
        <v>0</v>
      </c>
      <c r="U191" s="104"/>
      <c r="V191" s="104"/>
      <c r="W191" s="104"/>
      <c r="X191" s="104"/>
      <c r="Y191" s="104"/>
      <c r="Z191" s="104"/>
      <c r="AA191" s="112" t="e">
        <f t="shared" si="62"/>
        <v>#DIV/0!</v>
      </c>
      <c r="AB191" s="101">
        <f t="shared" si="63"/>
        <v>0</v>
      </c>
    </row>
    <row r="192" spans="1:28" s="75" customFormat="1" ht="38.25" hidden="1" customHeight="1" x14ac:dyDescent="0.25">
      <c r="A192" s="1" t="s">
        <v>581</v>
      </c>
      <c r="B192" s="3">
        <v>8775</v>
      </c>
      <c r="C192" s="1" t="s">
        <v>92</v>
      </c>
      <c r="D192" s="38" t="s">
        <v>580</v>
      </c>
      <c r="E192" s="101">
        <f>F192</f>
        <v>0</v>
      </c>
      <c r="F192" s="101"/>
      <c r="G192" s="101"/>
      <c r="H192" s="101"/>
      <c r="I192" s="101"/>
      <c r="J192" s="101"/>
      <c r="K192" s="101"/>
      <c r="L192" s="101"/>
      <c r="M192" s="112" t="e">
        <f t="shared" si="61"/>
        <v>#DIV/0!</v>
      </c>
      <c r="N192" s="101">
        <f t="shared" si="82"/>
        <v>0</v>
      </c>
      <c r="O192" s="101"/>
      <c r="P192" s="101"/>
      <c r="Q192" s="101"/>
      <c r="R192" s="101"/>
      <c r="S192" s="101"/>
      <c r="T192" s="101">
        <f t="shared" si="81"/>
        <v>0</v>
      </c>
      <c r="U192" s="104"/>
      <c r="V192" s="104"/>
      <c r="W192" s="104"/>
      <c r="X192" s="104"/>
      <c r="Y192" s="104"/>
      <c r="Z192" s="104"/>
      <c r="AA192" s="112" t="e">
        <f t="shared" si="62"/>
        <v>#DIV/0!</v>
      </c>
      <c r="AB192" s="101">
        <f t="shared" si="63"/>
        <v>0</v>
      </c>
    </row>
    <row r="193" spans="1:28" s="74" customFormat="1" ht="36" customHeight="1" x14ac:dyDescent="0.25">
      <c r="A193" s="61" t="s">
        <v>175</v>
      </c>
      <c r="B193" s="33"/>
      <c r="C193" s="33"/>
      <c r="D193" s="59" t="s">
        <v>37</v>
      </c>
      <c r="E193" s="100">
        <f>E194</f>
        <v>437973823.81</v>
      </c>
      <c r="F193" s="100">
        <f t="shared" ref="F193:Z193" si="89">F194</f>
        <v>437973823.81</v>
      </c>
      <c r="G193" s="100">
        <f t="shared" si="89"/>
        <v>71116500</v>
      </c>
      <c r="H193" s="100">
        <f t="shared" si="89"/>
        <v>3524300</v>
      </c>
      <c r="I193" s="100">
        <f t="shared" si="89"/>
        <v>0</v>
      </c>
      <c r="J193" s="100">
        <f t="shared" si="89"/>
        <v>216439995.61999997</v>
      </c>
      <c r="K193" s="100">
        <f t="shared" si="89"/>
        <v>32534854.579999998</v>
      </c>
      <c r="L193" s="100">
        <f t="shared" si="89"/>
        <v>1174429.83</v>
      </c>
      <c r="M193" s="117">
        <f t="shared" si="61"/>
        <v>49.418477510175371</v>
      </c>
      <c r="N193" s="100">
        <f t="shared" si="89"/>
        <v>68600</v>
      </c>
      <c r="O193" s="100">
        <f t="shared" si="89"/>
        <v>0</v>
      </c>
      <c r="P193" s="100">
        <f t="shared" si="89"/>
        <v>68600</v>
      </c>
      <c r="Q193" s="100">
        <f t="shared" si="89"/>
        <v>56100</v>
      </c>
      <c r="R193" s="100">
        <f t="shared" si="89"/>
        <v>0</v>
      </c>
      <c r="S193" s="100">
        <f t="shared" si="89"/>
        <v>0</v>
      </c>
      <c r="T193" s="100">
        <f t="shared" si="89"/>
        <v>438042423.81</v>
      </c>
      <c r="U193" s="100">
        <f t="shared" si="89"/>
        <v>6778601.1499999994</v>
      </c>
      <c r="V193" s="100">
        <f t="shared" si="89"/>
        <v>0</v>
      </c>
      <c r="W193" s="100">
        <f t="shared" si="89"/>
        <v>5243884.0600000005</v>
      </c>
      <c r="X193" s="100">
        <f t="shared" si="89"/>
        <v>137839.37</v>
      </c>
      <c r="Y193" s="100">
        <f t="shared" si="89"/>
        <v>0</v>
      </c>
      <c r="Z193" s="100">
        <f t="shared" si="89"/>
        <v>1534717.0899999999</v>
      </c>
      <c r="AA193" s="117" t="s">
        <v>721</v>
      </c>
      <c r="AB193" s="100">
        <f t="shared" si="63"/>
        <v>223218596.76999998</v>
      </c>
    </row>
    <row r="194" spans="1:28" s="9" customFormat="1" ht="32.25" customHeight="1" x14ac:dyDescent="0.25">
      <c r="A194" s="6" t="s">
        <v>176</v>
      </c>
      <c r="B194" s="7"/>
      <c r="C194" s="7"/>
      <c r="D194" s="8" t="s">
        <v>624</v>
      </c>
      <c r="E194" s="102">
        <f>E200+E201+E202+E203+E204+E206+E207+E208+E210+E212+E214+E217+E219+E221+E222+E223+E224+E225+E226+E228+E230+E232+E233+E236+E240+E213+E237+E239+E238</f>
        <v>437973823.81</v>
      </c>
      <c r="F194" s="102">
        <f t="shared" ref="F194:Z194" si="90">F200+F201+F202+F203+F204+F206+F207+F208+F210+F212+F214+F217+F219+F221+F222+F223+F224+F225+F226+F228+F230+F232+F233+F236+F240+F213+F237+F239+F238</f>
        <v>437973823.81</v>
      </c>
      <c r="G194" s="102">
        <f t="shared" si="90"/>
        <v>71116500</v>
      </c>
      <c r="H194" s="102">
        <f t="shared" si="90"/>
        <v>3524300</v>
      </c>
      <c r="I194" s="102">
        <f t="shared" si="90"/>
        <v>0</v>
      </c>
      <c r="J194" s="102">
        <f t="shared" si="90"/>
        <v>216439995.61999997</v>
      </c>
      <c r="K194" s="102">
        <f t="shared" si="90"/>
        <v>32534854.579999998</v>
      </c>
      <c r="L194" s="102">
        <f t="shared" si="90"/>
        <v>1174429.83</v>
      </c>
      <c r="M194" s="118">
        <f t="shared" si="61"/>
        <v>49.418477510175371</v>
      </c>
      <c r="N194" s="102">
        <f t="shared" si="90"/>
        <v>68600</v>
      </c>
      <c r="O194" s="102">
        <f t="shared" si="90"/>
        <v>0</v>
      </c>
      <c r="P194" s="102">
        <f t="shared" si="90"/>
        <v>68600</v>
      </c>
      <c r="Q194" s="102">
        <f t="shared" si="90"/>
        <v>56100</v>
      </c>
      <c r="R194" s="102">
        <f t="shared" si="90"/>
        <v>0</v>
      </c>
      <c r="S194" s="102">
        <f t="shared" si="90"/>
        <v>0</v>
      </c>
      <c r="T194" s="102">
        <f t="shared" si="90"/>
        <v>438042423.81</v>
      </c>
      <c r="U194" s="102">
        <f t="shared" si="90"/>
        <v>6778601.1499999994</v>
      </c>
      <c r="V194" s="102">
        <f t="shared" si="90"/>
        <v>0</v>
      </c>
      <c r="W194" s="102">
        <f t="shared" si="90"/>
        <v>5243884.0600000005</v>
      </c>
      <c r="X194" s="102">
        <f t="shared" si="90"/>
        <v>137839.37</v>
      </c>
      <c r="Y194" s="102">
        <f t="shared" si="90"/>
        <v>0</v>
      </c>
      <c r="Z194" s="102">
        <f t="shared" si="90"/>
        <v>1534717.0899999999</v>
      </c>
      <c r="AA194" s="118" t="s">
        <v>721</v>
      </c>
      <c r="AB194" s="102">
        <f t="shared" si="63"/>
        <v>223218596.76999998</v>
      </c>
    </row>
    <row r="195" spans="1:28" s="9" customFormat="1" ht="324.75" hidden="1" customHeight="1" x14ac:dyDescent="0.25">
      <c r="A195" s="6"/>
      <c r="B195" s="7"/>
      <c r="C195" s="7"/>
      <c r="D195" s="8" t="s">
        <v>660</v>
      </c>
      <c r="E195" s="102">
        <f t="shared" ref="E195" si="91">E227</f>
        <v>0</v>
      </c>
      <c r="F195" s="102">
        <f t="shared" ref="F195:Z195" si="92">F227</f>
        <v>0</v>
      </c>
      <c r="G195" s="102">
        <f t="shared" si="92"/>
        <v>0</v>
      </c>
      <c r="H195" s="102">
        <f t="shared" si="92"/>
        <v>0</v>
      </c>
      <c r="I195" s="102">
        <f t="shared" si="92"/>
        <v>0</v>
      </c>
      <c r="J195" s="102">
        <f t="shared" si="92"/>
        <v>0</v>
      </c>
      <c r="K195" s="102">
        <f t="shared" si="92"/>
        <v>0</v>
      </c>
      <c r="L195" s="102">
        <f t="shared" si="92"/>
        <v>0</v>
      </c>
      <c r="M195" s="118" t="e">
        <f t="shared" si="61"/>
        <v>#DIV/0!</v>
      </c>
      <c r="N195" s="102">
        <f t="shared" si="92"/>
        <v>0</v>
      </c>
      <c r="O195" s="102">
        <f t="shared" si="92"/>
        <v>0</v>
      </c>
      <c r="P195" s="102">
        <f t="shared" si="92"/>
        <v>0</v>
      </c>
      <c r="Q195" s="102">
        <f t="shared" si="92"/>
        <v>0</v>
      </c>
      <c r="R195" s="102">
        <f t="shared" si="92"/>
        <v>0</v>
      </c>
      <c r="S195" s="102">
        <f t="shared" si="92"/>
        <v>0</v>
      </c>
      <c r="T195" s="102">
        <f t="shared" si="92"/>
        <v>0</v>
      </c>
      <c r="U195" s="102">
        <f t="shared" si="92"/>
        <v>0</v>
      </c>
      <c r="V195" s="102">
        <f t="shared" si="92"/>
        <v>0</v>
      </c>
      <c r="W195" s="102">
        <f t="shared" si="92"/>
        <v>0</v>
      </c>
      <c r="X195" s="102">
        <f t="shared" si="92"/>
        <v>0</v>
      </c>
      <c r="Y195" s="102">
        <f t="shared" si="92"/>
        <v>0</v>
      </c>
      <c r="Z195" s="102">
        <f t="shared" si="92"/>
        <v>0</v>
      </c>
      <c r="AA195" s="112" t="e">
        <f t="shared" si="62"/>
        <v>#DIV/0!</v>
      </c>
      <c r="AB195" s="102">
        <f t="shared" si="63"/>
        <v>0</v>
      </c>
    </row>
    <row r="196" spans="1:28" s="9" customFormat="1" ht="106.15" hidden="1" customHeight="1" x14ac:dyDescent="0.25">
      <c r="A196" s="6"/>
      <c r="B196" s="7"/>
      <c r="C196" s="7"/>
      <c r="D196" s="8" t="s">
        <v>662</v>
      </c>
      <c r="E196" s="102">
        <f>E231</f>
        <v>0</v>
      </c>
      <c r="F196" s="102">
        <f t="shared" ref="F196:Z196" si="93">F231</f>
        <v>0</v>
      </c>
      <c r="G196" s="102">
        <f t="shared" si="93"/>
        <v>0</v>
      </c>
      <c r="H196" s="102">
        <f t="shared" si="93"/>
        <v>0</v>
      </c>
      <c r="I196" s="102">
        <f t="shared" si="93"/>
        <v>0</v>
      </c>
      <c r="J196" s="102">
        <f t="shared" si="93"/>
        <v>0</v>
      </c>
      <c r="K196" s="102">
        <f t="shared" si="93"/>
        <v>0</v>
      </c>
      <c r="L196" s="102">
        <f t="shared" si="93"/>
        <v>0</v>
      </c>
      <c r="M196" s="118" t="e">
        <f t="shared" si="61"/>
        <v>#DIV/0!</v>
      </c>
      <c r="N196" s="102">
        <f t="shared" si="93"/>
        <v>0</v>
      </c>
      <c r="O196" s="102">
        <f t="shared" si="93"/>
        <v>0</v>
      </c>
      <c r="P196" s="102">
        <f t="shared" si="93"/>
        <v>0</v>
      </c>
      <c r="Q196" s="102">
        <f t="shared" si="93"/>
        <v>0</v>
      </c>
      <c r="R196" s="102">
        <f t="shared" si="93"/>
        <v>0</v>
      </c>
      <c r="S196" s="102">
        <f t="shared" si="93"/>
        <v>0</v>
      </c>
      <c r="T196" s="102">
        <f t="shared" si="93"/>
        <v>0</v>
      </c>
      <c r="U196" s="102">
        <f t="shared" si="93"/>
        <v>0</v>
      </c>
      <c r="V196" s="102">
        <f t="shared" si="93"/>
        <v>0</v>
      </c>
      <c r="W196" s="102">
        <f t="shared" si="93"/>
        <v>0</v>
      </c>
      <c r="X196" s="102">
        <f t="shared" si="93"/>
        <v>0</v>
      </c>
      <c r="Y196" s="102">
        <f t="shared" si="93"/>
        <v>0</v>
      </c>
      <c r="Z196" s="102">
        <f t="shared" si="93"/>
        <v>0</v>
      </c>
      <c r="AA196" s="112" t="e">
        <f t="shared" si="62"/>
        <v>#DIV/0!</v>
      </c>
      <c r="AB196" s="102">
        <f t="shared" si="63"/>
        <v>0</v>
      </c>
    </row>
    <row r="197" spans="1:28" s="9" customFormat="1" ht="21" customHeight="1" x14ac:dyDescent="0.25">
      <c r="A197" s="6"/>
      <c r="B197" s="7"/>
      <c r="C197" s="7"/>
      <c r="D197" s="8" t="s">
        <v>388</v>
      </c>
      <c r="E197" s="102">
        <f>E205+E209+E211+E218+E220+E234</f>
        <v>3122808.81</v>
      </c>
      <c r="F197" s="102">
        <f t="shared" ref="F197:Z197" si="94">F205+F209+F211+F218+F220+F234</f>
        <v>3122808.81</v>
      </c>
      <c r="G197" s="102">
        <f t="shared" si="94"/>
        <v>0</v>
      </c>
      <c r="H197" s="102">
        <f t="shared" si="94"/>
        <v>0</v>
      </c>
      <c r="I197" s="102">
        <f t="shared" si="94"/>
        <v>0</v>
      </c>
      <c r="J197" s="102">
        <f t="shared" si="94"/>
        <v>741767.97</v>
      </c>
      <c r="K197" s="102">
        <f t="shared" si="94"/>
        <v>0</v>
      </c>
      <c r="L197" s="102">
        <f t="shared" si="94"/>
        <v>0</v>
      </c>
      <c r="M197" s="118">
        <f t="shared" si="61"/>
        <v>23.753230349058736</v>
      </c>
      <c r="N197" s="102">
        <f t="shared" si="94"/>
        <v>0</v>
      </c>
      <c r="O197" s="102">
        <f t="shared" si="94"/>
        <v>0</v>
      </c>
      <c r="P197" s="102">
        <f t="shared" si="94"/>
        <v>0</v>
      </c>
      <c r="Q197" s="102">
        <f t="shared" si="94"/>
        <v>0</v>
      </c>
      <c r="R197" s="102">
        <f t="shared" si="94"/>
        <v>0</v>
      </c>
      <c r="S197" s="102">
        <f t="shared" si="94"/>
        <v>0</v>
      </c>
      <c r="T197" s="102">
        <f t="shared" si="94"/>
        <v>3122808.81</v>
      </c>
      <c r="U197" s="102">
        <f t="shared" si="94"/>
        <v>0</v>
      </c>
      <c r="V197" s="102">
        <f t="shared" si="94"/>
        <v>0</v>
      </c>
      <c r="W197" s="102">
        <f t="shared" si="94"/>
        <v>0</v>
      </c>
      <c r="X197" s="102">
        <f t="shared" si="94"/>
        <v>0</v>
      </c>
      <c r="Y197" s="102">
        <f t="shared" si="94"/>
        <v>0</v>
      </c>
      <c r="Z197" s="102">
        <f t="shared" si="94"/>
        <v>0</v>
      </c>
      <c r="AA197" s="112"/>
      <c r="AB197" s="102">
        <f t="shared" si="63"/>
        <v>741767.97</v>
      </c>
    </row>
    <row r="198" spans="1:28" s="9" customFormat="1" ht="117" customHeight="1" x14ac:dyDescent="0.25">
      <c r="A198" s="6"/>
      <c r="B198" s="7"/>
      <c r="C198" s="7"/>
      <c r="D198" s="8" t="s">
        <v>688</v>
      </c>
      <c r="E198" s="102">
        <f>E215</f>
        <v>1495257</v>
      </c>
      <c r="F198" s="102">
        <f t="shared" ref="F198:Z198" si="95">F215</f>
        <v>1495257</v>
      </c>
      <c r="G198" s="102">
        <f t="shared" si="95"/>
        <v>0</v>
      </c>
      <c r="H198" s="102">
        <f t="shared" si="95"/>
        <v>0</v>
      </c>
      <c r="I198" s="102">
        <f t="shared" si="95"/>
        <v>0</v>
      </c>
      <c r="J198" s="102">
        <f t="shared" si="95"/>
        <v>1495257</v>
      </c>
      <c r="K198" s="102">
        <f t="shared" si="95"/>
        <v>0</v>
      </c>
      <c r="L198" s="102">
        <f t="shared" si="95"/>
        <v>0</v>
      </c>
      <c r="M198" s="118">
        <f t="shared" si="61"/>
        <v>100</v>
      </c>
      <c r="N198" s="102">
        <f t="shared" si="95"/>
        <v>0</v>
      </c>
      <c r="O198" s="102">
        <f t="shared" si="95"/>
        <v>0</v>
      </c>
      <c r="P198" s="102">
        <f t="shared" si="95"/>
        <v>0</v>
      </c>
      <c r="Q198" s="102">
        <f t="shared" si="95"/>
        <v>0</v>
      </c>
      <c r="R198" s="102">
        <f t="shared" si="95"/>
        <v>0</v>
      </c>
      <c r="S198" s="102">
        <f t="shared" si="95"/>
        <v>0</v>
      </c>
      <c r="T198" s="102">
        <f t="shared" si="95"/>
        <v>1495257</v>
      </c>
      <c r="U198" s="102">
        <f t="shared" si="95"/>
        <v>0</v>
      </c>
      <c r="V198" s="102">
        <f t="shared" si="95"/>
        <v>0</v>
      </c>
      <c r="W198" s="102">
        <f t="shared" si="95"/>
        <v>0</v>
      </c>
      <c r="X198" s="102">
        <f t="shared" si="95"/>
        <v>0</v>
      </c>
      <c r="Y198" s="102">
        <f t="shared" si="95"/>
        <v>0</v>
      </c>
      <c r="Z198" s="102">
        <f t="shared" si="95"/>
        <v>0</v>
      </c>
      <c r="AA198" s="112"/>
      <c r="AB198" s="102">
        <f t="shared" si="63"/>
        <v>1495257</v>
      </c>
    </row>
    <row r="199" spans="1:28" s="9" customFormat="1" ht="101.25" customHeight="1" x14ac:dyDescent="0.25">
      <c r="A199" s="6"/>
      <c r="B199" s="7"/>
      <c r="C199" s="7"/>
      <c r="D199" s="8" t="str">
        <f>D216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9" s="102">
        <f>E216+E235</f>
        <v>71303000</v>
      </c>
      <c r="F199" s="102">
        <f t="shared" ref="F199:Z199" si="96">F216+F235</f>
        <v>71303000</v>
      </c>
      <c r="G199" s="102">
        <f t="shared" si="96"/>
        <v>0</v>
      </c>
      <c r="H199" s="102">
        <f t="shared" si="96"/>
        <v>0</v>
      </c>
      <c r="I199" s="102">
        <f t="shared" si="96"/>
        <v>0</v>
      </c>
      <c r="J199" s="102">
        <f t="shared" si="96"/>
        <v>21289195.330000002</v>
      </c>
      <c r="K199" s="102">
        <f t="shared" si="96"/>
        <v>0</v>
      </c>
      <c r="L199" s="102">
        <f t="shared" si="96"/>
        <v>0</v>
      </c>
      <c r="M199" s="118">
        <f t="shared" si="61"/>
        <v>29.857362705636515</v>
      </c>
      <c r="N199" s="102">
        <f t="shared" si="96"/>
        <v>0</v>
      </c>
      <c r="O199" s="102">
        <f t="shared" si="96"/>
        <v>0</v>
      </c>
      <c r="P199" s="102">
        <f t="shared" si="96"/>
        <v>0</v>
      </c>
      <c r="Q199" s="102">
        <f t="shared" si="96"/>
        <v>0</v>
      </c>
      <c r="R199" s="102">
        <f t="shared" si="96"/>
        <v>0</v>
      </c>
      <c r="S199" s="102">
        <f t="shared" si="96"/>
        <v>0</v>
      </c>
      <c r="T199" s="102">
        <f t="shared" si="96"/>
        <v>71303000</v>
      </c>
      <c r="U199" s="102">
        <f t="shared" si="96"/>
        <v>0</v>
      </c>
      <c r="V199" s="102">
        <f t="shared" si="96"/>
        <v>0</v>
      </c>
      <c r="W199" s="102">
        <f t="shared" si="96"/>
        <v>0</v>
      </c>
      <c r="X199" s="102">
        <f t="shared" si="96"/>
        <v>0</v>
      </c>
      <c r="Y199" s="102">
        <f t="shared" si="96"/>
        <v>0</v>
      </c>
      <c r="Z199" s="102">
        <f t="shared" si="96"/>
        <v>0</v>
      </c>
      <c r="AA199" s="112"/>
      <c r="AB199" s="102">
        <f t="shared" si="63"/>
        <v>21289195.330000002</v>
      </c>
    </row>
    <row r="200" spans="1:28" s="75" customFormat="1" ht="50.25" customHeight="1" x14ac:dyDescent="0.25">
      <c r="A200" s="1" t="s">
        <v>177</v>
      </c>
      <c r="B200" s="3" t="str">
        <f>'дод 5'!A18</f>
        <v>0160</v>
      </c>
      <c r="C200" s="3" t="str">
        <f>'дод 5'!B18</f>
        <v>0111</v>
      </c>
      <c r="D200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00" s="101">
        <f t="shared" ref="E200:E240" si="97">F200+I200</f>
        <v>62446200</v>
      </c>
      <c r="F200" s="101">
        <f>58927500-472300-796500+4787500</f>
        <v>62446200</v>
      </c>
      <c r="G200" s="101">
        <f>45101400-387100-652900+3927400</f>
        <v>47988800</v>
      </c>
      <c r="H200" s="101">
        <v>1900500</v>
      </c>
      <c r="I200" s="101"/>
      <c r="J200" s="101">
        <v>27897557.73</v>
      </c>
      <c r="K200" s="101">
        <v>21995737.239999998</v>
      </c>
      <c r="L200" s="101">
        <v>480502.1</v>
      </c>
      <c r="M200" s="112">
        <f t="shared" si="61"/>
        <v>44.67454821910701</v>
      </c>
      <c r="N200" s="101">
        <f>P200+S200</f>
        <v>0</v>
      </c>
      <c r="O200" s="101"/>
      <c r="P200" s="101"/>
      <c r="Q200" s="101"/>
      <c r="R200" s="101"/>
      <c r="S200" s="101"/>
      <c r="T200" s="101">
        <f t="shared" ref="T200:T240" si="98">E200+N200</f>
        <v>62446200</v>
      </c>
      <c r="U200" s="104">
        <f>W200+Z200</f>
        <v>4805908.8099999996</v>
      </c>
      <c r="V200" s="104"/>
      <c r="W200" s="104">
        <v>4090547.44</v>
      </c>
      <c r="X200" s="104"/>
      <c r="Y200" s="104"/>
      <c r="Z200" s="104">
        <v>715361.37</v>
      </c>
      <c r="AA200" s="112"/>
      <c r="AB200" s="101">
        <f t="shared" si="63"/>
        <v>32703466.539999999</v>
      </c>
    </row>
    <row r="201" spans="1:28" s="75" customFormat="1" ht="23.25" hidden="1" customHeight="1" x14ac:dyDescent="0.25">
      <c r="A201" s="1" t="s">
        <v>495</v>
      </c>
      <c r="B201" s="1" t="s">
        <v>44</v>
      </c>
      <c r="C201" s="1" t="s">
        <v>92</v>
      </c>
      <c r="D201" s="38" t="str">
        <f>'дод 5'!C20</f>
        <v>Інша діяльність у сфері державного управління</v>
      </c>
      <c r="E201" s="101">
        <f t="shared" si="97"/>
        <v>0</v>
      </c>
      <c r="F201" s="101"/>
      <c r="G201" s="101"/>
      <c r="H201" s="101"/>
      <c r="I201" s="101"/>
      <c r="J201" s="101"/>
      <c r="K201" s="101"/>
      <c r="L201" s="101"/>
      <c r="M201" s="112" t="e">
        <f t="shared" si="61"/>
        <v>#DIV/0!</v>
      </c>
      <c r="N201" s="101">
        <f>P201+S201</f>
        <v>0</v>
      </c>
      <c r="O201" s="101"/>
      <c r="P201" s="101"/>
      <c r="Q201" s="101"/>
      <c r="R201" s="101"/>
      <c r="S201" s="101"/>
      <c r="T201" s="101">
        <f t="shared" si="98"/>
        <v>0</v>
      </c>
      <c r="U201" s="104">
        <f t="shared" ref="U201:U240" si="99">W201+Z201</f>
        <v>0</v>
      </c>
      <c r="V201" s="104"/>
      <c r="W201" s="104"/>
      <c r="X201" s="104"/>
      <c r="Y201" s="104"/>
      <c r="Z201" s="104"/>
      <c r="AA201" s="112" t="e">
        <f t="shared" si="62"/>
        <v>#DIV/0!</v>
      </c>
      <c r="AB201" s="101">
        <f t="shared" si="63"/>
        <v>0</v>
      </c>
    </row>
    <row r="202" spans="1:28" s="75" customFormat="1" ht="36" customHeight="1" x14ac:dyDescent="0.25">
      <c r="A202" s="1" t="s">
        <v>178</v>
      </c>
      <c r="B202" s="3" t="str">
        <f>'дод 5'!A123</f>
        <v>3031</v>
      </c>
      <c r="C202" s="3" t="str">
        <f>'дод 5'!B123</f>
        <v>1030</v>
      </c>
      <c r="D202" s="38" t="str">
        <f>'дод 5'!C123</f>
        <v>Надання інших пільг окремим категоріям громадян відповідно до законодавства</v>
      </c>
      <c r="E202" s="101">
        <f t="shared" si="97"/>
        <v>466000</v>
      </c>
      <c r="F202" s="101">
        <v>466000</v>
      </c>
      <c r="G202" s="101"/>
      <c r="H202" s="101"/>
      <c r="I202" s="101"/>
      <c r="J202" s="101">
        <v>174765.54</v>
      </c>
      <c r="K202" s="101"/>
      <c r="L202" s="101"/>
      <c r="M202" s="112">
        <f t="shared" si="61"/>
        <v>37.503334763948502</v>
      </c>
      <c r="N202" s="101">
        <f t="shared" ref="N202:N231" si="100">P202+S202</f>
        <v>0</v>
      </c>
      <c r="O202" s="101"/>
      <c r="P202" s="101"/>
      <c r="Q202" s="101"/>
      <c r="R202" s="101"/>
      <c r="S202" s="101"/>
      <c r="T202" s="101">
        <f t="shared" si="98"/>
        <v>466000</v>
      </c>
      <c r="U202" s="104">
        <f t="shared" si="99"/>
        <v>0</v>
      </c>
      <c r="V202" s="104"/>
      <c r="W202" s="104"/>
      <c r="X202" s="104"/>
      <c r="Y202" s="104"/>
      <c r="Z202" s="104"/>
      <c r="AA202" s="112"/>
      <c r="AB202" s="101">
        <f t="shared" si="63"/>
        <v>174765.54</v>
      </c>
    </row>
    <row r="203" spans="1:28" s="75" customFormat="1" ht="33" customHeight="1" x14ac:dyDescent="0.25">
      <c r="A203" s="1" t="s">
        <v>179</v>
      </c>
      <c r="B203" s="3" t="str">
        <f>'дод 5'!A124</f>
        <v>3032</v>
      </c>
      <c r="C203" s="3" t="str">
        <f>'дод 5'!B124</f>
        <v>1070</v>
      </c>
      <c r="D203" s="38" t="str">
        <f>'дод 5'!C124</f>
        <v>Надання пільг окремим категоріям громадян з оплати послуг зв'язку</v>
      </c>
      <c r="E203" s="101">
        <f t="shared" si="97"/>
        <v>820450</v>
      </c>
      <c r="F203" s="101">
        <f>830000-9550</f>
        <v>820450</v>
      </c>
      <c r="G203" s="101"/>
      <c r="H203" s="101"/>
      <c r="I203" s="101"/>
      <c r="J203" s="101">
        <v>320665.63</v>
      </c>
      <c r="K203" s="101"/>
      <c r="L203" s="101"/>
      <c r="M203" s="112">
        <f t="shared" si="61"/>
        <v>39.084116033883845</v>
      </c>
      <c r="N203" s="101">
        <f t="shared" si="100"/>
        <v>0</v>
      </c>
      <c r="O203" s="101"/>
      <c r="P203" s="101"/>
      <c r="Q203" s="101"/>
      <c r="R203" s="101"/>
      <c r="S203" s="101"/>
      <c r="T203" s="101">
        <f t="shared" si="98"/>
        <v>820450</v>
      </c>
      <c r="U203" s="104">
        <f t="shared" si="99"/>
        <v>0</v>
      </c>
      <c r="V203" s="104"/>
      <c r="W203" s="104"/>
      <c r="X203" s="104"/>
      <c r="Y203" s="104"/>
      <c r="Z203" s="104"/>
      <c r="AA203" s="112"/>
      <c r="AB203" s="101">
        <f t="shared" si="63"/>
        <v>320665.63</v>
      </c>
    </row>
    <row r="204" spans="1:28" s="75" customFormat="1" ht="48.75" customHeight="1" x14ac:dyDescent="0.25">
      <c r="A204" s="1" t="s">
        <v>346</v>
      </c>
      <c r="B204" s="3" t="str">
        <f>'дод 5'!A125</f>
        <v>3033</v>
      </c>
      <c r="C204" s="3" t="str">
        <f>'дод 5'!B125</f>
        <v>1070</v>
      </c>
      <c r="D204" s="38" t="s">
        <v>399</v>
      </c>
      <c r="E204" s="101">
        <f t="shared" si="97"/>
        <v>20260679.810000002</v>
      </c>
      <c r="F204" s="101">
        <f>19330000-850000+1633519.01+147160.8</f>
        <v>20260679.810000002</v>
      </c>
      <c r="G204" s="101"/>
      <c r="H204" s="101"/>
      <c r="I204" s="101"/>
      <c r="J204" s="101">
        <v>5449124.2599999998</v>
      </c>
      <c r="K204" s="101"/>
      <c r="L204" s="101"/>
      <c r="M204" s="112">
        <f t="shared" si="61"/>
        <v>26.895071197514763</v>
      </c>
      <c r="N204" s="101">
        <f t="shared" si="100"/>
        <v>0</v>
      </c>
      <c r="O204" s="101"/>
      <c r="P204" s="101"/>
      <c r="Q204" s="101"/>
      <c r="R204" s="101"/>
      <c r="S204" s="101"/>
      <c r="T204" s="101">
        <f t="shared" si="98"/>
        <v>20260679.810000002</v>
      </c>
      <c r="U204" s="104">
        <f t="shared" si="99"/>
        <v>0</v>
      </c>
      <c r="V204" s="104"/>
      <c r="W204" s="104"/>
      <c r="X204" s="104"/>
      <c r="Y204" s="104"/>
      <c r="Z204" s="104"/>
      <c r="AA204" s="112"/>
      <c r="AB204" s="101">
        <f t="shared" si="63"/>
        <v>5449124.2599999998</v>
      </c>
    </row>
    <row r="205" spans="1:28" s="5" customFormat="1" ht="18.75" customHeight="1" x14ac:dyDescent="0.25">
      <c r="A205" s="41"/>
      <c r="B205" s="28"/>
      <c r="C205" s="28"/>
      <c r="D205" s="39" t="s">
        <v>387</v>
      </c>
      <c r="E205" s="105">
        <f t="shared" si="97"/>
        <v>1780679.81</v>
      </c>
      <c r="F205" s="105">
        <f>1633519.01+147160.8</f>
        <v>1780679.81</v>
      </c>
      <c r="G205" s="105"/>
      <c r="H205" s="105"/>
      <c r="I205" s="105"/>
      <c r="J205" s="105">
        <v>184152.68</v>
      </c>
      <c r="K205" s="105"/>
      <c r="L205" s="105"/>
      <c r="M205" s="119">
        <f t="shared" si="61"/>
        <v>10.341706519377</v>
      </c>
      <c r="N205" s="105">
        <f t="shared" si="100"/>
        <v>0</v>
      </c>
      <c r="O205" s="105"/>
      <c r="P205" s="105"/>
      <c r="Q205" s="105"/>
      <c r="R205" s="105"/>
      <c r="S205" s="105"/>
      <c r="T205" s="105">
        <f t="shared" si="98"/>
        <v>1780679.81</v>
      </c>
      <c r="U205" s="104">
        <f t="shared" si="99"/>
        <v>0</v>
      </c>
      <c r="V205" s="106"/>
      <c r="W205" s="106"/>
      <c r="X205" s="106"/>
      <c r="Y205" s="106"/>
      <c r="Z205" s="106"/>
      <c r="AA205" s="112"/>
      <c r="AB205" s="105">
        <f t="shared" si="63"/>
        <v>184152.68</v>
      </c>
    </row>
    <row r="206" spans="1:28" s="75" customFormat="1" ht="51" customHeight="1" x14ac:dyDescent="0.25">
      <c r="A206" s="1" t="s">
        <v>318</v>
      </c>
      <c r="B206" s="3" t="str">
        <f>'дод 5'!A127</f>
        <v>3035</v>
      </c>
      <c r="C206" s="3" t="str">
        <f>'дод 5'!B127</f>
        <v>1070</v>
      </c>
      <c r="D206" s="38" t="str">
        <f>'дод 5'!C127</f>
        <v>Компенсаційні виплати за пільговий проїзд окремих категорій громадян на залізничному транспорті</v>
      </c>
      <c r="E206" s="101">
        <f t="shared" si="97"/>
        <v>1000000</v>
      </c>
      <c r="F206" s="101">
        <f>2400000-1400000</f>
        <v>1000000</v>
      </c>
      <c r="G206" s="101"/>
      <c r="H206" s="101"/>
      <c r="I206" s="101"/>
      <c r="J206" s="101">
        <v>416665</v>
      </c>
      <c r="K206" s="101"/>
      <c r="L206" s="101"/>
      <c r="M206" s="112">
        <f t="shared" si="61"/>
        <v>41.666499999999999</v>
      </c>
      <c r="N206" s="101">
        <f t="shared" si="100"/>
        <v>0</v>
      </c>
      <c r="O206" s="101"/>
      <c r="P206" s="101"/>
      <c r="Q206" s="101"/>
      <c r="R206" s="101"/>
      <c r="S206" s="101"/>
      <c r="T206" s="101">
        <f t="shared" si="98"/>
        <v>1000000</v>
      </c>
      <c r="U206" s="104">
        <f t="shared" si="99"/>
        <v>0</v>
      </c>
      <c r="V206" s="104"/>
      <c r="W206" s="104"/>
      <c r="X206" s="104"/>
      <c r="Y206" s="104"/>
      <c r="Z206" s="104"/>
      <c r="AA206" s="112"/>
      <c r="AB206" s="101">
        <f t="shared" si="63"/>
        <v>416665</v>
      </c>
    </row>
    <row r="207" spans="1:28" s="75" customFormat="1" ht="52.5" customHeight="1" x14ac:dyDescent="0.25">
      <c r="A207" s="1" t="s">
        <v>180</v>
      </c>
      <c r="B207" s="3" t="str">
        <f>'дод 5'!A128</f>
        <v>3036</v>
      </c>
      <c r="C207" s="3" t="str">
        <f>'дод 5'!B128</f>
        <v>1070</v>
      </c>
      <c r="D207" s="38" t="str">
        <f>'дод 5'!C128</f>
        <v>Компенсаційні виплати на пільговий проїзд електротранспортом окремим категоріям громадян</v>
      </c>
      <c r="E207" s="101">
        <f t="shared" si="97"/>
        <v>44688000</v>
      </c>
      <c r="F207" s="101">
        <f>47688000-3000000</f>
        <v>44688000</v>
      </c>
      <c r="G207" s="101"/>
      <c r="H207" s="101"/>
      <c r="I207" s="101"/>
      <c r="J207" s="101">
        <v>11693999.789999999</v>
      </c>
      <c r="K207" s="101"/>
      <c r="L207" s="101"/>
      <c r="M207" s="112">
        <f t="shared" si="61"/>
        <v>26.168098348549947</v>
      </c>
      <c r="N207" s="101">
        <f t="shared" si="100"/>
        <v>0</v>
      </c>
      <c r="O207" s="101"/>
      <c r="P207" s="101"/>
      <c r="Q207" s="101"/>
      <c r="R207" s="101"/>
      <c r="S207" s="101"/>
      <c r="T207" s="101">
        <f t="shared" si="98"/>
        <v>44688000</v>
      </c>
      <c r="U207" s="104">
        <f t="shared" si="99"/>
        <v>0</v>
      </c>
      <c r="V207" s="104"/>
      <c r="W207" s="104"/>
      <c r="X207" s="104"/>
      <c r="Y207" s="104"/>
      <c r="Z207" s="104"/>
      <c r="AA207" s="112"/>
      <c r="AB207" s="101">
        <f t="shared" si="63"/>
        <v>11693999.789999999</v>
      </c>
    </row>
    <row r="208" spans="1:28" s="75" customFormat="1" ht="49.5" customHeight="1" x14ac:dyDescent="0.25">
      <c r="A208" s="1" t="s">
        <v>344</v>
      </c>
      <c r="B208" s="3" t="str">
        <f>'дод 5'!A129</f>
        <v>3050</v>
      </c>
      <c r="C208" s="3" t="str">
        <f>'дод 5'!B129</f>
        <v>1070</v>
      </c>
      <c r="D208" s="38" t="str">
        <f>'дод 5'!C129</f>
        <v>Пільгове медичне обслуговування осіб, які постраждали внаслідок Чорнобильської катастрофи, у т.ч. за рахунок:</v>
      </c>
      <c r="E208" s="101">
        <f t="shared" si="97"/>
        <v>782300</v>
      </c>
      <c r="F208" s="101">
        <v>782300</v>
      </c>
      <c r="G208" s="101"/>
      <c r="H208" s="101"/>
      <c r="I208" s="101"/>
      <c r="J208" s="101">
        <v>299215.73</v>
      </c>
      <c r="K208" s="101"/>
      <c r="L208" s="101"/>
      <c r="M208" s="112">
        <f t="shared" si="61"/>
        <v>38.248207848651411</v>
      </c>
      <c r="N208" s="101">
        <f t="shared" si="100"/>
        <v>0</v>
      </c>
      <c r="O208" s="101"/>
      <c r="P208" s="101"/>
      <c r="Q208" s="101"/>
      <c r="R208" s="101"/>
      <c r="S208" s="101"/>
      <c r="T208" s="101">
        <f t="shared" si="98"/>
        <v>782300</v>
      </c>
      <c r="U208" s="104">
        <f t="shared" si="99"/>
        <v>0</v>
      </c>
      <c r="V208" s="104"/>
      <c r="W208" s="104"/>
      <c r="X208" s="104"/>
      <c r="Y208" s="104"/>
      <c r="Z208" s="104"/>
      <c r="AA208" s="112"/>
      <c r="AB208" s="101">
        <f t="shared" si="63"/>
        <v>299215.73</v>
      </c>
    </row>
    <row r="209" spans="1:28" s="5" customFormat="1" ht="15.75" x14ac:dyDescent="0.25">
      <c r="A209" s="41"/>
      <c r="B209" s="28"/>
      <c r="C209" s="28"/>
      <c r="D209" s="39" t="s">
        <v>387</v>
      </c>
      <c r="E209" s="105">
        <f t="shared" si="97"/>
        <v>782300</v>
      </c>
      <c r="F209" s="105">
        <v>782300</v>
      </c>
      <c r="G209" s="105"/>
      <c r="H209" s="105"/>
      <c r="I209" s="105"/>
      <c r="J209" s="105">
        <v>299215.73</v>
      </c>
      <c r="K209" s="105"/>
      <c r="L209" s="105"/>
      <c r="M209" s="119">
        <f t="shared" ref="M209:M272" si="101">J209/E209*100</f>
        <v>38.248207848651411</v>
      </c>
      <c r="N209" s="105">
        <f t="shared" si="100"/>
        <v>0</v>
      </c>
      <c r="O209" s="105"/>
      <c r="P209" s="105"/>
      <c r="Q209" s="105"/>
      <c r="R209" s="105"/>
      <c r="S209" s="105"/>
      <c r="T209" s="105">
        <f t="shared" si="98"/>
        <v>782300</v>
      </c>
      <c r="U209" s="104">
        <f t="shared" si="99"/>
        <v>0</v>
      </c>
      <c r="V209" s="106"/>
      <c r="W209" s="106"/>
      <c r="X209" s="106"/>
      <c r="Y209" s="106"/>
      <c r="Z209" s="106"/>
      <c r="AA209" s="112"/>
      <c r="AB209" s="105">
        <f t="shared" ref="AB209:AB272" si="102">U209+J209</f>
        <v>299215.73</v>
      </c>
    </row>
    <row r="210" spans="1:28" s="75" customFormat="1" ht="51" customHeight="1" x14ac:dyDescent="0.25">
      <c r="A210" s="1" t="s">
        <v>345</v>
      </c>
      <c r="B210" s="3" t="str">
        <f>'дод 5'!A131</f>
        <v>3090</v>
      </c>
      <c r="C210" s="3" t="str">
        <f>'дод 5'!B131</f>
        <v>1030</v>
      </c>
      <c r="D210" s="38" t="str">
        <f>'дод 5'!C131</f>
        <v>Видатки на поховання учасників бойових дій та осіб з інвалідністю внаслідок війни, у т.ч. за рахунок:</v>
      </c>
      <c r="E210" s="101">
        <f t="shared" si="97"/>
        <v>83100</v>
      </c>
      <c r="F210" s="101">
        <f>287700-204600</f>
        <v>83100</v>
      </c>
      <c r="G210" s="101"/>
      <c r="H210" s="101"/>
      <c r="I210" s="101"/>
      <c r="J210" s="101">
        <v>44525.41</v>
      </c>
      <c r="K210" s="101"/>
      <c r="L210" s="101"/>
      <c r="M210" s="112">
        <f t="shared" si="101"/>
        <v>53.580517448856803</v>
      </c>
      <c r="N210" s="101">
        <f t="shared" si="100"/>
        <v>0</v>
      </c>
      <c r="O210" s="101"/>
      <c r="P210" s="101"/>
      <c r="Q210" s="101"/>
      <c r="R210" s="101"/>
      <c r="S210" s="101"/>
      <c r="T210" s="101">
        <f t="shared" si="98"/>
        <v>83100</v>
      </c>
      <c r="U210" s="104">
        <f t="shared" si="99"/>
        <v>0</v>
      </c>
      <c r="V210" s="104"/>
      <c r="W210" s="104"/>
      <c r="X210" s="104"/>
      <c r="Y210" s="104"/>
      <c r="Z210" s="104"/>
      <c r="AA210" s="112"/>
      <c r="AB210" s="101">
        <f t="shared" si="102"/>
        <v>44525.41</v>
      </c>
    </row>
    <row r="211" spans="1:28" s="5" customFormat="1" ht="21" customHeight="1" x14ac:dyDescent="0.25">
      <c r="A211" s="41"/>
      <c r="B211" s="28"/>
      <c r="C211" s="28"/>
      <c r="D211" s="39" t="s">
        <v>387</v>
      </c>
      <c r="E211" s="105">
        <f t="shared" si="97"/>
        <v>83100</v>
      </c>
      <c r="F211" s="105">
        <f>287700-204600</f>
        <v>83100</v>
      </c>
      <c r="G211" s="105"/>
      <c r="H211" s="105"/>
      <c r="I211" s="105"/>
      <c r="J211" s="105">
        <v>44525.41</v>
      </c>
      <c r="K211" s="105"/>
      <c r="L211" s="105"/>
      <c r="M211" s="119">
        <f t="shared" si="101"/>
        <v>53.580517448856803</v>
      </c>
      <c r="N211" s="105">
        <f t="shared" si="100"/>
        <v>0</v>
      </c>
      <c r="O211" s="105"/>
      <c r="P211" s="105"/>
      <c r="Q211" s="105"/>
      <c r="R211" s="105"/>
      <c r="S211" s="105"/>
      <c r="T211" s="105">
        <f t="shared" si="98"/>
        <v>83100</v>
      </c>
      <c r="U211" s="104">
        <f t="shared" si="99"/>
        <v>0</v>
      </c>
      <c r="V211" s="106"/>
      <c r="W211" s="106"/>
      <c r="X211" s="106"/>
      <c r="Y211" s="106"/>
      <c r="Z211" s="106"/>
      <c r="AA211" s="112"/>
      <c r="AB211" s="105">
        <f t="shared" si="102"/>
        <v>44525.41</v>
      </c>
    </row>
    <row r="212" spans="1:28" s="75" customFormat="1" ht="64.5" customHeight="1" x14ac:dyDescent="0.25">
      <c r="A212" s="1" t="s">
        <v>181</v>
      </c>
      <c r="B212" s="3" t="str">
        <f>'дод 5'!A133</f>
        <v>3104</v>
      </c>
      <c r="C212" s="3" t="str">
        <f>'дод 5'!B133</f>
        <v>1020</v>
      </c>
      <c r="D212" s="38" t="str">
        <f>'дод 5'!C133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12" s="101">
        <f>F212+I212</f>
        <v>26125300</v>
      </c>
      <c r="F212" s="101">
        <v>26125300</v>
      </c>
      <c r="G212" s="101">
        <v>19405100</v>
      </c>
      <c r="H212" s="101">
        <v>1117300</v>
      </c>
      <c r="I212" s="101"/>
      <c r="J212" s="101">
        <v>11715156.67</v>
      </c>
      <c r="K212" s="101">
        <v>8894727.9299999997</v>
      </c>
      <c r="L212" s="101">
        <v>488205.51</v>
      </c>
      <c r="M212" s="112">
        <f t="shared" si="101"/>
        <v>44.842190022698304</v>
      </c>
      <c r="N212" s="101">
        <f t="shared" si="100"/>
        <v>68600</v>
      </c>
      <c r="O212" s="101"/>
      <c r="P212" s="101">
        <v>68600</v>
      </c>
      <c r="Q212" s="101">
        <v>56100</v>
      </c>
      <c r="R212" s="101"/>
      <c r="S212" s="101"/>
      <c r="T212" s="101">
        <f t="shared" si="98"/>
        <v>26193900</v>
      </c>
      <c r="U212" s="104">
        <f t="shared" si="99"/>
        <v>744091.14</v>
      </c>
      <c r="V212" s="104"/>
      <c r="W212" s="104">
        <v>744091.14</v>
      </c>
      <c r="X212" s="104">
        <v>137839.37</v>
      </c>
      <c r="Y212" s="104"/>
      <c r="Z212" s="104"/>
      <c r="AA212" s="112" t="s">
        <v>722</v>
      </c>
      <c r="AB212" s="101">
        <f t="shared" si="102"/>
        <v>12459247.810000001</v>
      </c>
    </row>
    <row r="213" spans="1:28" s="75" customFormat="1" ht="64.5" customHeight="1" x14ac:dyDescent="0.25">
      <c r="A213" s="1" t="s">
        <v>549</v>
      </c>
      <c r="B213" s="3">
        <v>3140</v>
      </c>
      <c r="C213" s="24" t="s">
        <v>99</v>
      </c>
      <c r="D213" s="4" t="str">
        <f>'дод 5'!C139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13" s="101">
        <f t="shared" si="97"/>
        <v>1400000</v>
      </c>
      <c r="F213" s="101">
        <v>1400000</v>
      </c>
      <c r="G213" s="101"/>
      <c r="H213" s="101"/>
      <c r="I213" s="101"/>
      <c r="J213" s="101"/>
      <c r="K213" s="101"/>
      <c r="L213" s="101"/>
      <c r="M213" s="112">
        <f t="shared" si="101"/>
        <v>0</v>
      </c>
      <c r="N213" s="101">
        <f t="shared" si="100"/>
        <v>0</v>
      </c>
      <c r="O213" s="101"/>
      <c r="P213" s="101"/>
      <c r="Q213" s="101"/>
      <c r="R213" s="101"/>
      <c r="S213" s="101"/>
      <c r="T213" s="101">
        <f t="shared" si="98"/>
        <v>1400000</v>
      </c>
      <c r="U213" s="104">
        <f t="shared" si="99"/>
        <v>0</v>
      </c>
      <c r="V213" s="104"/>
      <c r="W213" s="104"/>
      <c r="X213" s="104"/>
      <c r="Y213" s="104"/>
      <c r="Z213" s="104"/>
      <c r="AA213" s="112"/>
      <c r="AB213" s="101">
        <f t="shared" si="102"/>
        <v>0</v>
      </c>
    </row>
    <row r="214" spans="1:28" s="75" customFormat="1" ht="96.75" customHeight="1" x14ac:dyDescent="0.25">
      <c r="A214" s="1" t="s">
        <v>182</v>
      </c>
      <c r="B214" s="3" t="str">
        <f>'дод 5'!A140</f>
        <v>3160</v>
      </c>
      <c r="C214" s="3">
        <f>'дод 5'!B140</f>
        <v>1010</v>
      </c>
      <c r="D214" s="38" t="str">
        <f>'дод 5'!C140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14" s="101">
        <f t="shared" si="97"/>
        <v>19840100</v>
      </c>
      <c r="F214" s="101">
        <f>16781400-12581400+753900+3504743+1495257+9886200</f>
        <v>19840100</v>
      </c>
      <c r="G214" s="101"/>
      <c r="H214" s="101"/>
      <c r="I214" s="101"/>
      <c r="J214" s="101">
        <v>9493372.7799999993</v>
      </c>
      <c r="K214" s="101"/>
      <c r="L214" s="101"/>
      <c r="M214" s="112">
        <f t="shared" si="101"/>
        <v>47.849420013003964</v>
      </c>
      <c r="N214" s="101">
        <f t="shared" si="100"/>
        <v>0</v>
      </c>
      <c r="O214" s="101"/>
      <c r="P214" s="101"/>
      <c r="Q214" s="101"/>
      <c r="R214" s="101"/>
      <c r="S214" s="101"/>
      <c r="T214" s="101">
        <f t="shared" si="98"/>
        <v>19840100</v>
      </c>
      <c r="U214" s="104">
        <f t="shared" si="99"/>
        <v>0</v>
      </c>
      <c r="V214" s="104"/>
      <c r="W214" s="104"/>
      <c r="X214" s="104"/>
      <c r="Y214" s="104"/>
      <c r="Z214" s="104"/>
      <c r="AA214" s="112"/>
      <c r="AB214" s="101">
        <f t="shared" si="102"/>
        <v>9493372.7799999993</v>
      </c>
    </row>
    <row r="215" spans="1:28" s="5" customFormat="1" ht="123.75" customHeight="1" x14ac:dyDescent="0.25">
      <c r="A215" s="41"/>
      <c r="B215" s="28"/>
      <c r="C215" s="28"/>
      <c r="D215" s="39" t="s">
        <v>688</v>
      </c>
      <c r="E215" s="105">
        <f t="shared" ref="E215" si="103">F215+I215</f>
        <v>1495257</v>
      </c>
      <c r="F215" s="105">
        <v>1495257</v>
      </c>
      <c r="G215" s="105"/>
      <c r="H215" s="105"/>
      <c r="I215" s="105"/>
      <c r="J215" s="105">
        <v>1495257</v>
      </c>
      <c r="K215" s="105"/>
      <c r="L215" s="105"/>
      <c r="M215" s="119">
        <f t="shared" si="101"/>
        <v>100</v>
      </c>
      <c r="N215" s="105">
        <f t="shared" ref="N215" si="104">P215+S215</f>
        <v>0</v>
      </c>
      <c r="O215" s="105"/>
      <c r="P215" s="105"/>
      <c r="Q215" s="105"/>
      <c r="R215" s="105"/>
      <c r="S215" s="105"/>
      <c r="T215" s="105">
        <f t="shared" ref="T215" si="105">E215+N215</f>
        <v>1495257</v>
      </c>
      <c r="U215" s="106">
        <f t="shared" si="99"/>
        <v>0</v>
      </c>
      <c r="V215" s="106"/>
      <c r="W215" s="106"/>
      <c r="X215" s="106"/>
      <c r="Y215" s="106"/>
      <c r="Z215" s="106"/>
      <c r="AA215" s="119"/>
      <c r="AB215" s="105">
        <f t="shared" si="102"/>
        <v>1495257</v>
      </c>
    </row>
    <row r="216" spans="1:28" s="5" customFormat="1" ht="115.5" customHeight="1" x14ac:dyDescent="0.25">
      <c r="A216" s="41"/>
      <c r="B216" s="28"/>
      <c r="C216" s="28"/>
      <c r="D216" s="39" t="s">
        <v>644</v>
      </c>
      <c r="E216" s="105">
        <f t="shared" ref="E216" si="106">F216+I216</f>
        <v>9886200</v>
      </c>
      <c r="F216" s="105">
        <v>9886200</v>
      </c>
      <c r="G216" s="105"/>
      <c r="H216" s="105"/>
      <c r="I216" s="105"/>
      <c r="J216" s="105">
        <v>37594.21</v>
      </c>
      <c r="K216" s="105"/>
      <c r="L216" s="105"/>
      <c r="M216" s="119">
        <f t="shared" si="101"/>
        <v>0.3802695676802007</v>
      </c>
      <c r="N216" s="105">
        <f t="shared" ref="N216" si="107">P216+S216</f>
        <v>0</v>
      </c>
      <c r="O216" s="105"/>
      <c r="P216" s="105"/>
      <c r="Q216" s="105"/>
      <c r="R216" s="105"/>
      <c r="S216" s="105"/>
      <c r="T216" s="105">
        <f t="shared" ref="T216" si="108">E216+N216</f>
        <v>9886200</v>
      </c>
      <c r="U216" s="106">
        <f t="shared" si="99"/>
        <v>0</v>
      </c>
      <c r="V216" s="106"/>
      <c r="W216" s="106"/>
      <c r="X216" s="106"/>
      <c r="Y216" s="106"/>
      <c r="Z216" s="106"/>
      <c r="AA216" s="119"/>
      <c r="AB216" s="105">
        <f t="shared" si="102"/>
        <v>37594.21</v>
      </c>
    </row>
    <row r="217" spans="1:28" s="75" customFormat="1" ht="63" customHeight="1" x14ac:dyDescent="0.25">
      <c r="A217" s="1" t="s">
        <v>347</v>
      </c>
      <c r="B217" s="3" t="str">
        <f>'дод 5'!A143</f>
        <v>3171</v>
      </c>
      <c r="C217" s="3">
        <f>'дод 5'!B143</f>
        <v>1010</v>
      </c>
      <c r="D217" s="38" t="s">
        <v>394</v>
      </c>
      <c r="E217" s="101">
        <f t="shared" si="97"/>
        <v>215129</v>
      </c>
      <c r="F217" s="101">
        <v>215129</v>
      </c>
      <c r="G217" s="101"/>
      <c r="H217" s="101"/>
      <c r="I217" s="101"/>
      <c r="J217" s="101">
        <v>96274.15</v>
      </c>
      <c r="K217" s="101"/>
      <c r="L217" s="101"/>
      <c r="M217" s="112">
        <f t="shared" si="101"/>
        <v>44.751823324609887</v>
      </c>
      <c r="N217" s="101">
        <f t="shared" si="100"/>
        <v>0</v>
      </c>
      <c r="O217" s="101"/>
      <c r="P217" s="101"/>
      <c r="Q217" s="101"/>
      <c r="R217" s="101"/>
      <c r="S217" s="101"/>
      <c r="T217" s="101">
        <f t="shared" si="98"/>
        <v>215129</v>
      </c>
      <c r="U217" s="104">
        <f t="shared" si="99"/>
        <v>0</v>
      </c>
      <c r="V217" s="104"/>
      <c r="W217" s="104"/>
      <c r="X217" s="104"/>
      <c r="Y217" s="104"/>
      <c r="Z217" s="104"/>
      <c r="AA217" s="112"/>
      <c r="AB217" s="101">
        <f t="shared" si="102"/>
        <v>96274.15</v>
      </c>
    </row>
    <row r="218" spans="1:28" s="5" customFormat="1" ht="18" customHeight="1" x14ac:dyDescent="0.25">
      <c r="A218" s="41"/>
      <c r="B218" s="28"/>
      <c r="C218" s="28"/>
      <c r="D218" s="39" t="s">
        <v>387</v>
      </c>
      <c r="E218" s="105">
        <f t="shared" si="97"/>
        <v>215129</v>
      </c>
      <c r="F218" s="105">
        <v>215129</v>
      </c>
      <c r="G218" s="105"/>
      <c r="H218" s="105"/>
      <c r="I218" s="105"/>
      <c r="J218" s="105">
        <v>96274.15</v>
      </c>
      <c r="K218" s="105"/>
      <c r="L218" s="105"/>
      <c r="M218" s="112">
        <f t="shared" si="101"/>
        <v>44.751823324609887</v>
      </c>
      <c r="N218" s="105">
        <f t="shared" si="100"/>
        <v>0</v>
      </c>
      <c r="O218" s="105"/>
      <c r="P218" s="105"/>
      <c r="Q218" s="105"/>
      <c r="R218" s="105"/>
      <c r="S218" s="105"/>
      <c r="T218" s="105">
        <f t="shared" si="98"/>
        <v>215129</v>
      </c>
      <c r="U218" s="104">
        <f t="shared" si="99"/>
        <v>0</v>
      </c>
      <c r="V218" s="106"/>
      <c r="W218" s="106"/>
      <c r="X218" s="106"/>
      <c r="Y218" s="106"/>
      <c r="Z218" s="106"/>
      <c r="AA218" s="112"/>
      <c r="AB218" s="105">
        <f t="shared" si="102"/>
        <v>96274.15</v>
      </c>
    </row>
    <row r="219" spans="1:28" s="75" customFormat="1" ht="31.5" hidden="1" customHeight="1" x14ac:dyDescent="0.25">
      <c r="A219" s="1" t="s">
        <v>348</v>
      </c>
      <c r="B219" s="3" t="str">
        <f>'дод 5'!A145</f>
        <v>3172</v>
      </c>
      <c r="C219" s="3">
        <f>'дод 5'!B145</f>
        <v>1010</v>
      </c>
      <c r="D219" s="38" t="str">
        <f>'дод 5'!C145</f>
        <v>Встановлення телефонів особам з інвалідністю I і II груп, у т.ч. за рахунок:</v>
      </c>
      <c r="E219" s="101">
        <f t="shared" si="97"/>
        <v>0</v>
      </c>
      <c r="F219" s="101"/>
      <c r="G219" s="101"/>
      <c r="H219" s="101"/>
      <c r="I219" s="101"/>
      <c r="J219" s="101"/>
      <c r="K219" s="101"/>
      <c r="L219" s="101"/>
      <c r="M219" s="112" t="e">
        <f t="shared" si="101"/>
        <v>#DIV/0!</v>
      </c>
      <c r="N219" s="101">
        <f t="shared" si="100"/>
        <v>0</v>
      </c>
      <c r="O219" s="101"/>
      <c r="P219" s="101"/>
      <c r="Q219" s="101"/>
      <c r="R219" s="101"/>
      <c r="S219" s="101"/>
      <c r="T219" s="101">
        <f t="shared" si="98"/>
        <v>0</v>
      </c>
      <c r="U219" s="104">
        <f t="shared" si="99"/>
        <v>0</v>
      </c>
      <c r="V219" s="104"/>
      <c r="W219" s="104"/>
      <c r="X219" s="104"/>
      <c r="Y219" s="104"/>
      <c r="Z219" s="104"/>
      <c r="AA219" s="112"/>
      <c r="AB219" s="101">
        <f t="shared" si="102"/>
        <v>0</v>
      </c>
    </row>
    <row r="220" spans="1:28" s="5" customFormat="1" ht="15.75" hidden="1" customHeight="1" x14ac:dyDescent="0.25">
      <c r="A220" s="41"/>
      <c r="B220" s="28"/>
      <c r="C220" s="28"/>
      <c r="D220" s="39" t="s">
        <v>387</v>
      </c>
      <c r="E220" s="105">
        <f t="shared" si="97"/>
        <v>0</v>
      </c>
      <c r="F220" s="105"/>
      <c r="G220" s="105"/>
      <c r="H220" s="105"/>
      <c r="I220" s="105"/>
      <c r="J220" s="105"/>
      <c r="K220" s="105"/>
      <c r="L220" s="105"/>
      <c r="M220" s="112" t="e">
        <f t="shared" si="101"/>
        <v>#DIV/0!</v>
      </c>
      <c r="N220" s="105">
        <f t="shared" si="100"/>
        <v>0</v>
      </c>
      <c r="O220" s="105"/>
      <c r="P220" s="105"/>
      <c r="Q220" s="105"/>
      <c r="R220" s="105"/>
      <c r="S220" s="105"/>
      <c r="T220" s="105">
        <f t="shared" si="98"/>
        <v>0</v>
      </c>
      <c r="U220" s="104">
        <f t="shared" si="99"/>
        <v>0</v>
      </c>
      <c r="V220" s="106"/>
      <c r="W220" s="106"/>
      <c r="X220" s="106"/>
      <c r="Y220" s="106"/>
      <c r="Z220" s="106"/>
      <c r="AA220" s="112"/>
      <c r="AB220" s="101">
        <f t="shared" si="102"/>
        <v>0</v>
      </c>
    </row>
    <row r="221" spans="1:28" s="75" customFormat="1" ht="78.75" hidden="1" customHeight="1" x14ac:dyDescent="0.25">
      <c r="A221" s="1" t="s">
        <v>183</v>
      </c>
      <c r="B221" s="3" t="str">
        <f>'дод 5'!A147</f>
        <v>3180</v>
      </c>
      <c r="C221" s="3" t="str">
        <f>'дод 5'!B147</f>
        <v>1060</v>
      </c>
      <c r="D221" s="38" t="str">
        <f>'дод 5'!C147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21" s="101">
        <f t="shared" si="97"/>
        <v>0</v>
      </c>
      <c r="F221" s="101"/>
      <c r="G221" s="101"/>
      <c r="H221" s="101"/>
      <c r="I221" s="101"/>
      <c r="J221" s="101"/>
      <c r="K221" s="101"/>
      <c r="L221" s="101"/>
      <c r="M221" s="112" t="e">
        <f t="shared" si="101"/>
        <v>#DIV/0!</v>
      </c>
      <c r="N221" s="101">
        <f t="shared" si="100"/>
        <v>0</v>
      </c>
      <c r="O221" s="101"/>
      <c r="P221" s="101"/>
      <c r="Q221" s="101"/>
      <c r="R221" s="101"/>
      <c r="S221" s="101"/>
      <c r="T221" s="101">
        <f t="shared" si="98"/>
        <v>0</v>
      </c>
      <c r="U221" s="104">
        <f t="shared" si="99"/>
        <v>0</v>
      </c>
      <c r="V221" s="104"/>
      <c r="W221" s="104"/>
      <c r="X221" s="104"/>
      <c r="Y221" s="104"/>
      <c r="Z221" s="104"/>
      <c r="AA221" s="112"/>
      <c r="AB221" s="101">
        <f t="shared" si="102"/>
        <v>0</v>
      </c>
    </row>
    <row r="222" spans="1:28" s="75" customFormat="1" ht="40.5" customHeight="1" x14ac:dyDescent="0.25">
      <c r="A222" s="1" t="s">
        <v>302</v>
      </c>
      <c r="B222" s="3" t="str">
        <f>'дод 5'!A148</f>
        <v>3191</v>
      </c>
      <c r="C222" s="3" t="str">
        <f>'дод 5'!B148</f>
        <v>1030</v>
      </c>
      <c r="D222" s="38" t="str">
        <f>'дод 5'!C148</f>
        <v>Інші видатки на соціальний захист ветеранів війни та праці</v>
      </c>
      <c r="E222" s="101">
        <f t="shared" si="97"/>
        <v>6861100</v>
      </c>
      <c r="F222" s="101">
        <v>6861100</v>
      </c>
      <c r="G222" s="101"/>
      <c r="H222" s="101"/>
      <c r="I222" s="101"/>
      <c r="J222" s="101">
        <v>3155081.63</v>
      </c>
      <c r="K222" s="101"/>
      <c r="L222" s="101"/>
      <c r="M222" s="112">
        <f t="shared" si="101"/>
        <v>45.985069886752846</v>
      </c>
      <c r="N222" s="101">
        <f t="shared" si="100"/>
        <v>0</v>
      </c>
      <c r="O222" s="101"/>
      <c r="P222" s="101"/>
      <c r="Q222" s="101"/>
      <c r="R222" s="101"/>
      <c r="S222" s="101"/>
      <c r="T222" s="101">
        <f t="shared" si="98"/>
        <v>6861100</v>
      </c>
      <c r="U222" s="104">
        <f t="shared" si="99"/>
        <v>0</v>
      </c>
      <c r="V222" s="104"/>
      <c r="W222" s="104"/>
      <c r="X222" s="104"/>
      <c r="Y222" s="104"/>
      <c r="Z222" s="104"/>
      <c r="AA222" s="112"/>
      <c r="AB222" s="101">
        <f t="shared" si="102"/>
        <v>3155081.63</v>
      </c>
    </row>
    <row r="223" spans="1:28" s="75" customFormat="1" ht="54" customHeight="1" x14ac:dyDescent="0.25">
      <c r="A223" s="1" t="s">
        <v>303</v>
      </c>
      <c r="B223" s="3" t="str">
        <f>'дод 5'!A149</f>
        <v>3192</v>
      </c>
      <c r="C223" s="3" t="str">
        <f>'дод 5'!B149</f>
        <v>1030</v>
      </c>
      <c r="D223" s="38" t="str">
        <f>'дод 5'!C149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23" s="101">
        <f t="shared" si="97"/>
        <v>2072000</v>
      </c>
      <c r="F223" s="101">
        <v>2072000</v>
      </c>
      <c r="G223" s="101"/>
      <c r="H223" s="101"/>
      <c r="I223" s="101"/>
      <c r="J223" s="101">
        <v>813053.08</v>
      </c>
      <c r="K223" s="101"/>
      <c r="L223" s="101"/>
      <c r="M223" s="112">
        <f t="shared" si="101"/>
        <v>39.24001351351351</v>
      </c>
      <c r="N223" s="101">
        <f t="shared" si="100"/>
        <v>0</v>
      </c>
      <c r="O223" s="101"/>
      <c r="P223" s="101"/>
      <c r="Q223" s="101"/>
      <c r="R223" s="101"/>
      <c r="S223" s="101"/>
      <c r="T223" s="101">
        <f t="shared" si="98"/>
        <v>2072000</v>
      </c>
      <c r="U223" s="104">
        <f t="shared" si="99"/>
        <v>0</v>
      </c>
      <c r="V223" s="104"/>
      <c r="W223" s="104"/>
      <c r="X223" s="104"/>
      <c r="Y223" s="104"/>
      <c r="Z223" s="104"/>
      <c r="AA223" s="112"/>
      <c r="AB223" s="101">
        <f t="shared" si="102"/>
        <v>813053.08</v>
      </c>
    </row>
    <row r="224" spans="1:28" s="75" customFormat="1" ht="34.5" customHeight="1" x14ac:dyDescent="0.25">
      <c r="A224" s="1" t="s">
        <v>184</v>
      </c>
      <c r="B224" s="3" t="str">
        <f>'дод 5'!A150</f>
        <v>3200</v>
      </c>
      <c r="C224" s="3" t="str">
        <f>'дод 5'!B150</f>
        <v>1090</v>
      </c>
      <c r="D224" s="38" t="str">
        <f>'дод 5'!C150</f>
        <v>Забезпечення обробки інформації з нарахування та виплати допомог і компенсацій</v>
      </c>
      <c r="E224" s="101">
        <f t="shared" si="97"/>
        <v>107000</v>
      </c>
      <c r="F224" s="101">
        <v>107000</v>
      </c>
      <c r="G224" s="101"/>
      <c r="H224" s="101"/>
      <c r="I224" s="101"/>
      <c r="J224" s="101">
        <v>56584</v>
      </c>
      <c r="K224" s="101"/>
      <c r="L224" s="101"/>
      <c r="M224" s="112">
        <f t="shared" si="101"/>
        <v>52.882242990654206</v>
      </c>
      <c r="N224" s="101">
        <f t="shared" si="100"/>
        <v>0</v>
      </c>
      <c r="O224" s="101"/>
      <c r="P224" s="101"/>
      <c r="Q224" s="101"/>
      <c r="R224" s="101"/>
      <c r="S224" s="101"/>
      <c r="T224" s="101">
        <f t="shared" si="98"/>
        <v>107000</v>
      </c>
      <c r="U224" s="104">
        <f t="shared" si="99"/>
        <v>0</v>
      </c>
      <c r="V224" s="104"/>
      <c r="W224" s="104"/>
      <c r="X224" s="104"/>
      <c r="Y224" s="104"/>
      <c r="Z224" s="104"/>
      <c r="AA224" s="112"/>
      <c r="AB224" s="101">
        <f t="shared" si="102"/>
        <v>56584</v>
      </c>
    </row>
    <row r="225" spans="1:28" s="75" customFormat="1" ht="15.75" hidden="1" customHeight="1" x14ac:dyDescent="0.25">
      <c r="A225" s="1" t="s">
        <v>304</v>
      </c>
      <c r="B225" s="3" t="str">
        <f>'дод 5'!A151</f>
        <v>3210</v>
      </c>
      <c r="C225" s="3" t="str">
        <f>'дод 5'!B151</f>
        <v>1050</v>
      </c>
      <c r="D225" s="38" t="str">
        <f>'дод 5'!C151</f>
        <v>Організація та проведення громадських робіт</v>
      </c>
      <c r="E225" s="101">
        <f t="shared" si="97"/>
        <v>0</v>
      </c>
      <c r="F225" s="101"/>
      <c r="G225" s="101"/>
      <c r="H225" s="101"/>
      <c r="I225" s="101"/>
      <c r="J225" s="101"/>
      <c r="K225" s="101"/>
      <c r="L225" s="101"/>
      <c r="M225" s="112" t="e">
        <f t="shared" si="101"/>
        <v>#DIV/0!</v>
      </c>
      <c r="N225" s="101">
        <f t="shared" si="100"/>
        <v>0</v>
      </c>
      <c r="O225" s="101"/>
      <c r="P225" s="101"/>
      <c r="Q225" s="101"/>
      <c r="R225" s="101"/>
      <c r="S225" s="101"/>
      <c r="T225" s="101">
        <f t="shared" si="98"/>
        <v>0</v>
      </c>
      <c r="U225" s="104">
        <f t="shared" si="99"/>
        <v>0</v>
      </c>
      <c r="V225" s="104"/>
      <c r="W225" s="104"/>
      <c r="X225" s="104"/>
      <c r="Y225" s="104"/>
      <c r="Z225" s="104"/>
      <c r="AA225" s="112"/>
      <c r="AB225" s="101">
        <f t="shared" si="102"/>
        <v>0</v>
      </c>
    </row>
    <row r="226" spans="1:28" s="75" customFormat="1" ht="299.25" hidden="1" customHeight="1" x14ac:dyDescent="0.25">
      <c r="A226" s="1" t="s">
        <v>425</v>
      </c>
      <c r="B226" s="3">
        <v>3221</v>
      </c>
      <c r="C226" s="1" t="s">
        <v>52</v>
      </c>
      <c r="D226" s="38" t="str">
        <f>'дод 5'!C152</f>
        <v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26" s="101">
        <f t="shared" si="97"/>
        <v>0</v>
      </c>
      <c r="F226" s="108"/>
      <c r="G226" s="101"/>
      <c r="H226" s="101"/>
      <c r="I226" s="101"/>
      <c r="J226" s="101"/>
      <c r="K226" s="101"/>
      <c r="L226" s="101"/>
      <c r="M226" s="112" t="e">
        <f t="shared" si="101"/>
        <v>#DIV/0!</v>
      </c>
      <c r="N226" s="101">
        <f t="shared" si="100"/>
        <v>0</v>
      </c>
      <c r="O226" s="101"/>
      <c r="P226" s="101"/>
      <c r="Q226" s="101"/>
      <c r="R226" s="101"/>
      <c r="S226" s="101"/>
      <c r="T226" s="101">
        <f t="shared" si="98"/>
        <v>0</v>
      </c>
      <c r="U226" s="104">
        <f t="shared" si="99"/>
        <v>0</v>
      </c>
      <c r="V226" s="104"/>
      <c r="W226" s="104"/>
      <c r="X226" s="104"/>
      <c r="Y226" s="104"/>
      <c r="Z226" s="104"/>
      <c r="AA226" s="112"/>
      <c r="AB226" s="101">
        <f t="shared" si="102"/>
        <v>0</v>
      </c>
    </row>
    <row r="227" spans="1:28" s="5" customFormat="1" ht="315" hidden="1" customHeight="1" x14ac:dyDescent="0.25">
      <c r="A227" s="41"/>
      <c r="B227" s="28"/>
      <c r="C227" s="41"/>
      <c r="D227" s="39" t="s">
        <v>660</v>
      </c>
      <c r="E227" s="101">
        <f t="shared" si="97"/>
        <v>0</v>
      </c>
      <c r="F227" s="109"/>
      <c r="G227" s="105"/>
      <c r="H227" s="105"/>
      <c r="I227" s="105"/>
      <c r="J227" s="105"/>
      <c r="K227" s="105"/>
      <c r="L227" s="105"/>
      <c r="M227" s="112" t="e">
        <f t="shared" si="101"/>
        <v>#DIV/0!</v>
      </c>
      <c r="N227" s="105">
        <f t="shared" si="100"/>
        <v>0</v>
      </c>
      <c r="O227" s="105"/>
      <c r="P227" s="105"/>
      <c r="Q227" s="105"/>
      <c r="R227" s="105"/>
      <c r="S227" s="105"/>
      <c r="T227" s="105">
        <f t="shared" si="98"/>
        <v>0</v>
      </c>
      <c r="U227" s="104">
        <f t="shared" si="99"/>
        <v>0</v>
      </c>
      <c r="V227" s="106"/>
      <c r="W227" s="106"/>
      <c r="X227" s="106"/>
      <c r="Y227" s="106"/>
      <c r="Z227" s="106"/>
      <c r="AA227" s="112"/>
      <c r="AB227" s="101">
        <f t="shared" si="102"/>
        <v>0</v>
      </c>
    </row>
    <row r="228" spans="1:28" s="75" customFormat="1" ht="296.25" hidden="1" customHeight="1" x14ac:dyDescent="0.25">
      <c r="A228" s="1" t="s">
        <v>520</v>
      </c>
      <c r="B228" s="3">
        <v>3222</v>
      </c>
      <c r="C228" s="1" t="s">
        <v>52</v>
      </c>
      <c r="D228" s="38" t="str">
        <f>'дод 5'!C154</f>
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28" s="101">
        <f t="shared" ref="E228:E229" si="109">F228+I228</f>
        <v>0</v>
      </c>
      <c r="F228" s="108"/>
      <c r="G228" s="101"/>
      <c r="H228" s="101"/>
      <c r="I228" s="101"/>
      <c r="J228" s="101"/>
      <c r="K228" s="101"/>
      <c r="L228" s="101"/>
      <c r="M228" s="112" t="e">
        <f t="shared" si="101"/>
        <v>#DIV/0!</v>
      </c>
      <c r="N228" s="101">
        <f t="shared" ref="N228:N229" si="110">P228+S228</f>
        <v>0</v>
      </c>
      <c r="O228" s="101"/>
      <c r="P228" s="101"/>
      <c r="Q228" s="101"/>
      <c r="R228" s="101"/>
      <c r="S228" s="101"/>
      <c r="T228" s="101">
        <f t="shared" si="98"/>
        <v>0</v>
      </c>
      <c r="U228" s="104">
        <f t="shared" si="99"/>
        <v>0</v>
      </c>
      <c r="V228" s="104"/>
      <c r="W228" s="104"/>
      <c r="X228" s="104"/>
      <c r="Y228" s="104"/>
      <c r="Z228" s="104"/>
      <c r="AA228" s="112"/>
      <c r="AB228" s="101">
        <f t="shared" si="102"/>
        <v>0</v>
      </c>
    </row>
    <row r="229" spans="1:28" s="5" customFormat="1" ht="318" hidden="1" customHeight="1" x14ac:dyDescent="0.25">
      <c r="A229" s="41"/>
      <c r="B229" s="28"/>
      <c r="C229" s="41"/>
      <c r="D229" s="39" t="s">
        <v>662</v>
      </c>
      <c r="E229" s="105">
        <f t="shared" si="109"/>
        <v>0</v>
      </c>
      <c r="F229" s="109"/>
      <c r="G229" s="105"/>
      <c r="H229" s="105"/>
      <c r="I229" s="105"/>
      <c r="J229" s="105"/>
      <c r="K229" s="105"/>
      <c r="L229" s="105"/>
      <c r="M229" s="112" t="e">
        <f t="shared" si="101"/>
        <v>#DIV/0!</v>
      </c>
      <c r="N229" s="105">
        <f t="shared" si="110"/>
        <v>0</v>
      </c>
      <c r="O229" s="105"/>
      <c r="P229" s="105"/>
      <c r="Q229" s="105"/>
      <c r="R229" s="105"/>
      <c r="S229" s="105"/>
      <c r="T229" s="105">
        <f t="shared" si="98"/>
        <v>0</v>
      </c>
      <c r="U229" s="104">
        <f t="shared" si="99"/>
        <v>0</v>
      </c>
      <c r="V229" s="106"/>
      <c r="W229" s="106"/>
      <c r="X229" s="106"/>
      <c r="Y229" s="106"/>
      <c r="Z229" s="106"/>
      <c r="AA229" s="112"/>
      <c r="AB229" s="101">
        <f t="shared" si="102"/>
        <v>0</v>
      </c>
    </row>
    <row r="230" spans="1:28" s="75" customFormat="1" ht="182.25" hidden="1" customHeight="1" x14ac:dyDescent="0.25">
      <c r="A230" s="1" t="s">
        <v>424</v>
      </c>
      <c r="B230" s="3">
        <v>3223</v>
      </c>
      <c r="C230" s="1" t="s">
        <v>52</v>
      </c>
      <c r="D230" s="38" t="str">
        <f>'дод 5'!C156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30" s="101">
        <f t="shared" si="97"/>
        <v>0</v>
      </c>
      <c r="F230" s="101"/>
      <c r="G230" s="101"/>
      <c r="H230" s="101"/>
      <c r="I230" s="101"/>
      <c r="J230" s="101"/>
      <c r="K230" s="101"/>
      <c r="L230" s="101"/>
      <c r="M230" s="112" t="e">
        <f t="shared" si="101"/>
        <v>#DIV/0!</v>
      </c>
      <c r="N230" s="101">
        <f t="shared" si="100"/>
        <v>0</v>
      </c>
      <c r="O230" s="101"/>
      <c r="P230" s="101"/>
      <c r="Q230" s="101"/>
      <c r="R230" s="101"/>
      <c r="S230" s="101"/>
      <c r="T230" s="101">
        <f t="shared" si="98"/>
        <v>0</v>
      </c>
      <c r="U230" s="104">
        <f t="shared" si="99"/>
        <v>0</v>
      </c>
      <c r="V230" s="104"/>
      <c r="W230" s="104"/>
      <c r="X230" s="104"/>
      <c r="Y230" s="104"/>
      <c r="Z230" s="104"/>
      <c r="AA230" s="112"/>
      <c r="AB230" s="101">
        <f t="shared" si="102"/>
        <v>0</v>
      </c>
    </row>
    <row r="231" spans="1:28" s="5" customFormat="1" ht="213" hidden="1" customHeight="1" x14ac:dyDescent="0.25">
      <c r="A231" s="41"/>
      <c r="B231" s="28"/>
      <c r="C231" s="41"/>
      <c r="D231" s="39" t="s">
        <v>661</v>
      </c>
      <c r="E231" s="105">
        <f t="shared" si="97"/>
        <v>0</v>
      </c>
      <c r="F231" s="105"/>
      <c r="G231" s="105"/>
      <c r="H231" s="105"/>
      <c r="I231" s="105"/>
      <c r="J231" s="105"/>
      <c r="K231" s="105"/>
      <c r="L231" s="105"/>
      <c r="M231" s="112" t="e">
        <f t="shared" si="101"/>
        <v>#DIV/0!</v>
      </c>
      <c r="N231" s="105">
        <f t="shared" si="100"/>
        <v>0</v>
      </c>
      <c r="O231" s="105"/>
      <c r="P231" s="105"/>
      <c r="Q231" s="105"/>
      <c r="R231" s="105"/>
      <c r="S231" s="105"/>
      <c r="T231" s="105">
        <f t="shared" si="98"/>
        <v>0</v>
      </c>
      <c r="U231" s="104">
        <f t="shared" si="99"/>
        <v>0</v>
      </c>
      <c r="V231" s="106"/>
      <c r="W231" s="106"/>
      <c r="X231" s="106"/>
      <c r="Y231" s="106"/>
      <c r="Z231" s="106"/>
      <c r="AA231" s="112"/>
      <c r="AB231" s="101">
        <f t="shared" si="102"/>
        <v>0</v>
      </c>
    </row>
    <row r="232" spans="1:28" s="75" customFormat="1" ht="37.5" customHeight="1" x14ac:dyDescent="0.25">
      <c r="A232" s="1" t="s">
        <v>301</v>
      </c>
      <c r="B232" s="3" t="str">
        <f>'дод 5'!A158</f>
        <v>3241</v>
      </c>
      <c r="C232" s="3" t="str">
        <f>'дод 5'!B158</f>
        <v>1090</v>
      </c>
      <c r="D232" s="38" t="str">
        <f>'дод 5'!C158</f>
        <v>Забезпечення діяльності інших закладів у сфері соціального захисту і соціального забезпечення</v>
      </c>
      <c r="E232" s="101">
        <f t="shared" si="97"/>
        <v>6840400</v>
      </c>
      <c r="F232" s="101">
        <f>6618300+222100</f>
        <v>6840400</v>
      </c>
      <c r="G232" s="101">
        <f>3540500+182100</f>
        <v>3722600</v>
      </c>
      <c r="H232" s="101">
        <f>506500</f>
        <v>506500</v>
      </c>
      <c r="I232" s="101"/>
      <c r="J232" s="101">
        <v>2921066.3</v>
      </c>
      <c r="K232" s="101">
        <v>1644389.41</v>
      </c>
      <c r="L232" s="101">
        <v>205722.22</v>
      </c>
      <c r="M232" s="112">
        <f t="shared" si="101"/>
        <v>42.70315040056137</v>
      </c>
      <c r="N232" s="101">
        <f t="shared" ref="N232:N240" si="111">P232+S232</f>
        <v>0</v>
      </c>
      <c r="O232" s="101"/>
      <c r="P232" s="101"/>
      <c r="Q232" s="101"/>
      <c r="R232" s="101"/>
      <c r="S232" s="101"/>
      <c r="T232" s="101">
        <f t="shared" si="98"/>
        <v>6840400</v>
      </c>
      <c r="U232" s="104">
        <f t="shared" si="99"/>
        <v>1228601.2</v>
      </c>
      <c r="V232" s="104"/>
      <c r="W232" s="104">
        <v>409245.48</v>
      </c>
      <c r="X232" s="104"/>
      <c r="Y232" s="104"/>
      <c r="Z232" s="104">
        <v>819355.72</v>
      </c>
      <c r="AA232" s="112"/>
      <c r="AB232" s="101">
        <f t="shared" si="102"/>
        <v>4149667.5</v>
      </c>
    </row>
    <row r="233" spans="1:28" s="75" customFormat="1" ht="33" customHeight="1" x14ac:dyDescent="0.25">
      <c r="A233" s="1" t="s">
        <v>349</v>
      </c>
      <c r="B233" s="3" t="str">
        <f>'дод 5'!A159</f>
        <v>3242</v>
      </c>
      <c r="C233" s="3" t="str">
        <f>'дод 5'!B159</f>
        <v>1090</v>
      </c>
      <c r="D233" s="38" t="s">
        <v>625</v>
      </c>
      <c r="E233" s="101">
        <f t="shared" si="97"/>
        <v>243766065</v>
      </c>
      <c r="F233" s="101">
        <f>283053500-186471500+261600+100000+440000+100000+71218100+4750000+4997600+60000+9550+61416800+3616150+34265+180000</f>
        <v>243766065</v>
      </c>
      <c r="G233" s="101"/>
      <c r="H233" s="101"/>
      <c r="I233" s="101"/>
      <c r="J233" s="101">
        <v>141692887.91999999</v>
      </c>
      <c r="K233" s="101"/>
      <c r="L233" s="101"/>
      <c r="M233" s="112">
        <f t="shared" si="101"/>
        <v>58.126584567872477</v>
      </c>
      <c r="N233" s="101">
        <f t="shared" si="111"/>
        <v>0</v>
      </c>
      <c r="O233" s="101"/>
      <c r="P233" s="101"/>
      <c r="Q233" s="101"/>
      <c r="R233" s="101"/>
      <c r="S233" s="101"/>
      <c r="T233" s="101">
        <f t="shared" si="98"/>
        <v>243766065</v>
      </c>
      <c r="U233" s="104">
        <f t="shared" si="99"/>
        <v>0</v>
      </c>
      <c r="V233" s="104"/>
      <c r="W233" s="104"/>
      <c r="X233" s="104"/>
      <c r="Y233" s="104"/>
      <c r="Z233" s="104"/>
      <c r="AA233" s="112"/>
      <c r="AB233" s="101">
        <f t="shared" si="102"/>
        <v>141692887.91999999</v>
      </c>
    </row>
    <row r="234" spans="1:28" s="5" customFormat="1" ht="25.5" customHeight="1" x14ac:dyDescent="0.25">
      <c r="A234" s="41"/>
      <c r="B234" s="28"/>
      <c r="C234" s="28"/>
      <c r="D234" s="39" t="s">
        <v>387</v>
      </c>
      <c r="E234" s="105">
        <f t="shared" si="97"/>
        <v>261600</v>
      </c>
      <c r="F234" s="105">
        <v>261600</v>
      </c>
      <c r="G234" s="105"/>
      <c r="H234" s="105"/>
      <c r="I234" s="105"/>
      <c r="J234" s="105">
        <v>117600</v>
      </c>
      <c r="K234" s="105"/>
      <c r="L234" s="105"/>
      <c r="M234" s="119">
        <f t="shared" si="101"/>
        <v>44.954128440366972</v>
      </c>
      <c r="N234" s="105">
        <f t="shared" si="111"/>
        <v>0</v>
      </c>
      <c r="O234" s="105"/>
      <c r="P234" s="105"/>
      <c r="Q234" s="105"/>
      <c r="R234" s="105"/>
      <c r="S234" s="105"/>
      <c r="T234" s="105">
        <f t="shared" si="98"/>
        <v>261600</v>
      </c>
      <c r="U234" s="104">
        <f t="shared" si="99"/>
        <v>0</v>
      </c>
      <c r="V234" s="106"/>
      <c r="W234" s="106"/>
      <c r="X234" s="106"/>
      <c r="Y234" s="106"/>
      <c r="Z234" s="106"/>
      <c r="AA234" s="112"/>
      <c r="AB234" s="105">
        <f t="shared" si="102"/>
        <v>117600</v>
      </c>
    </row>
    <row r="235" spans="1:28" s="5" customFormat="1" ht="98.65" customHeight="1" x14ac:dyDescent="0.25">
      <c r="A235" s="41"/>
      <c r="B235" s="28"/>
      <c r="C235" s="28"/>
      <c r="D235" s="39" t="s">
        <v>644</v>
      </c>
      <c r="E235" s="105">
        <f t="shared" si="97"/>
        <v>61416800</v>
      </c>
      <c r="F235" s="105">
        <v>61416800</v>
      </c>
      <c r="G235" s="105"/>
      <c r="H235" s="105"/>
      <c r="I235" s="105"/>
      <c r="J235" s="105">
        <v>21251601.120000001</v>
      </c>
      <c r="K235" s="105"/>
      <c r="L235" s="105"/>
      <c r="M235" s="119">
        <f t="shared" si="101"/>
        <v>34.60226048898673</v>
      </c>
      <c r="N235" s="105">
        <f t="shared" si="111"/>
        <v>0</v>
      </c>
      <c r="O235" s="105"/>
      <c r="P235" s="105"/>
      <c r="Q235" s="105"/>
      <c r="R235" s="105"/>
      <c r="S235" s="105"/>
      <c r="T235" s="105">
        <f t="shared" si="98"/>
        <v>61416800</v>
      </c>
      <c r="U235" s="104">
        <f t="shared" si="99"/>
        <v>0</v>
      </c>
      <c r="V235" s="106"/>
      <c r="W235" s="106"/>
      <c r="X235" s="106"/>
      <c r="Y235" s="106"/>
      <c r="Z235" s="106"/>
      <c r="AA235" s="112"/>
      <c r="AB235" s="105">
        <f t="shared" si="102"/>
        <v>21251601.120000001</v>
      </c>
    </row>
    <row r="236" spans="1:28" s="75" customFormat="1" ht="31.5" hidden="1" customHeight="1" x14ac:dyDescent="0.25">
      <c r="A236" s="1" t="s">
        <v>405</v>
      </c>
      <c r="B236" s="3">
        <v>7323</v>
      </c>
      <c r="C236" s="1" t="s">
        <v>110</v>
      </c>
      <c r="D236" s="4" t="str">
        <f>'дод 5'!C211</f>
        <v>Будівництво1 установ та закладів соціальної сфери</v>
      </c>
      <c r="E236" s="101">
        <f t="shared" si="97"/>
        <v>0</v>
      </c>
      <c r="F236" s="101"/>
      <c r="G236" s="101"/>
      <c r="H236" s="101"/>
      <c r="I236" s="101"/>
      <c r="J236" s="101"/>
      <c r="K236" s="101"/>
      <c r="L236" s="101"/>
      <c r="M236" s="112" t="e">
        <f t="shared" si="101"/>
        <v>#DIV/0!</v>
      </c>
      <c r="N236" s="101">
        <f t="shared" si="111"/>
        <v>0</v>
      </c>
      <c r="O236" s="101"/>
      <c r="P236" s="101"/>
      <c r="Q236" s="101"/>
      <c r="R236" s="101"/>
      <c r="S236" s="101"/>
      <c r="T236" s="101">
        <f t="shared" si="98"/>
        <v>0</v>
      </c>
      <c r="U236" s="104">
        <f t="shared" si="99"/>
        <v>0</v>
      </c>
      <c r="V236" s="104"/>
      <c r="W236" s="104"/>
      <c r="X236" s="104"/>
      <c r="Y236" s="104"/>
      <c r="Z236" s="104"/>
      <c r="AA236" s="112"/>
      <c r="AB236" s="101">
        <f t="shared" si="102"/>
        <v>0</v>
      </c>
    </row>
    <row r="237" spans="1:28" s="75" customFormat="1" ht="15.4" hidden="1" customHeight="1" x14ac:dyDescent="0.25">
      <c r="A237" s="1" t="s">
        <v>550</v>
      </c>
      <c r="B237" s="3">
        <v>7640</v>
      </c>
      <c r="C237" s="24" t="s">
        <v>85</v>
      </c>
      <c r="D237" s="40" t="s">
        <v>410</v>
      </c>
      <c r="E237" s="101">
        <f t="shared" si="97"/>
        <v>0</v>
      </c>
      <c r="F237" s="101"/>
      <c r="G237" s="101"/>
      <c r="H237" s="101"/>
      <c r="I237" s="101"/>
      <c r="J237" s="101"/>
      <c r="K237" s="101"/>
      <c r="L237" s="101"/>
      <c r="M237" s="112" t="e">
        <f t="shared" si="101"/>
        <v>#DIV/0!</v>
      </c>
      <c r="N237" s="101">
        <f t="shared" si="111"/>
        <v>0</v>
      </c>
      <c r="O237" s="101"/>
      <c r="P237" s="101"/>
      <c r="Q237" s="101"/>
      <c r="R237" s="101"/>
      <c r="S237" s="101"/>
      <c r="T237" s="101">
        <f t="shared" si="98"/>
        <v>0</v>
      </c>
      <c r="U237" s="104">
        <f t="shared" si="99"/>
        <v>0</v>
      </c>
      <c r="V237" s="104"/>
      <c r="W237" s="104"/>
      <c r="X237" s="104"/>
      <c r="Y237" s="104"/>
      <c r="Z237" s="104"/>
      <c r="AA237" s="112"/>
      <c r="AB237" s="101">
        <f t="shared" si="102"/>
        <v>0</v>
      </c>
    </row>
    <row r="238" spans="1:28" s="75" customFormat="1" ht="66" hidden="1" customHeight="1" x14ac:dyDescent="0.25">
      <c r="A238" s="1" t="s">
        <v>589</v>
      </c>
      <c r="B238" s="3">
        <f>'дод 5'!A283</f>
        <v>8751</v>
      </c>
      <c r="C238" s="3">
        <f>'дод 5'!B283</f>
        <v>1070</v>
      </c>
      <c r="D238" s="58" t="str">
        <f>'дод 5'!C283</f>
        <v>Допомога населенню, що постраждало внаслідок надзвичайної ситуації або стихійного лиха, за рахунок коштів резервного фонду місцевого бюджету</v>
      </c>
      <c r="E238" s="101">
        <f>F238</f>
        <v>0</v>
      </c>
      <c r="F238" s="101"/>
      <c r="G238" s="101"/>
      <c r="H238" s="101"/>
      <c r="I238" s="101"/>
      <c r="J238" s="101"/>
      <c r="K238" s="101"/>
      <c r="L238" s="101"/>
      <c r="M238" s="112" t="e">
        <f t="shared" si="101"/>
        <v>#DIV/0!</v>
      </c>
      <c r="N238" s="101">
        <f t="shared" ref="N238" si="112">P238+S238</f>
        <v>0</v>
      </c>
      <c r="O238" s="101"/>
      <c r="P238" s="101"/>
      <c r="Q238" s="101"/>
      <c r="R238" s="101"/>
      <c r="S238" s="101"/>
      <c r="T238" s="101">
        <f t="shared" ref="T238" si="113">E238+N238</f>
        <v>0</v>
      </c>
      <c r="U238" s="104">
        <f t="shared" si="99"/>
        <v>0</v>
      </c>
      <c r="V238" s="104"/>
      <c r="W238" s="104"/>
      <c r="X238" s="104"/>
      <c r="Y238" s="104"/>
      <c r="Z238" s="104"/>
      <c r="AA238" s="112"/>
      <c r="AB238" s="101">
        <f t="shared" si="102"/>
        <v>0</v>
      </c>
    </row>
    <row r="239" spans="1:28" s="75" customFormat="1" ht="38.25" hidden="1" customHeight="1" x14ac:dyDescent="0.25">
      <c r="A239" s="1" t="s">
        <v>583</v>
      </c>
      <c r="B239" s="3">
        <v>8775</v>
      </c>
      <c r="C239" s="1" t="s">
        <v>92</v>
      </c>
      <c r="D239" s="38" t="s">
        <v>580</v>
      </c>
      <c r="E239" s="101">
        <f>F239</f>
        <v>0</v>
      </c>
      <c r="F239" s="101"/>
      <c r="G239" s="101"/>
      <c r="H239" s="101"/>
      <c r="I239" s="101"/>
      <c r="J239" s="101"/>
      <c r="K239" s="101"/>
      <c r="L239" s="101"/>
      <c r="M239" s="112" t="e">
        <f t="shared" si="101"/>
        <v>#DIV/0!</v>
      </c>
      <c r="N239" s="101">
        <f t="shared" si="111"/>
        <v>0</v>
      </c>
      <c r="O239" s="101"/>
      <c r="P239" s="101"/>
      <c r="Q239" s="101"/>
      <c r="R239" s="101"/>
      <c r="S239" s="101"/>
      <c r="T239" s="101">
        <f t="shared" si="98"/>
        <v>0</v>
      </c>
      <c r="U239" s="104">
        <f t="shared" si="99"/>
        <v>0</v>
      </c>
      <c r="V239" s="104"/>
      <c r="W239" s="104"/>
      <c r="X239" s="104"/>
      <c r="Y239" s="104"/>
      <c r="Z239" s="104"/>
      <c r="AA239" s="112"/>
      <c r="AB239" s="101">
        <f t="shared" si="102"/>
        <v>0</v>
      </c>
    </row>
    <row r="240" spans="1:28" s="75" customFormat="1" ht="22.5" customHeight="1" x14ac:dyDescent="0.25">
      <c r="A240" s="1" t="s">
        <v>262</v>
      </c>
      <c r="B240" s="3" t="str">
        <f>'дод 5'!A296</f>
        <v>9770</v>
      </c>
      <c r="C240" s="3" t="str">
        <f>'дод 5'!B296</f>
        <v>0180</v>
      </c>
      <c r="D240" s="38" t="str">
        <f>'дод 5'!C296</f>
        <v>Інші субвенції з місцевого бюджету</v>
      </c>
      <c r="E240" s="101">
        <f t="shared" si="97"/>
        <v>200000</v>
      </c>
      <c r="F240" s="101">
        <v>200000</v>
      </c>
      <c r="G240" s="101"/>
      <c r="H240" s="101"/>
      <c r="I240" s="101"/>
      <c r="J240" s="101">
        <v>200000</v>
      </c>
      <c r="K240" s="101"/>
      <c r="L240" s="101"/>
      <c r="M240" s="112">
        <f t="shared" si="101"/>
        <v>100</v>
      </c>
      <c r="N240" s="101">
        <f t="shared" si="111"/>
        <v>0</v>
      </c>
      <c r="O240" s="101"/>
      <c r="P240" s="101"/>
      <c r="Q240" s="101"/>
      <c r="R240" s="101"/>
      <c r="S240" s="101"/>
      <c r="T240" s="101">
        <f t="shared" si="98"/>
        <v>200000</v>
      </c>
      <c r="U240" s="104">
        <f t="shared" si="99"/>
        <v>0</v>
      </c>
      <c r="V240" s="104"/>
      <c r="W240" s="104"/>
      <c r="X240" s="104"/>
      <c r="Y240" s="104"/>
      <c r="Z240" s="104"/>
      <c r="AA240" s="112"/>
      <c r="AB240" s="101">
        <f t="shared" si="102"/>
        <v>200000</v>
      </c>
    </row>
    <row r="241" spans="1:28" s="74" customFormat="1" ht="31.5" x14ac:dyDescent="0.25">
      <c r="A241" s="61" t="s">
        <v>185</v>
      </c>
      <c r="B241" s="33"/>
      <c r="C241" s="33"/>
      <c r="D241" s="59" t="s">
        <v>357</v>
      </c>
      <c r="E241" s="100">
        <f>E242</f>
        <v>7838300</v>
      </c>
      <c r="F241" s="100">
        <f t="shared" ref="F241:Z241" si="114">F242</f>
        <v>7838300</v>
      </c>
      <c r="G241" s="100">
        <f t="shared" si="114"/>
        <v>5839800</v>
      </c>
      <c r="H241" s="100">
        <f t="shared" si="114"/>
        <v>138600</v>
      </c>
      <c r="I241" s="100">
        <f t="shared" si="114"/>
        <v>0</v>
      </c>
      <c r="J241" s="100">
        <f t="shared" si="114"/>
        <v>3646258.65</v>
      </c>
      <c r="K241" s="100">
        <f t="shared" si="114"/>
        <v>2844936.07</v>
      </c>
      <c r="L241" s="100">
        <f t="shared" si="114"/>
        <v>37984.67</v>
      </c>
      <c r="M241" s="117">
        <f t="shared" si="101"/>
        <v>46.518488065014097</v>
      </c>
      <c r="N241" s="100">
        <f t="shared" si="114"/>
        <v>0</v>
      </c>
      <c r="O241" s="100">
        <f t="shared" si="114"/>
        <v>0</v>
      </c>
      <c r="P241" s="100">
        <f t="shared" si="114"/>
        <v>0</v>
      </c>
      <c r="Q241" s="100">
        <f t="shared" si="114"/>
        <v>0</v>
      </c>
      <c r="R241" s="100">
        <f t="shared" si="114"/>
        <v>0</v>
      </c>
      <c r="S241" s="100">
        <f t="shared" si="114"/>
        <v>0</v>
      </c>
      <c r="T241" s="100">
        <f t="shared" si="114"/>
        <v>7838300</v>
      </c>
      <c r="U241" s="100">
        <f t="shared" si="114"/>
        <v>0</v>
      </c>
      <c r="V241" s="100">
        <f t="shared" si="114"/>
        <v>0</v>
      </c>
      <c r="W241" s="100">
        <f t="shared" si="114"/>
        <v>0</v>
      </c>
      <c r="X241" s="100">
        <f t="shared" si="114"/>
        <v>0</v>
      </c>
      <c r="Y241" s="100">
        <f t="shared" si="114"/>
        <v>0</v>
      </c>
      <c r="Z241" s="100">
        <f t="shared" si="114"/>
        <v>0</v>
      </c>
      <c r="AA241" s="112"/>
      <c r="AB241" s="100">
        <f t="shared" si="102"/>
        <v>3646258.65</v>
      </c>
    </row>
    <row r="242" spans="1:28" s="9" customFormat="1" ht="31.5" x14ac:dyDescent="0.25">
      <c r="A242" s="6" t="s">
        <v>186</v>
      </c>
      <c r="B242" s="7"/>
      <c r="C242" s="7"/>
      <c r="D242" s="8" t="s">
        <v>357</v>
      </c>
      <c r="E242" s="102">
        <f>E244+E245+E246+E248+E247</f>
        <v>7838300</v>
      </c>
      <c r="F242" s="102">
        <f t="shared" ref="F242:Z242" si="115">F244+F245+F246+F248+F247</f>
        <v>7838300</v>
      </c>
      <c r="G242" s="102">
        <f t="shared" si="115"/>
        <v>5839800</v>
      </c>
      <c r="H242" s="102">
        <f t="shared" si="115"/>
        <v>138600</v>
      </c>
      <c r="I242" s="102">
        <f t="shared" si="115"/>
        <v>0</v>
      </c>
      <c r="J242" s="102">
        <f t="shared" si="115"/>
        <v>3646258.65</v>
      </c>
      <c r="K242" s="102">
        <f t="shared" si="115"/>
        <v>2844936.07</v>
      </c>
      <c r="L242" s="102">
        <f t="shared" si="115"/>
        <v>37984.67</v>
      </c>
      <c r="M242" s="118">
        <f t="shared" si="101"/>
        <v>46.518488065014097</v>
      </c>
      <c r="N242" s="102">
        <f t="shared" si="115"/>
        <v>0</v>
      </c>
      <c r="O242" s="102">
        <f t="shared" si="115"/>
        <v>0</v>
      </c>
      <c r="P242" s="102">
        <f t="shared" si="115"/>
        <v>0</v>
      </c>
      <c r="Q242" s="102">
        <f t="shared" si="115"/>
        <v>0</v>
      </c>
      <c r="R242" s="102">
        <f t="shared" si="115"/>
        <v>0</v>
      </c>
      <c r="S242" s="102">
        <f t="shared" si="115"/>
        <v>0</v>
      </c>
      <c r="T242" s="102">
        <f t="shared" si="115"/>
        <v>7838300</v>
      </c>
      <c r="U242" s="102">
        <f t="shared" si="115"/>
        <v>0</v>
      </c>
      <c r="V242" s="102">
        <f t="shared" si="115"/>
        <v>0</v>
      </c>
      <c r="W242" s="102">
        <f t="shared" si="115"/>
        <v>0</v>
      </c>
      <c r="X242" s="102">
        <f t="shared" si="115"/>
        <v>0</v>
      </c>
      <c r="Y242" s="102">
        <f t="shared" si="115"/>
        <v>0</v>
      </c>
      <c r="Z242" s="102">
        <f t="shared" si="115"/>
        <v>0</v>
      </c>
      <c r="AA242" s="112"/>
      <c r="AB242" s="102">
        <f t="shared" si="102"/>
        <v>3646258.65</v>
      </c>
    </row>
    <row r="243" spans="1:28" s="9" customFormat="1" ht="141.75" hidden="1" customHeight="1" x14ac:dyDescent="0.25">
      <c r="A243" s="6"/>
      <c r="B243" s="7"/>
      <c r="C243" s="7"/>
      <c r="D243" s="53" t="s">
        <v>544</v>
      </c>
      <c r="E243" s="102">
        <f>E249</f>
        <v>0</v>
      </c>
      <c r="F243" s="102">
        <f t="shared" ref="F243:T243" si="116">F249</f>
        <v>0</v>
      </c>
      <c r="G243" s="102">
        <f t="shared" si="116"/>
        <v>0</v>
      </c>
      <c r="H243" s="102">
        <f t="shared" si="116"/>
        <v>0</v>
      </c>
      <c r="I243" s="102">
        <f t="shared" si="116"/>
        <v>0</v>
      </c>
      <c r="J243" s="102"/>
      <c r="K243" s="102"/>
      <c r="L243" s="102"/>
      <c r="M243" s="112" t="e">
        <f t="shared" si="101"/>
        <v>#DIV/0!</v>
      </c>
      <c r="N243" s="102">
        <f t="shared" si="116"/>
        <v>0</v>
      </c>
      <c r="O243" s="102">
        <f t="shared" si="116"/>
        <v>0</v>
      </c>
      <c r="P243" s="102">
        <f t="shared" si="116"/>
        <v>0</v>
      </c>
      <c r="Q243" s="102">
        <f t="shared" si="116"/>
        <v>0</v>
      </c>
      <c r="R243" s="102">
        <f t="shared" si="116"/>
        <v>0</v>
      </c>
      <c r="S243" s="102">
        <f t="shared" si="116"/>
        <v>0</v>
      </c>
      <c r="T243" s="102">
        <f t="shared" si="116"/>
        <v>0</v>
      </c>
      <c r="U243" s="103"/>
      <c r="V243" s="103"/>
      <c r="W243" s="103"/>
      <c r="X243" s="103"/>
      <c r="Y243" s="103"/>
      <c r="Z243" s="103"/>
      <c r="AA243" s="112"/>
      <c r="AB243" s="101">
        <f t="shared" si="102"/>
        <v>0</v>
      </c>
    </row>
    <row r="244" spans="1:28" s="75" customFormat="1" ht="47.25" x14ac:dyDescent="0.25">
      <c r="A244" s="1" t="s">
        <v>187</v>
      </c>
      <c r="B244" s="3" t="str">
        <f>'дод 5'!A18</f>
        <v>0160</v>
      </c>
      <c r="C244" s="3" t="str">
        <f>'дод 5'!B18</f>
        <v>0111</v>
      </c>
      <c r="D244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44" s="101">
        <f t="shared" ref="E244:E249" si="117">F244+I244</f>
        <v>7552000</v>
      </c>
      <c r="F244" s="101">
        <f>6981400+570600</f>
        <v>7552000</v>
      </c>
      <c r="G244" s="101">
        <f>5371700+468100</f>
        <v>5839800</v>
      </c>
      <c r="H244" s="101">
        <v>138600</v>
      </c>
      <c r="I244" s="101"/>
      <c r="J244" s="101">
        <v>3603391.71</v>
      </c>
      <c r="K244" s="101">
        <v>2844936.07</v>
      </c>
      <c r="L244" s="101">
        <v>37984.67</v>
      </c>
      <c r="M244" s="112">
        <f t="shared" si="101"/>
        <v>47.714402939618644</v>
      </c>
      <c r="N244" s="101">
        <f>P244+S244</f>
        <v>0</v>
      </c>
      <c r="O244" s="101">
        <f>12000-12000</f>
        <v>0</v>
      </c>
      <c r="P244" s="101"/>
      <c r="Q244" s="101"/>
      <c r="R244" s="101"/>
      <c r="S244" s="101">
        <f>12000-12000</f>
        <v>0</v>
      </c>
      <c r="T244" s="101">
        <f t="shared" ref="T244:T249" si="118">E244+N244</f>
        <v>7552000</v>
      </c>
      <c r="U244" s="104">
        <f>W244+Z244</f>
        <v>0</v>
      </c>
      <c r="V244" s="104"/>
      <c r="W244" s="104"/>
      <c r="X244" s="104"/>
      <c r="Y244" s="104"/>
      <c r="Z244" s="104"/>
      <c r="AA244" s="112"/>
      <c r="AB244" s="101">
        <f t="shared" si="102"/>
        <v>3603391.71</v>
      </c>
    </row>
    <row r="245" spans="1:28" s="75" customFormat="1" ht="84.75" customHeight="1" x14ac:dyDescent="0.25">
      <c r="A245" s="1" t="s">
        <v>328</v>
      </c>
      <c r="B245" s="3">
        <v>3111</v>
      </c>
      <c r="C245" s="3">
        <v>1040</v>
      </c>
      <c r="D245" s="38" t="str">
        <f>'дод 5'!C134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45" s="101">
        <f t="shared" si="117"/>
        <v>116300</v>
      </c>
      <c r="F245" s="101">
        <v>116300</v>
      </c>
      <c r="G245" s="101"/>
      <c r="H245" s="101"/>
      <c r="I245" s="101"/>
      <c r="J245" s="101"/>
      <c r="K245" s="101"/>
      <c r="L245" s="101"/>
      <c r="M245" s="112">
        <f t="shared" si="101"/>
        <v>0</v>
      </c>
      <c r="N245" s="101">
        <f t="shared" ref="N245:N249" si="119">P245+S245</f>
        <v>0</v>
      </c>
      <c r="O245" s="101">
        <f>21140-21140</f>
        <v>0</v>
      </c>
      <c r="P245" s="101"/>
      <c r="Q245" s="101"/>
      <c r="R245" s="101"/>
      <c r="S245" s="101">
        <f>21140-21140</f>
        <v>0</v>
      </c>
      <c r="T245" s="101">
        <f t="shared" si="118"/>
        <v>116300</v>
      </c>
      <c r="U245" s="104">
        <f t="shared" ref="U245:U246" si="120">W245+Z245</f>
        <v>0</v>
      </c>
      <c r="V245" s="104"/>
      <c r="W245" s="104"/>
      <c r="X245" s="104"/>
      <c r="Y245" s="104"/>
      <c r="Z245" s="104"/>
      <c r="AA245" s="112"/>
      <c r="AB245" s="101">
        <f t="shared" si="102"/>
        <v>0</v>
      </c>
    </row>
    <row r="246" spans="1:28" s="75" customFormat="1" ht="31.5" customHeight="1" x14ac:dyDescent="0.25">
      <c r="A246" s="1" t="s">
        <v>188</v>
      </c>
      <c r="B246" s="3" t="str">
        <f>'дод 5'!A135</f>
        <v>3112</v>
      </c>
      <c r="C246" s="3" t="str">
        <f>'дод 5'!B135</f>
        <v>1040</v>
      </c>
      <c r="D246" s="38" t="str">
        <f>'дод 5'!C135</f>
        <v>Заходи державної політики з питань дітей та їх соціального захисту</v>
      </c>
      <c r="E246" s="101">
        <f t="shared" si="117"/>
        <v>170000</v>
      </c>
      <c r="F246" s="101">
        <f>141200+28800</f>
        <v>170000</v>
      </c>
      <c r="G246" s="101"/>
      <c r="H246" s="101"/>
      <c r="I246" s="101"/>
      <c r="J246" s="101">
        <v>42866.94</v>
      </c>
      <c r="K246" s="101"/>
      <c r="L246" s="101"/>
      <c r="M246" s="112">
        <f t="shared" si="101"/>
        <v>25.215847058823531</v>
      </c>
      <c r="N246" s="101">
        <f t="shared" si="119"/>
        <v>0</v>
      </c>
      <c r="O246" s="101"/>
      <c r="P246" s="101"/>
      <c r="Q246" s="101"/>
      <c r="R246" s="101"/>
      <c r="S246" s="101"/>
      <c r="T246" s="101">
        <f t="shared" si="118"/>
        <v>170000</v>
      </c>
      <c r="U246" s="104">
        <f t="shared" si="120"/>
        <v>0</v>
      </c>
      <c r="V246" s="104"/>
      <c r="W246" s="104"/>
      <c r="X246" s="104"/>
      <c r="Y246" s="104"/>
      <c r="Z246" s="104"/>
      <c r="AA246" s="112"/>
      <c r="AB246" s="101">
        <f t="shared" si="102"/>
        <v>42866.94</v>
      </c>
    </row>
    <row r="247" spans="1:28" s="75" customFormat="1" ht="31.5" hidden="1" customHeight="1" x14ac:dyDescent="0.25">
      <c r="A247" s="1" t="s">
        <v>554</v>
      </c>
      <c r="B247" s="3">
        <v>3242</v>
      </c>
      <c r="C247" s="24" t="s">
        <v>55</v>
      </c>
      <c r="D247" s="40" t="s">
        <v>400</v>
      </c>
      <c r="E247" s="101">
        <f t="shared" si="117"/>
        <v>0</v>
      </c>
      <c r="F247" s="101"/>
      <c r="G247" s="101"/>
      <c r="H247" s="101"/>
      <c r="I247" s="101"/>
      <c r="J247" s="101"/>
      <c r="K247" s="101"/>
      <c r="L247" s="101"/>
      <c r="M247" s="112" t="e">
        <f t="shared" si="101"/>
        <v>#DIV/0!</v>
      </c>
      <c r="N247" s="101">
        <f t="shared" si="119"/>
        <v>0</v>
      </c>
      <c r="O247" s="101"/>
      <c r="P247" s="101"/>
      <c r="Q247" s="101"/>
      <c r="R247" s="101"/>
      <c r="S247" s="101"/>
      <c r="T247" s="101">
        <f t="shared" si="118"/>
        <v>0</v>
      </c>
      <c r="U247" s="104"/>
      <c r="V247" s="104"/>
      <c r="W247" s="104"/>
      <c r="X247" s="104"/>
      <c r="Y247" s="104"/>
      <c r="Z247" s="104"/>
      <c r="AA247" s="112" t="e">
        <f t="shared" ref="AA247:AA271" si="121">U247/N247*100</f>
        <v>#DIV/0!</v>
      </c>
      <c r="AB247" s="101">
        <f t="shared" si="102"/>
        <v>0</v>
      </c>
    </row>
    <row r="248" spans="1:28" s="75" customFormat="1" ht="94.5" hidden="1" customHeight="1" x14ac:dyDescent="0.25">
      <c r="A248" s="1" t="s">
        <v>421</v>
      </c>
      <c r="B248" s="3">
        <v>6083</v>
      </c>
      <c r="C248" s="1" t="s">
        <v>67</v>
      </c>
      <c r="D248" s="42" t="s">
        <v>422</v>
      </c>
      <c r="E248" s="101">
        <f t="shared" si="117"/>
        <v>0</v>
      </c>
      <c r="F248" s="101"/>
      <c r="G248" s="101"/>
      <c r="H248" s="101"/>
      <c r="I248" s="101"/>
      <c r="J248" s="101"/>
      <c r="K248" s="101"/>
      <c r="L248" s="101"/>
      <c r="M248" s="112" t="e">
        <f t="shared" si="101"/>
        <v>#DIV/0!</v>
      </c>
      <c r="N248" s="101">
        <f t="shared" si="119"/>
        <v>0</v>
      </c>
      <c r="O248" s="101"/>
      <c r="P248" s="101"/>
      <c r="Q248" s="101"/>
      <c r="R248" s="101"/>
      <c r="S248" s="101"/>
      <c r="T248" s="101">
        <f t="shared" si="118"/>
        <v>0</v>
      </c>
      <c r="U248" s="104"/>
      <c r="V248" s="104"/>
      <c r="W248" s="104"/>
      <c r="X248" s="104"/>
      <c r="Y248" s="104"/>
      <c r="Z248" s="104"/>
      <c r="AA248" s="112" t="e">
        <f t="shared" si="121"/>
        <v>#DIV/0!</v>
      </c>
      <c r="AB248" s="101">
        <f t="shared" si="102"/>
        <v>0</v>
      </c>
    </row>
    <row r="249" spans="1:28" s="5" customFormat="1" ht="138.75" hidden="1" customHeight="1" x14ac:dyDescent="0.25">
      <c r="A249" s="41"/>
      <c r="B249" s="28"/>
      <c r="C249" s="41"/>
      <c r="D249" s="54" t="s">
        <v>544</v>
      </c>
      <c r="E249" s="101">
        <f t="shared" si="117"/>
        <v>0</v>
      </c>
      <c r="F249" s="105"/>
      <c r="G249" s="105"/>
      <c r="H249" s="105"/>
      <c r="I249" s="105"/>
      <c r="J249" s="105"/>
      <c r="K249" s="105"/>
      <c r="L249" s="105"/>
      <c r="M249" s="112" t="e">
        <f t="shared" si="101"/>
        <v>#DIV/0!</v>
      </c>
      <c r="N249" s="101">
        <f t="shared" si="119"/>
        <v>0</v>
      </c>
      <c r="O249" s="105"/>
      <c r="P249" s="105"/>
      <c r="Q249" s="105"/>
      <c r="R249" s="105"/>
      <c r="S249" s="105"/>
      <c r="T249" s="101">
        <f t="shared" si="118"/>
        <v>0</v>
      </c>
      <c r="U249" s="106"/>
      <c r="V249" s="106"/>
      <c r="W249" s="106"/>
      <c r="X249" s="106"/>
      <c r="Y249" s="106"/>
      <c r="Z249" s="106"/>
      <c r="AA249" s="112" t="e">
        <f t="shared" si="121"/>
        <v>#DIV/0!</v>
      </c>
      <c r="AB249" s="101">
        <f t="shared" si="102"/>
        <v>0</v>
      </c>
    </row>
    <row r="250" spans="1:28" s="74" customFormat="1" ht="22.5" customHeight="1" x14ac:dyDescent="0.25">
      <c r="A250" s="61" t="s">
        <v>25</v>
      </c>
      <c r="B250" s="33"/>
      <c r="C250" s="33"/>
      <c r="D250" s="59" t="s">
        <v>329</v>
      </c>
      <c r="E250" s="100">
        <f>E251</f>
        <v>103474200</v>
      </c>
      <c r="F250" s="100">
        <f t="shared" ref="F250:Z250" si="122">F251</f>
        <v>103474200</v>
      </c>
      <c r="G250" s="100">
        <f t="shared" si="122"/>
        <v>77700300</v>
      </c>
      <c r="H250" s="100">
        <f t="shared" si="122"/>
        <v>4802700</v>
      </c>
      <c r="I250" s="100">
        <f t="shared" si="122"/>
        <v>0</v>
      </c>
      <c r="J250" s="100">
        <f t="shared" si="122"/>
        <v>51134024.899999999</v>
      </c>
      <c r="K250" s="100">
        <f t="shared" si="122"/>
        <v>39550626.369999997</v>
      </c>
      <c r="L250" s="100">
        <f t="shared" si="122"/>
        <v>2404299.19</v>
      </c>
      <c r="M250" s="117">
        <f t="shared" si="101"/>
        <v>49.41717345966434</v>
      </c>
      <c r="N250" s="100">
        <f t="shared" si="122"/>
        <v>8570035</v>
      </c>
      <c r="O250" s="100">
        <f t="shared" si="122"/>
        <v>4860300</v>
      </c>
      <c r="P250" s="100">
        <f t="shared" si="122"/>
        <v>3707535</v>
      </c>
      <c r="Q250" s="100">
        <f t="shared" si="122"/>
        <v>3020273</v>
      </c>
      <c r="R250" s="100">
        <f t="shared" si="122"/>
        <v>0</v>
      </c>
      <c r="S250" s="100">
        <f t="shared" si="122"/>
        <v>4862500</v>
      </c>
      <c r="T250" s="100">
        <f t="shared" si="122"/>
        <v>112044235</v>
      </c>
      <c r="U250" s="100">
        <f t="shared" si="122"/>
        <v>5154125.5700000012</v>
      </c>
      <c r="V250" s="100">
        <f t="shared" si="122"/>
        <v>2715128.17</v>
      </c>
      <c r="W250" s="100">
        <f t="shared" si="122"/>
        <v>2296924.8000000003</v>
      </c>
      <c r="X250" s="100">
        <f t="shared" si="122"/>
        <v>1745455.67</v>
      </c>
      <c r="Y250" s="100">
        <f t="shared" si="122"/>
        <v>0</v>
      </c>
      <c r="Z250" s="100">
        <f t="shared" si="122"/>
        <v>2857200.77</v>
      </c>
      <c r="AA250" s="117">
        <f t="shared" si="121"/>
        <v>60.141242947082496</v>
      </c>
      <c r="AB250" s="100">
        <f t="shared" si="102"/>
        <v>56288150.469999999</v>
      </c>
    </row>
    <row r="251" spans="1:28" s="9" customFormat="1" ht="21.75" customHeight="1" x14ac:dyDescent="0.25">
      <c r="A251" s="6" t="s">
        <v>189</v>
      </c>
      <c r="B251" s="7"/>
      <c r="C251" s="7"/>
      <c r="D251" s="8" t="s">
        <v>329</v>
      </c>
      <c r="E251" s="102">
        <f>E252+E253+E254+E256+E257++E259+E255+E258+E260</f>
        <v>103474200</v>
      </c>
      <c r="F251" s="102">
        <f t="shared" ref="F251:Z251" si="123">F252+F253+F254+F256+F257++F259+F255+F258+F260</f>
        <v>103474200</v>
      </c>
      <c r="G251" s="102">
        <f t="shared" si="123"/>
        <v>77700300</v>
      </c>
      <c r="H251" s="102">
        <f t="shared" si="123"/>
        <v>4802700</v>
      </c>
      <c r="I251" s="102">
        <f t="shared" si="123"/>
        <v>0</v>
      </c>
      <c r="J251" s="102">
        <f t="shared" si="123"/>
        <v>51134024.899999999</v>
      </c>
      <c r="K251" s="102">
        <f t="shared" si="123"/>
        <v>39550626.369999997</v>
      </c>
      <c r="L251" s="102">
        <f t="shared" si="123"/>
        <v>2404299.19</v>
      </c>
      <c r="M251" s="118">
        <f t="shared" si="101"/>
        <v>49.41717345966434</v>
      </c>
      <c r="N251" s="102">
        <f t="shared" si="123"/>
        <v>8570035</v>
      </c>
      <c r="O251" s="102">
        <f t="shared" si="123"/>
        <v>4860300</v>
      </c>
      <c r="P251" s="102">
        <f t="shared" si="123"/>
        <v>3707535</v>
      </c>
      <c r="Q251" s="102">
        <f t="shared" si="123"/>
        <v>3020273</v>
      </c>
      <c r="R251" s="102">
        <f t="shared" si="123"/>
        <v>0</v>
      </c>
      <c r="S251" s="102">
        <f t="shared" si="123"/>
        <v>4862500</v>
      </c>
      <c r="T251" s="102">
        <f t="shared" si="123"/>
        <v>112044235</v>
      </c>
      <c r="U251" s="102">
        <f t="shared" si="123"/>
        <v>5154125.5700000012</v>
      </c>
      <c r="V251" s="102">
        <f t="shared" si="123"/>
        <v>2715128.17</v>
      </c>
      <c r="W251" s="102">
        <f t="shared" si="123"/>
        <v>2296924.8000000003</v>
      </c>
      <c r="X251" s="102">
        <f t="shared" si="123"/>
        <v>1745455.67</v>
      </c>
      <c r="Y251" s="102">
        <f t="shared" si="123"/>
        <v>0</v>
      </c>
      <c r="Z251" s="102">
        <f t="shared" si="123"/>
        <v>2857200.77</v>
      </c>
      <c r="AA251" s="118">
        <f t="shared" si="121"/>
        <v>60.141242947082496</v>
      </c>
      <c r="AB251" s="102">
        <f t="shared" si="102"/>
        <v>56288150.469999999</v>
      </c>
    </row>
    <row r="252" spans="1:28" s="75" customFormat="1" ht="47.25" x14ac:dyDescent="0.25">
      <c r="A252" s="1" t="s">
        <v>136</v>
      </c>
      <c r="B252" s="3" t="str">
        <f>'дод 5'!A18</f>
        <v>0160</v>
      </c>
      <c r="C252" s="3" t="str">
        <f>'дод 5'!B18</f>
        <v>0111</v>
      </c>
      <c r="D252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52" s="101">
        <f t="shared" ref="E252:E260" si="124">F252+I252</f>
        <v>2618500</v>
      </c>
      <c r="F252" s="101">
        <f>2410900+207600</f>
        <v>2618500</v>
      </c>
      <c r="G252" s="101">
        <f>1884400+170300</f>
        <v>2054700</v>
      </c>
      <c r="H252" s="101">
        <v>50600</v>
      </c>
      <c r="I252" s="101"/>
      <c r="J252" s="101">
        <v>1253488.82</v>
      </c>
      <c r="K252" s="101">
        <v>976496.25</v>
      </c>
      <c r="L252" s="101">
        <v>21001.84</v>
      </c>
      <c r="M252" s="112">
        <f t="shared" si="101"/>
        <v>47.870491502768765</v>
      </c>
      <c r="N252" s="101">
        <f>P252+S252</f>
        <v>0</v>
      </c>
      <c r="O252" s="101"/>
      <c r="P252" s="101"/>
      <c r="Q252" s="101"/>
      <c r="R252" s="101"/>
      <c r="S252" s="101"/>
      <c r="T252" s="101">
        <f t="shared" ref="T252:T260" si="125">E252+N252</f>
        <v>2618500</v>
      </c>
      <c r="U252" s="104">
        <f>W252+Z252</f>
        <v>0</v>
      </c>
      <c r="V252" s="104"/>
      <c r="W252" s="104"/>
      <c r="X252" s="104"/>
      <c r="Y252" s="104"/>
      <c r="Z252" s="104"/>
      <c r="AA252" s="112"/>
      <c r="AB252" s="101">
        <f t="shared" si="102"/>
        <v>1253488.82</v>
      </c>
    </row>
    <row r="253" spans="1:28" s="75" customFormat="1" ht="33" customHeight="1" x14ac:dyDescent="0.25">
      <c r="A253" s="1" t="s">
        <v>480</v>
      </c>
      <c r="B253" s="3">
        <v>1080</v>
      </c>
      <c r="C253" s="1" t="s">
        <v>56</v>
      </c>
      <c r="D253" s="38" t="str">
        <f>'дод 5'!C62</f>
        <v>Надання спеціалізованої освіти мистецькими школами</v>
      </c>
      <c r="E253" s="101">
        <f t="shared" si="124"/>
        <v>63714300</v>
      </c>
      <c r="F253" s="101">
        <f>63414300+500000-200000</f>
        <v>63714300</v>
      </c>
      <c r="G253" s="101">
        <v>49963100</v>
      </c>
      <c r="H253" s="101">
        <v>1633100</v>
      </c>
      <c r="I253" s="101"/>
      <c r="J253" s="101">
        <v>34261481.979999997</v>
      </c>
      <c r="K253" s="101">
        <v>27357637.41</v>
      </c>
      <c r="L253" s="101">
        <v>857281.87</v>
      </c>
      <c r="M253" s="112">
        <f t="shared" si="101"/>
        <v>53.773614369144752</v>
      </c>
      <c r="N253" s="101">
        <f>P253+S253</f>
        <v>3692735</v>
      </c>
      <c r="O253" s="101"/>
      <c r="P253" s="101">
        <v>3690535</v>
      </c>
      <c r="Q253" s="101">
        <v>3020273</v>
      </c>
      <c r="R253" s="101"/>
      <c r="S253" s="101">
        <v>2200</v>
      </c>
      <c r="T253" s="101">
        <f t="shared" si="125"/>
        <v>67407035</v>
      </c>
      <c r="U253" s="104">
        <f t="shared" ref="U253:U260" si="126">W253+Z253</f>
        <v>2197488.7400000002</v>
      </c>
      <c r="V253" s="104"/>
      <c r="W253" s="104">
        <v>2194588.7400000002</v>
      </c>
      <c r="X253" s="104">
        <v>1745455.67</v>
      </c>
      <c r="Y253" s="104"/>
      <c r="Z253" s="104">
        <v>2900</v>
      </c>
      <c r="AA253" s="112">
        <f t="shared" si="121"/>
        <v>59.508433180285081</v>
      </c>
      <c r="AB253" s="101">
        <f t="shared" si="102"/>
        <v>36458970.719999999</v>
      </c>
    </row>
    <row r="254" spans="1:28" s="75" customFormat="1" ht="21" customHeight="1" x14ac:dyDescent="0.25">
      <c r="A254" s="1" t="s">
        <v>190</v>
      </c>
      <c r="B254" s="3" t="str">
        <f>'дод 5'!A163</f>
        <v>4030</v>
      </c>
      <c r="C254" s="3" t="str">
        <f>'дод 5'!B163</f>
        <v>0824</v>
      </c>
      <c r="D254" s="38" t="str">
        <f>'дод 5'!C163</f>
        <v>Забезпечення діяльності бібліотек</v>
      </c>
      <c r="E254" s="101">
        <f t="shared" si="124"/>
        <v>27722400</v>
      </c>
      <c r="F254" s="101">
        <v>27722400</v>
      </c>
      <c r="G254" s="101">
        <v>19660500</v>
      </c>
      <c r="H254" s="101">
        <v>2672200</v>
      </c>
      <c r="I254" s="101"/>
      <c r="J254" s="101">
        <v>12085832.17</v>
      </c>
      <c r="K254" s="101">
        <v>8659222.3699999992</v>
      </c>
      <c r="L254" s="101">
        <v>1419437.9</v>
      </c>
      <c r="M254" s="112">
        <f t="shared" si="101"/>
        <v>43.595908615415688</v>
      </c>
      <c r="N254" s="101">
        <f t="shared" ref="N254:N260" si="127">P254+S254</f>
        <v>4865300</v>
      </c>
      <c r="O254" s="101">
        <v>4860300</v>
      </c>
      <c r="P254" s="101">
        <v>5000</v>
      </c>
      <c r="Q254" s="101"/>
      <c r="R254" s="101"/>
      <c r="S254" s="101">
        <v>4860300</v>
      </c>
      <c r="T254" s="101">
        <f t="shared" si="125"/>
        <v>32587700</v>
      </c>
      <c r="U254" s="104">
        <f t="shared" si="126"/>
        <v>2880454.15</v>
      </c>
      <c r="V254" s="104">
        <v>2715128.17</v>
      </c>
      <c r="W254" s="104">
        <v>26153.38</v>
      </c>
      <c r="X254" s="104"/>
      <c r="Y254" s="104"/>
      <c r="Z254" s="104">
        <v>2854300.77</v>
      </c>
      <c r="AA254" s="112">
        <f t="shared" si="121"/>
        <v>59.204039833103813</v>
      </c>
      <c r="AB254" s="101">
        <f t="shared" si="102"/>
        <v>14966286.32</v>
      </c>
    </row>
    <row r="255" spans="1:28" s="75" customFormat="1" ht="54.75" customHeight="1" x14ac:dyDescent="0.25">
      <c r="A255" s="1">
        <v>1014060</v>
      </c>
      <c r="B255" s="3" t="str">
        <f>'дод 5'!A164</f>
        <v>4060</v>
      </c>
      <c r="C255" s="3" t="str">
        <f>'дод 5'!B164</f>
        <v>0828</v>
      </c>
      <c r="D255" s="38" t="str">
        <f>'дод 5'!C164</f>
        <v>Забезпечення діяльності палаців i будинків культури, клубів, центрів дозвілля та iнших клубних закладів</v>
      </c>
      <c r="E255" s="101">
        <f t="shared" si="124"/>
        <v>6066500</v>
      </c>
      <c r="F255" s="101">
        <f>5349200+173500+243800+300000</f>
        <v>6066500</v>
      </c>
      <c r="G255" s="101">
        <f>3530000+142200+199800</f>
        <v>3872000</v>
      </c>
      <c r="H255" s="101">
        <v>370000</v>
      </c>
      <c r="I255" s="101"/>
      <c r="J255" s="101">
        <v>2138252.39</v>
      </c>
      <c r="K255" s="101">
        <v>1494561.29</v>
      </c>
      <c r="L255" s="101">
        <v>74500.77</v>
      </c>
      <c r="M255" s="112">
        <f t="shared" si="101"/>
        <v>35.246886837550484</v>
      </c>
      <c r="N255" s="101">
        <f t="shared" si="127"/>
        <v>0</v>
      </c>
      <c r="O255" s="101">
        <f>246000-246000</f>
        <v>0</v>
      </c>
      <c r="P255" s="101"/>
      <c r="Q255" s="101"/>
      <c r="R255" s="101"/>
      <c r="S255" s="101">
        <f>246000-246000</f>
        <v>0</v>
      </c>
      <c r="T255" s="101">
        <f t="shared" si="125"/>
        <v>6066500</v>
      </c>
      <c r="U255" s="104">
        <f t="shared" si="126"/>
        <v>73841.2</v>
      </c>
      <c r="V255" s="104"/>
      <c r="W255" s="104">
        <v>73841.2</v>
      </c>
      <c r="X255" s="104"/>
      <c r="Y255" s="104"/>
      <c r="Z255" s="104"/>
      <c r="AA255" s="112"/>
      <c r="AB255" s="101">
        <f t="shared" si="102"/>
        <v>2212093.5900000003</v>
      </c>
    </row>
    <row r="256" spans="1:28" s="5" customFormat="1" ht="33.75" customHeight="1" x14ac:dyDescent="0.25">
      <c r="A256" s="1">
        <v>1014081</v>
      </c>
      <c r="B256" s="3" t="str">
        <f>'дод 5'!A165</f>
        <v>4081</v>
      </c>
      <c r="C256" s="3" t="str">
        <f>'дод 5'!B165</f>
        <v>0829</v>
      </c>
      <c r="D256" s="38" t="str">
        <f>'дод 5'!C165</f>
        <v>Забезпечення діяльності інших закладів в галузі культури і мистецтва</v>
      </c>
      <c r="E256" s="101">
        <f t="shared" si="124"/>
        <v>2852500</v>
      </c>
      <c r="F256" s="101">
        <v>2852500</v>
      </c>
      <c r="G256" s="101">
        <v>2150000</v>
      </c>
      <c r="H256" s="101">
        <v>76800</v>
      </c>
      <c r="I256" s="101"/>
      <c r="J256" s="101">
        <v>1380009.39</v>
      </c>
      <c r="K256" s="101">
        <v>1062709.05</v>
      </c>
      <c r="L256" s="101">
        <v>32076.81</v>
      </c>
      <c r="M256" s="112">
        <f t="shared" si="101"/>
        <v>48.378944434706398</v>
      </c>
      <c r="N256" s="101">
        <f t="shared" si="127"/>
        <v>0</v>
      </c>
      <c r="O256" s="101"/>
      <c r="P256" s="101"/>
      <c r="Q256" s="101"/>
      <c r="R256" s="101"/>
      <c r="S256" s="101"/>
      <c r="T256" s="101">
        <f t="shared" si="125"/>
        <v>2852500</v>
      </c>
      <c r="U256" s="104">
        <f t="shared" si="126"/>
        <v>0</v>
      </c>
      <c r="V256" s="106"/>
      <c r="W256" s="106"/>
      <c r="X256" s="106"/>
      <c r="Y256" s="106"/>
      <c r="Z256" s="106"/>
      <c r="AA256" s="112"/>
      <c r="AB256" s="101">
        <f t="shared" si="102"/>
        <v>1380009.39</v>
      </c>
    </row>
    <row r="257" spans="1:28" s="5" customFormat="1" ht="25.5" customHeight="1" x14ac:dyDescent="0.25">
      <c r="A257" s="1">
        <v>1014082</v>
      </c>
      <c r="B257" s="3" t="str">
        <f>'дод 5'!A166</f>
        <v>4082</v>
      </c>
      <c r="C257" s="3" t="str">
        <f>'дод 5'!B166</f>
        <v>0829</v>
      </c>
      <c r="D257" s="38" t="str">
        <f>'дод 5'!C166</f>
        <v>Інші заходи в галузі культури і мистецтва</v>
      </c>
      <c r="E257" s="101">
        <f t="shared" si="124"/>
        <v>500000</v>
      </c>
      <c r="F257" s="101">
        <f>1200000-700000</f>
        <v>500000</v>
      </c>
      <c r="G257" s="101"/>
      <c r="H257" s="101"/>
      <c r="I257" s="101"/>
      <c r="J257" s="101">
        <v>14960.15</v>
      </c>
      <c r="K257" s="101"/>
      <c r="L257" s="101"/>
      <c r="M257" s="112">
        <f t="shared" si="101"/>
        <v>2.9920300000000002</v>
      </c>
      <c r="N257" s="101">
        <f t="shared" si="127"/>
        <v>0</v>
      </c>
      <c r="O257" s="101"/>
      <c r="P257" s="101"/>
      <c r="Q257" s="101"/>
      <c r="R257" s="101"/>
      <c r="S257" s="101"/>
      <c r="T257" s="101">
        <f t="shared" si="125"/>
        <v>500000</v>
      </c>
      <c r="U257" s="104">
        <f t="shared" si="126"/>
        <v>0</v>
      </c>
      <c r="V257" s="106"/>
      <c r="W257" s="106"/>
      <c r="X257" s="106"/>
      <c r="Y257" s="106"/>
      <c r="Z257" s="106"/>
      <c r="AA257" s="112"/>
      <c r="AB257" s="101">
        <f t="shared" si="102"/>
        <v>14960.15</v>
      </c>
    </row>
    <row r="258" spans="1:28" s="5" customFormat="1" ht="21.75" hidden="1" customHeight="1" x14ac:dyDescent="0.25">
      <c r="A258" s="1" t="s">
        <v>434</v>
      </c>
      <c r="B258" s="1" t="s">
        <v>435</v>
      </c>
      <c r="C258" s="1" t="s">
        <v>110</v>
      </c>
      <c r="D258" s="4" t="str">
        <f>'дод 5'!C212</f>
        <v>Будівництво1 установ та закладів культури</v>
      </c>
      <c r="E258" s="101">
        <f t="shared" si="124"/>
        <v>0</v>
      </c>
      <c r="F258" s="101"/>
      <c r="G258" s="101"/>
      <c r="H258" s="101"/>
      <c r="I258" s="101"/>
      <c r="J258" s="101"/>
      <c r="K258" s="101"/>
      <c r="L258" s="101"/>
      <c r="M258" s="112" t="e">
        <f t="shared" si="101"/>
        <v>#DIV/0!</v>
      </c>
      <c r="N258" s="101">
        <f t="shared" si="127"/>
        <v>0</v>
      </c>
      <c r="O258" s="101"/>
      <c r="P258" s="101"/>
      <c r="Q258" s="101"/>
      <c r="R258" s="101"/>
      <c r="S258" s="101"/>
      <c r="T258" s="101">
        <f t="shared" si="125"/>
        <v>0</v>
      </c>
      <c r="U258" s="104">
        <f t="shared" si="126"/>
        <v>0</v>
      </c>
      <c r="V258" s="106"/>
      <c r="W258" s="106"/>
      <c r="X258" s="106"/>
      <c r="Y258" s="106"/>
      <c r="Z258" s="106"/>
      <c r="AA258" s="112" t="e">
        <f t="shared" si="121"/>
        <v>#DIV/0!</v>
      </c>
      <c r="AB258" s="101">
        <f t="shared" si="102"/>
        <v>0</v>
      </c>
    </row>
    <row r="259" spans="1:28" s="75" customFormat="1" ht="22.5" hidden="1" customHeight="1" x14ac:dyDescent="0.25">
      <c r="A259" s="1" t="s">
        <v>142</v>
      </c>
      <c r="B259" s="3" t="str">
        <f>'дод 5'!A249</f>
        <v>7640</v>
      </c>
      <c r="C259" s="3" t="str">
        <f>'дод 5'!B249</f>
        <v>0470</v>
      </c>
      <c r="D259" s="38" t="s">
        <v>410</v>
      </c>
      <c r="E259" s="101">
        <f t="shared" si="124"/>
        <v>0</v>
      </c>
      <c r="F259" s="101"/>
      <c r="G259" s="101"/>
      <c r="H259" s="101"/>
      <c r="I259" s="101"/>
      <c r="J259" s="101"/>
      <c r="K259" s="101"/>
      <c r="L259" s="101"/>
      <c r="M259" s="112" t="e">
        <f t="shared" si="101"/>
        <v>#DIV/0!</v>
      </c>
      <c r="N259" s="101">
        <f t="shared" si="127"/>
        <v>0</v>
      </c>
      <c r="O259" s="101"/>
      <c r="P259" s="101"/>
      <c r="Q259" s="101"/>
      <c r="R259" s="101"/>
      <c r="S259" s="101"/>
      <c r="T259" s="101">
        <f t="shared" si="125"/>
        <v>0</v>
      </c>
      <c r="U259" s="104">
        <f t="shared" si="126"/>
        <v>0</v>
      </c>
      <c r="V259" s="104"/>
      <c r="W259" s="104"/>
      <c r="X259" s="104"/>
      <c r="Y259" s="104"/>
      <c r="Z259" s="104"/>
      <c r="AA259" s="112" t="e">
        <f t="shared" si="121"/>
        <v>#DIV/0!</v>
      </c>
      <c r="AB259" s="101">
        <f t="shared" si="102"/>
        <v>0</v>
      </c>
    </row>
    <row r="260" spans="1:28" s="75" customFormat="1" ht="27" customHeight="1" x14ac:dyDescent="0.25">
      <c r="A260" s="1">
        <v>1018340</v>
      </c>
      <c r="B260" s="3" t="str">
        <f>'дод 5'!A275</f>
        <v>8340</v>
      </c>
      <c r="C260" s="3" t="str">
        <f>'дод 5'!B275</f>
        <v>0540</v>
      </c>
      <c r="D260" s="58" t="str">
        <f>'дод 5'!C275</f>
        <v>Природоохоронні заходи за рахунок цільових фондів</v>
      </c>
      <c r="E260" s="101">
        <f t="shared" si="124"/>
        <v>0</v>
      </c>
      <c r="F260" s="101"/>
      <c r="G260" s="101"/>
      <c r="H260" s="101"/>
      <c r="I260" s="101"/>
      <c r="J260" s="101"/>
      <c r="K260" s="101"/>
      <c r="L260" s="101"/>
      <c r="M260" s="112"/>
      <c r="N260" s="101">
        <f t="shared" si="127"/>
        <v>12000</v>
      </c>
      <c r="O260" s="101"/>
      <c r="P260" s="101">
        <v>12000</v>
      </c>
      <c r="Q260" s="101"/>
      <c r="R260" s="101"/>
      <c r="S260" s="101"/>
      <c r="T260" s="101">
        <f t="shared" si="125"/>
        <v>12000</v>
      </c>
      <c r="U260" s="104">
        <f t="shared" si="126"/>
        <v>2341.48</v>
      </c>
      <c r="V260" s="104"/>
      <c r="W260" s="104">
        <v>2341.48</v>
      </c>
      <c r="X260" s="104"/>
      <c r="Y260" s="104"/>
      <c r="Z260" s="104"/>
      <c r="AA260" s="112">
        <f t="shared" si="121"/>
        <v>19.512333333333334</v>
      </c>
      <c r="AB260" s="101">
        <f t="shared" si="102"/>
        <v>2341.48</v>
      </c>
    </row>
    <row r="261" spans="1:28" s="74" customFormat="1" ht="34.5" customHeight="1" x14ac:dyDescent="0.25">
      <c r="A261" s="61" t="s">
        <v>191</v>
      </c>
      <c r="B261" s="33"/>
      <c r="C261" s="33"/>
      <c r="D261" s="59" t="s">
        <v>31</v>
      </c>
      <c r="E261" s="100">
        <f>E262</f>
        <v>372392020</v>
      </c>
      <c r="F261" s="100">
        <f t="shared" ref="F261:Z261" si="128">F262</f>
        <v>293746515.38</v>
      </c>
      <c r="G261" s="100">
        <f t="shared" si="128"/>
        <v>15113300</v>
      </c>
      <c r="H261" s="100">
        <f t="shared" si="128"/>
        <v>43838500</v>
      </c>
      <c r="I261" s="100">
        <f t="shared" si="128"/>
        <v>78645504.620000005</v>
      </c>
      <c r="J261" s="100">
        <f t="shared" si="128"/>
        <v>167637139.53</v>
      </c>
      <c r="K261" s="100">
        <f t="shared" si="128"/>
        <v>6906384.1600000001</v>
      </c>
      <c r="L261" s="100">
        <f t="shared" si="128"/>
        <v>12595127.23</v>
      </c>
      <c r="M261" s="117">
        <f t="shared" si="101"/>
        <v>45.016308225401822</v>
      </c>
      <c r="N261" s="100">
        <f t="shared" si="128"/>
        <v>84989434</v>
      </c>
      <c r="O261" s="100">
        <f t="shared" si="128"/>
        <v>68132060</v>
      </c>
      <c r="P261" s="100">
        <f t="shared" si="128"/>
        <v>784400</v>
      </c>
      <c r="Q261" s="100">
        <f t="shared" si="128"/>
        <v>0</v>
      </c>
      <c r="R261" s="100">
        <f t="shared" ca="1" si="128"/>
        <v>372392020</v>
      </c>
      <c r="S261" s="100">
        <f t="shared" si="128"/>
        <v>84205034</v>
      </c>
      <c r="T261" s="100">
        <f t="shared" si="128"/>
        <v>457381454</v>
      </c>
      <c r="U261" s="100">
        <f t="shared" si="128"/>
        <v>2299833.9500000002</v>
      </c>
      <c r="V261" s="100">
        <f t="shared" si="128"/>
        <v>2173321.5299999998</v>
      </c>
      <c r="W261" s="100">
        <f t="shared" si="128"/>
        <v>16549.919999999998</v>
      </c>
      <c r="X261" s="100">
        <f t="shared" si="128"/>
        <v>0</v>
      </c>
      <c r="Y261" s="100">
        <f t="shared" si="128"/>
        <v>0</v>
      </c>
      <c r="Z261" s="100">
        <f t="shared" si="128"/>
        <v>2283284.0299999998</v>
      </c>
      <c r="AA261" s="117">
        <f t="shared" si="121"/>
        <v>2.7060233746232507</v>
      </c>
      <c r="AB261" s="100">
        <f t="shared" si="102"/>
        <v>169936973.47999999</v>
      </c>
    </row>
    <row r="262" spans="1:28" s="9" customFormat="1" ht="31.5" x14ac:dyDescent="0.25">
      <c r="A262" s="6" t="s">
        <v>192</v>
      </c>
      <c r="B262" s="7"/>
      <c r="C262" s="7"/>
      <c r="D262" s="8" t="s">
        <v>683</v>
      </c>
      <c r="E262" s="102">
        <f>E272+E273+E274+E275+E276+E278+E279+E280+E281+E285+E286+E288+E290+E289+E292+E294+E298+E300+E302+E309+E310+E312+E317+E321+E323+E291+E305+E314+E313+E282+E284+E322+E320+E277+E319+E324+E318+E315+E316+E304+E301+E307</f>
        <v>372392020</v>
      </c>
      <c r="F262" s="102">
        <f t="shared" ref="F262:Z262" si="129">F272+F273+F274+F275+F276+F278+F279+F280+F281+F285+F286+F288+F290+F289+F292+F294+F298+F300+F302+F309+F310+F312+F317+F321+F323+F291+F305+F314+F313+F282+F284+F322+F320+F277+F319+F324+F318+F315+F316+F304+F301+F307</f>
        <v>293746515.38</v>
      </c>
      <c r="G262" s="102">
        <f t="shared" si="129"/>
        <v>15113300</v>
      </c>
      <c r="H262" s="102">
        <f t="shared" si="129"/>
        <v>43838500</v>
      </c>
      <c r="I262" s="102">
        <f t="shared" si="129"/>
        <v>78645504.620000005</v>
      </c>
      <c r="J262" s="102">
        <f t="shared" si="129"/>
        <v>167637139.53</v>
      </c>
      <c r="K262" s="102">
        <f t="shared" si="129"/>
        <v>6906384.1600000001</v>
      </c>
      <c r="L262" s="102">
        <f t="shared" si="129"/>
        <v>12595127.23</v>
      </c>
      <c r="M262" s="118">
        <f t="shared" si="101"/>
        <v>45.016308225401822</v>
      </c>
      <c r="N262" s="102">
        <f t="shared" si="129"/>
        <v>84989434</v>
      </c>
      <c r="O262" s="102">
        <f t="shared" si="129"/>
        <v>68132060</v>
      </c>
      <c r="P262" s="102">
        <f t="shared" si="129"/>
        <v>784400</v>
      </c>
      <c r="Q262" s="102">
        <f t="shared" si="129"/>
        <v>0</v>
      </c>
      <c r="R262" s="102">
        <f t="shared" ca="1" si="129"/>
        <v>372392020</v>
      </c>
      <c r="S262" s="102">
        <f t="shared" si="129"/>
        <v>84205034</v>
      </c>
      <c r="T262" s="102">
        <f t="shared" si="129"/>
        <v>457381454</v>
      </c>
      <c r="U262" s="102">
        <f t="shared" si="129"/>
        <v>2299833.9500000002</v>
      </c>
      <c r="V262" s="102">
        <f t="shared" si="129"/>
        <v>2173321.5299999998</v>
      </c>
      <c r="W262" s="102">
        <f t="shared" si="129"/>
        <v>16549.919999999998</v>
      </c>
      <c r="X262" s="102">
        <f t="shared" si="129"/>
        <v>0</v>
      </c>
      <c r="Y262" s="102">
        <f t="shared" si="129"/>
        <v>0</v>
      </c>
      <c r="Z262" s="102">
        <f t="shared" si="129"/>
        <v>2283284.0299999998</v>
      </c>
      <c r="AA262" s="118">
        <f t="shared" si="121"/>
        <v>2.7060233746232507</v>
      </c>
      <c r="AB262" s="102">
        <f t="shared" si="102"/>
        <v>169936973.47999999</v>
      </c>
    </row>
    <row r="263" spans="1:28" s="9" customFormat="1" ht="117.75" hidden="1" customHeight="1" x14ac:dyDescent="0.25">
      <c r="A263" s="6"/>
      <c r="B263" s="7"/>
      <c r="C263" s="7"/>
      <c r="D263" s="8" t="s">
        <v>389</v>
      </c>
      <c r="E263" s="102">
        <f>E306</f>
        <v>0</v>
      </c>
      <c r="F263" s="102">
        <f t="shared" ref="F263:Z263" si="130">F306</f>
        <v>0</v>
      </c>
      <c r="G263" s="102">
        <f t="shared" si="130"/>
        <v>0</v>
      </c>
      <c r="H263" s="102">
        <f t="shared" si="130"/>
        <v>0</v>
      </c>
      <c r="I263" s="102">
        <f t="shared" si="130"/>
        <v>0</v>
      </c>
      <c r="J263" s="102">
        <f t="shared" si="130"/>
        <v>0</v>
      </c>
      <c r="K263" s="102">
        <f t="shared" si="130"/>
        <v>0</v>
      </c>
      <c r="L263" s="102">
        <f t="shared" si="130"/>
        <v>0</v>
      </c>
      <c r="M263" s="118" t="e">
        <f t="shared" si="101"/>
        <v>#DIV/0!</v>
      </c>
      <c r="N263" s="102">
        <f t="shared" si="130"/>
        <v>0</v>
      </c>
      <c r="O263" s="102">
        <f t="shared" si="130"/>
        <v>0</v>
      </c>
      <c r="P263" s="102">
        <f t="shared" si="130"/>
        <v>0</v>
      </c>
      <c r="Q263" s="102">
        <f t="shared" si="130"/>
        <v>0</v>
      </c>
      <c r="R263" s="102">
        <f t="shared" si="130"/>
        <v>0</v>
      </c>
      <c r="S263" s="102">
        <f t="shared" si="130"/>
        <v>0</v>
      </c>
      <c r="T263" s="102">
        <f t="shared" si="130"/>
        <v>0</v>
      </c>
      <c r="U263" s="102">
        <f t="shared" si="130"/>
        <v>0</v>
      </c>
      <c r="V263" s="102">
        <f t="shared" si="130"/>
        <v>0</v>
      </c>
      <c r="W263" s="102">
        <f t="shared" si="130"/>
        <v>0</v>
      </c>
      <c r="X263" s="102">
        <f t="shared" si="130"/>
        <v>0</v>
      </c>
      <c r="Y263" s="102">
        <f t="shared" si="130"/>
        <v>0</v>
      </c>
      <c r="Z263" s="102">
        <f t="shared" si="130"/>
        <v>0</v>
      </c>
      <c r="AA263" s="112" t="e">
        <f t="shared" si="121"/>
        <v>#DIV/0!</v>
      </c>
      <c r="AB263" s="102">
        <f t="shared" si="102"/>
        <v>0</v>
      </c>
    </row>
    <row r="264" spans="1:28" s="9" customFormat="1" ht="84" hidden="1" customHeight="1" x14ac:dyDescent="0.25">
      <c r="A264" s="6"/>
      <c r="B264" s="7"/>
      <c r="C264" s="7"/>
      <c r="D264" s="8" t="s">
        <v>500</v>
      </c>
      <c r="E264" s="102">
        <f>E297</f>
        <v>0</v>
      </c>
      <c r="F264" s="102">
        <f t="shared" ref="F264:Z264" si="131">F297</f>
        <v>0</v>
      </c>
      <c r="G264" s="102">
        <f t="shared" si="131"/>
        <v>0</v>
      </c>
      <c r="H264" s="102">
        <f t="shared" si="131"/>
        <v>0</v>
      </c>
      <c r="I264" s="102">
        <f t="shared" si="131"/>
        <v>0</v>
      </c>
      <c r="J264" s="102">
        <f t="shared" si="131"/>
        <v>0</v>
      </c>
      <c r="K264" s="102">
        <f t="shared" si="131"/>
        <v>0</v>
      </c>
      <c r="L264" s="102">
        <f t="shared" si="131"/>
        <v>0</v>
      </c>
      <c r="M264" s="118" t="e">
        <f t="shared" si="101"/>
        <v>#DIV/0!</v>
      </c>
      <c r="N264" s="102">
        <f t="shared" si="131"/>
        <v>0</v>
      </c>
      <c r="O264" s="102">
        <f t="shared" si="131"/>
        <v>0</v>
      </c>
      <c r="P264" s="102">
        <f t="shared" si="131"/>
        <v>0</v>
      </c>
      <c r="Q264" s="102">
        <f t="shared" si="131"/>
        <v>0</v>
      </c>
      <c r="R264" s="102">
        <f t="shared" si="131"/>
        <v>0</v>
      </c>
      <c r="S264" s="102">
        <f t="shared" si="131"/>
        <v>0</v>
      </c>
      <c r="T264" s="102">
        <f t="shared" si="131"/>
        <v>0</v>
      </c>
      <c r="U264" s="102">
        <f t="shared" si="131"/>
        <v>0</v>
      </c>
      <c r="V264" s="102">
        <f t="shared" si="131"/>
        <v>0</v>
      </c>
      <c r="W264" s="102">
        <f t="shared" si="131"/>
        <v>0</v>
      </c>
      <c r="X264" s="102">
        <f t="shared" si="131"/>
        <v>0</v>
      </c>
      <c r="Y264" s="102">
        <f t="shared" si="131"/>
        <v>0</v>
      </c>
      <c r="Z264" s="102">
        <f t="shared" si="131"/>
        <v>0</v>
      </c>
      <c r="AA264" s="112" t="e">
        <f t="shared" si="121"/>
        <v>#DIV/0!</v>
      </c>
      <c r="AB264" s="102">
        <f t="shared" si="102"/>
        <v>0</v>
      </c>
    </row>
    <row r="265" spans="1:28" s="9" customFormat="1" ht="61.5" hidden="1" customHeight="1" x14ac:dyDescent="0.25">
      <c r="A265" s="6"/>
      <c r="B265" s="7"/>
      <c r="C265" s="7"/>
      <c r="D265" s="8" t="s">
        <v>382</v>
      </c>
      <c r="E265" s="102">
        <f>E293</f>
        <v>0</v>
      </c>
      <c r="F265" s="102">
        <f t="shared" ref="F265:Z265" si="132">F293</f>
        <v>0</v>
      </c>
      <c r="G265" s="102">
        <f t="shared" si="132"/>
        <v>0</v>
      </c>
      <c r="H265" s="102">
        <f t="shared" si="132"/>
        <v>0</v>
      </c>
      <c r="I265" s="102">
        <f t="shared" si="132"/>
        <v>0</v>
      </c>
      <c r="J265" s="102">
        <f t="shared" si="132"/>
        <v>0</v>
      </c>
      <c r="K265" s="102">
        <f t="shared" si="132"/>
        <v>0</v>
      </c>
      <c r="L265" s="102">
        <f t="shared" si="132"/>
        <v>0</v>
      </c>
      <c r="M265" s="118" t="e">
        <f t="shared" si="101"/>
        <v>#DIV/0!</v>
      </c>
      <c r="N265" s="102">
        <f t="shared" si="132"/>
        <v>0</v>
      </c>
      <c r="O265" s="102">
        <f t="shared" si="132"/>
        <v>0</v>
      </c>
      <c r="P265" s="102">
        <f t="shared" si="132"/>
        <v>0</v>
      </c>
      <c r="Q265" s="102">
        <f t="shared" si="132"/>
        <v>0</v>
      </c>
      <c r="R265" s="102">
        <f t="shared" si="132"/>
        <v>0</v>
      </c>
      <c r="S265" s="102">
        <f t="shared" si="132"/>
        <v>0</v>
      </c>
      <c r="T265" s="102">
        <f t="shared" si="132"/>
        <v>0</v>
      </c>
      <c r="U265" s="102">
        <f t="shared" si="132"/>
        <v>0</v>
      </c>
      <c r="V265" s="102">
        <f t="shared" si="132"/>
        <v>0</v>
      </c>
      <c r="W265" s="102">
        <f t="shared" si="132"/>
        <v>0</v>
      </c>
      <c r="X265" s="102">
        <f t="shared" si="132"/>
        <v>0</v>
      </c>
      <c r="Y265" s="102">
        <f t="shared" si="132"/>
        <v>0</v>
      </c>
      <c r="Z265" s="102">
        <f t="shared" si="132"/>
        <v>0</v>
      </c>
      <c r="AA265" s="112" t="e">
        <f t="shared" si="121"/>
        <v>#DIV/0!</v>
      </c>
      <c r="AB265" s="102">
        <f t="shared" si="102"/>
        <v>0</v>
      </c>
    </row>
    <row r="266" spans="1:28" s="9" customFormat="1" ht="141.75" hidden="1" customHeight="1" x14ac:dyDescent="0.25">
      <c r="A266" s="6"/>
      <c r="B266" s="7"/>
      <c r="C266" s="7"/>
      <c r="D266" s="53" t="s">
        <v>544</v>
      </c>
      <c r="E266" s="102">
        <f>E282</f>
        <v>0</v>
      </c>
      <c r="F266" s="102">
        <f t="shared" ref="F266:Z266" si="133">F282</f>
        <v>0</v>
      </c>
      <c r="G266" s="102">
        <f t="shared" si="133"/>
        <v>0</v>
      </c>
      <c r="H266" s="102">
        <f t="shared" si="133"/>
        <v>0</v>
      </c>
      <c r="I266" s="102">
        <f t="shared" si="133"/>
        <v>0</v>
      </c>
      <c r="J266" s="102">
        <f t="shared" si="133"/>
        <v>0</v>
      </c>
      <c r="K266" s="102">
        <f t="shared" si="133"/>
        <v>0</v>
      </c>
      <c r="L266" s="102">
        <f t="shared" si="133"/>
        <v>0</v>
      </c>
      <c r="M266" s="118" t="e">
        <f t="shared" si="101"/>
        <v>#DIV/0!</v>
      </c>
      <c r="N266" s="102">
        <f t="shared" si="133"/>
        <v>0</v>
      </c>
      <c r="O266" s="102">
        <f t="shared" si="133"/>
        <v>0</v>
      </c>
      <c r="P266" s="102">
        <f t="shared" si="133"/>
        <v>0</v>
      </c>
      <c r="Q266" s="102">
        <f t="shared" si="133"/>
        <v>0</v>
      </c>
      <c r="R266" s="102">
        <f t="shared" si="133"/>
        <v>0</v>
      </c>
      <c r="S266" s="102">
        <f t="shared" si="133"/>
        <v>0</v>
      </c>
      <c r="T266" s="102">
        <f t="shared" si="133"/>
        <v>0</v>
      </c>
      <c r="U266" s="102">
        <f t="shared" si="133"/>
        <v>0</v>
      </c>
      <c r="V266" s="102">
        <f t="shared" si="133"/>
        <v>0</v>
      </c>
      <c r="W266" s="102">
        <f t="shared" si="133"/>
        <v>0</v>
      </c>
      <c r="X266" s="102">
        <f t="shared" si="133"/>
        <v>0</v>
      </c>
      <c r="Y266" s="102">
        <f t="shared" si="133"/>
        <v>0</v>
      </c>
      <c r="Z266" s="102">
        <f t="shared" si="133"/>
        <v>0</v>
      </c>
      <c r="AA266" s="112" t="e">
        <f t="shared" si="121"/>
        <v>#DIV/0!</v>
      </c>
      <c r="AB266" s="102">
        <f t="shared" si="102"/>
        <v>0</v>
      </c>
    </row>
    <row r="267" spans="1:28" s="9" customFormat="1" ht="15.75" hidden="1" customHeight="1" x14ac:dyDescent="0.25">
      <c r="A267" s="6"/>
      <c r="B267" s="7"/>
      <c r="C267" s="7"/>
      <c r="D267" s="8" t="s">
        <v>387</v>
      </c>
      <c r="E267" s="102">
        <f t="shared" ref="E267" si="134">E295+E299</f>
        <v>0</v>
      </c>
      <c r="F267" s="102">
        <f t="shared" ref="F267:Z267" si="135">F295+F299</f>
        <v>0</v>
      </c>
      <c r="G267" s="102">
        <f t="shared" si="135"/>
        <v>0</v>
      </c>
      <c r="H267" s="102">
        <f t="shared" si="135"/>
        <v>0</v>
      </c>
      <c r="I267" s="102">
        <f t="shared" si="135"/>
        <v>0</v>
      </c>
      <c r="J267" s="102">
        <f t="shared" si="135"/>
        <v>0</v>
      </c>
      <c r="K267" s="102">
        <f t="shared" si="135"/>
        <v>0</v>
      </c>
      <c r="L267" s="102">
        <f t="shared" si="135"/>
        <v>0</v>
      </c>
      <c r="M267" s="118" t="e">
        <f t="shared" si="101"/>
        <v>#DIV/0!</v>
      </c>
      <c r="N267" s="102">
        <f t="shared" si="135"/>
        <v>0</v>
      </c>
      <c r="O267" s="102">
        <f t="shared" si="135"/>
        <v>0</v>
      </c>
      <c r="P267" s="102">
        <f t="shared" si="135"/>
        <v>0</v>
      </c>
      <c r="Q267" s="102">
        <f t="shared" si="135"/>
        <v>0</v>
      </c>
      <c r="R267" s="102">
        <f t="shared" si="135"/>
        <v>0</v>
      </c>
      <c r="S267" s="102">
        <f t="shared" si="135"/>
        <v>0</v>
      </c>
      <c r="T267" s="102">
        <f t="shared" si="135"/>
        <v>0</v>
      </c>
      <c r="U267" s="102">
        <f t="shared" si="135"/>
        <v>0</v>
      </c>
      <c r="V267" s="102">
        <f t="shared" si="135"/>
        <v>0</v>
      </c>
      <c r="W267" s="102">
        <f t="shared" si="135"/>
        <v>0</v>
      </c>
      <c r="X267" s="102">
        <f t="shared" si="135"/>
        <v>0</v>
      </c>
      <c r="Y267" s="102">
        <f t="shared" si="135"/>
        <v>0</v>
      </c>
      <c r="Z267" s="102">
        <f t="shared" si="135"/>
        <v>0</v>
      </c>
      <c r="AA267" s="112" t="e">
        <f t="shared" si="121"/>
        <v>#DIV/0!</v>
      </c>
      <c r="AB267" s="102">
        <f t="shared" si="102"/>
        <v>0</v>
      </c>
    </row>
    <row r="268" spans="1:28" s="9" customFormat="1" ht="15.75" hidden="1" customHeight="1" x14ac:dyDescent="0.25">
      <c r="A268" s="6"/>
      <c r="B268" s="7"/>
      <c r="C268" s="7"/>
      <c r="D268" s="8" t="s">
        <v>407</v>
      </c>
      <c r="E268" s="102">
        <f>E311</f>
        <v>0</v>
      </c>
      <c r="F268" s="102">
        <f t="shared" ref="F268:Z268" si="136">F311</f>
        <v>0</v>
      </c>
      <c r="G268" s="102">
        <f t="shared" si="136"/>
        <v>0</v>
      </c>
      <c r="H268" s="102">
        <f t="shared" si="136"/>
        <v>0</v>
      </c>
      <c r="I268" s="102">
        <f t="shared" si="136"/>
        <v>0</v>
      </c>
      <c r="J268" s="102">
        <f t="shared" si="136"/>
        <v>0</v>
      </c>
      <c r="K268" s="102">
        <f t="shared" si="136"/>
        <v>0</v>
      </c>
      <c r="L268" s="102">
        <f t="shared" si="136"/>
        <v>0</v>
      </c>
      <c r="M268" s="118" t="e">
        <f t="shared" si="101"/>
        <v>#DIV/0!</v>
      </c>
      <c r="N268" s="102">
        <f t="shared" si="136"/>
        <v>0</v>
      </c>
      <c r="O268" s="102">
        <f t="shared" si="136"/>
        <v>0</v>
      </c>
      <c r="P268" s="102">
        <f t="shared" si="136"/>
        <v>0</v>
      </c>
      <c r="Q268" s="102">
        <f t="shared" si="136"/>
        <v>0</v>
      </c>
      <c r="R268" s="102">
        <f t="shared" si="136"/>
        <v>0</v>
      </c>
      <c r="S268" s="102">
        <f t="shared" si="136"/>
        <v>0</v>
      </c>
      <c r="T268" s="102">
        <f t="shared" si="136"/>
        <v>0</v>
      </c>
      <c r="U268" s="102">
        <f t="shared" si="136"/>
        <v>0</v>
      </c>
      <c r="V268" s="102">
        <f t="shared" si="136"/>
        <v>0</v>
      </c>
      <c r="W268" s="102">
        <f t="shared" si="136"/>
        <v>0</v>
      </c>
      <c r="X268" s="102">
        <f t="shared" si="136"/>
        <v>0</v>
      </c>
      <c r="Y268" s="102">
        <f t="shared" si="136"/>
        <v>0</v>
      </c>
      <c r="Z268" s="102">
        <f t="shared" si="136"/>
        <v>0</v>
      </c>
      <c r="AA268" s="112" t="e">
        <f t="shared" si="121"/>
        <v>#DIV/0!</v>
      </c>
      <c r="AB268" s="102">
        <f t="shared" si="102"/>
        <v>0</v>
      </c>
    </row>
    <row r="269" spans="1:28" s="9" customFormat="1" ht="111.75" hidden="1" customHeight="1" x14ac:dyDescent="0.25">
      <c r="A269" s="6"/>
      <c r="B269" s="7"/>
      <c r="C269" s="7"/>
      <c r="D269" s="8" t="s">
        <v>644</v>
      </c>
      <c r="E269" s="102">
        <f>E287</f>
        <v>0</v>
      </c>
      <c r="F269" s="102">
        <f t="shared" ref="F269:Z269" si="137">F287</f>
        <v>0</v>
      </c>
      <c r="G269" s="102">
        <f t="shared" si="137"/>
        <v>0</v>
      </c>
      <c r="H269" s="102">
        <f t="shared" si="137"/>
        <v>0</v>
      </c>
      <c r="I269" s="102">
        <f t="shared" si="137"/>
        <v>0</v>
      </c>
      <c r="J269" s="102">
        <f t="shared" si="137"/>
        <v>0</v>
      </c>
      <c r="K269" s="102">
        <f t="shared" si="137"/>
        <v>0</v>
      </c>
      <c r="L269" s="102">
        <f t="shared" si="137"/>
        <v>0</v>
      </c>
      <c r="M269" s="118" t="e">
        <f t="shared" si="101"/>
        <v>#DIV/0!</v>
      </c>
      <c r="N269" s="102">
        <f t="shared" si="137"/>
        <v>0</v>
      </c>
      <c r="O269" s="102">
        <f t="shared" si="137"/>
        <v>0</v>
      </c>
      <c r="P269" s="102">
        <f t="shared" si="137"/>
        <v>0</v>
      </c>
      <c r="Q269" s="102">
        <f t="shared" si="137"/>
        <v>0</v>
      </c>
      <c r="R269" s="102">
        <f t="shared" si="137"/>
        <v>0</v>
      </c>
      <c r="S269" s="102">
        <f t="shared" si="137"/>
        <v>0</v>
      </c>
      <c r="T269" s="102">
        <f t="shared" si="137"/>
        <v>0</v>
      </c>
      <c r="U269" s="102">
        <f t="shared" si="137"/>
        <v>0</v>
      </c>
      <c r="V269" s="102">
        <f t="shared" si="137"/>
        <v>0</v>
      </c>
      <c r="W269" s="102">
        <f t="shared" si="137"/>
        <v>0</v>
      </c>
      <c r="X269" s="102">
        <f t="shared" si="137"/>
        <v>0</v>
      </c>
      <c r="Y269" s="102">
        <f t="shared" si="137"/>
        <v>0</v>
      </c>
      <c r="Z269" s="102">
        <f t="shared" si="137"/>
        <v>0</v>
      </c>
      <c r="AA269" s="112" t="e">
        <f t="shared" si="121"/>
        <v>#DIV/0!</v>
      </c>
      <c r="AB269" s="102">
        <f t="shared" si="102"/>
        <v>0</v>
      </c>
    </row>
    <row r="270" spans="1:28" s="9" customFormat="1" ht="63" hidden="1" customHeight="1" x14ac:dyDescent="0.25">
      <c r="A270" s="6"/>
      <c r="B270" s="7"/>
      <c r="C270" s="7"/>
      <c r="D270" s="8" t="str">
        <f>D303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270" s="102">
        <f>E302</f>
        <v>0</v>
      </c>
      <c r="F270" s="102">
        <f t="shared" ref="F270:Z270" si="138">F302</f>
        <v>0</v>
      </c>
      <c r="G270" s="102">
        <f t="shared" si="138"/>
        <v>0</v>
      </c>
      <c r="H270" s="102">
        <f t="shared" si="138"/>
        <v>0</v>
      </c>
      <c r="I270" s="102">
        <f t="shared" si="138"/>
        <v>0</v>
      </c>
      <c r="J270" s="102">
        <f t="shared" si="138"/>
        <v>0</v>
      </c>
      <c r="K270" s="102">
        <f t="shared" si="138"/>
        <v>0</v>
      </c>
      <c r="L270" s="102">
        <f t="shared" si="138"/>
        <v>0</v>
      </c>
      <c r="M270" s="118" t="e">
        <f t="shared" si="101"/>
        <v>#DIV/0!</v>
      </c>
      <c r="N270" s="102">
        <f t="shared" si="138"/>
        <v>0</v>
      </c>
      <c r="O270" s="102">
        <f t="shared" si="138"/>
        <v>0</v>
      </c>
      <c r="P270" s="102">
        <f t="shared" si="138"/>
        <v>0</v>
      </c>
      <c r="Q270" s="102">
        <f t="shared" si="138"/>
        <v>0</v>
      </c>
      <c r="R270" s="102">
        <f t="shared" si="138"/>
        <v>0</v>
      </c>
      <c r="S270" s="102">
        <f t="shared" si="138"/>
        <v>0</v>
      </c>
      <c r="T270" s="102">
        <f t="shared" si="138"/>
        <v>0</v>
      </c>
      <c r="U270" s="102">
        <f t="shared" si="138"/>
        <v>0</v>
      </c>
      <c r="V270" s="102">
        <f t="shared" si="138"/>
        <v>0</v>
      </c>
      <c r="W270" s="102">
        <f t="shared" si="138"/>
        <v>0</v>
      </c>
      <c r="X270" s="102">
        <f t="shared" si="138"/>
        <v>0</v>
      </c>
      <c r="Y270" s="102">
        <f t="shared" si="138"/>
        <v>0</v>
      </c>
      <c r="Z270" s="102">
        <f t="shared" si="138"/>
        <v>0</v>
      </c>
      <c r="AA270" s="112" t="e">
        <f t="shared" si="121"/>
        <v>#DIV/0!</v>
      </c>
      <c r="AB270" s="102">
        <f t="shared" si="102"/>
        <v>0</v>
      </c>
    </row>
    <row r="271" spans="1:28" s="9" customFormat="1" ht="118.5" customHeight="1" x14ac:dyDescent="0.25">
      <c r="A271" s="6"/>
      <c r="B271" s="7"/>
      <c r="C271" s="7"/>
      <c r="D271" s="8" t="s">
        <v>686</v>
      </c>
      <c r="E271" s="102">
        <f>E308</f>
        <v>0</v>
      </c>
      <c r="F271" s="102">
        <f t="shared" ref="F271:Z271" si="139">F308</f>
        <v>0</v>
      </c>
      <c r="G271" s="102">
        <f t="shared" si="139"/>
        <v>0</v>
      </c>
      <c r="H271" s="102">
        <f t="shared" si="139"/>
        <v>0</v>
      </c>
      <c r="I271" s="102">
        <f t="shared" si="139"/>
        <v>0</v>
      </c>
      <c r="J271" s="102">
        <f t="shared" si="139"/>
        <v>0</v>
      </c>
      <c r="K271" s="102">
        <f t="shared" si="139"/>
        <v>0</v>
      </c>
      <c r="L271" s="102">
        <f t="shared" si="139"/>
        <v>0</v>
      </c>
      <c r="M271" s="118"/>
      <c r="N271" s="102">
        <f t="shared" si="139"/>
        <v>15622974</v>
      </c>
      <c r="O271" s="102">
        <f t="shared" si="139"/>
        <v>0</v>
      </c>
      <c r="P271" s="102">
        <f t="shared" si="139"/>
        <v>0</v>
      </c>
      <c r="Q271" s="102">
        <f t="shared" si="139"/>
        <v>0</v>
      </c>
      <c r="R271" s="102">
        <f t="shared" si="139"/>
        <v>0</v>
      </c>
      <c r="S271" s="102">
        <f t="shared" si="139"/>
        <v>15622974</v>
      </c>
      <c r="T271" s="102">
        <f t="shared" si="139"/>
        <v>15622974</v>
      </c>
      <c r="U271" s="102">
        <f t="shared" si="139"/>
        <v>0</v>
      </c>
      <c r="V271" s="102">
        <f t="shared" si="139"/>
        <v>0</v>
      </c>
      <c r="W271" s="102">
        <f t="shared" si="139"/>
        <v>0</v>
      </c>
      <c r="X271" s="102">
        <f t="shared" si="139"/>
        <v>0</v>
      </c>
      <c r="Y271" s="102">
        <f t="shared" si="139"/>
        <v>0</v>
      </c>
      <c r="Z271" s="102">
        <f t="shared" si="139"/>
        <v>0</v>
      </c>
      <c r="AA271" s="112">
        <f t="shared" si="121"/>
        <v>0</v>
      </c>
      <c r="AB271" s="102">
        <f t="shared" si="102"/>
        <v>0</v>
      </c>
    </row>
    <row r="272" spans="1:28" s="75" customFormat="1" ht="47.25" x14ac:dyDescent="0.25">
      <c r="A272" s="1" t="s">
        <v>193</v>
      </c>
      <c r="B272" s="1" t="str">
        <f>'дод 5'!A18</f>
        <v>0160</v>
      </c>
      <c r="C272" s="1" t="str">
        <f>'дод 5'!B18</f>
        <v>0111</v>
      </c>
      <c r="D272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72" s="101">
        <f t="shared" ref="E272:E323" si="140">F272+I272</f>
        <v>19573300</v>
      </c>
      <c r="F272" s="101">
        <f>18028900+1494400+50000</f>
        <v>19573300</v>
      </c>
      <c r="G272" s="101">
        <f>13887400+1225900</f>
        <v>15113300</v>
      </c>
      <c r="H272" s="101">
        <v>453500</v>
      </c>
      <c r="I272" s="101"/>
      <c r="J272" s="101">
        <v>8797400.5399999991</v>
      </c>
      <c r="K272" s="101">
        <v>6906384.1600000001</v>
      </c>
      <c r="L272" s="101">
        <v>189791.6</v>
      </c>
      <c r="M272" s="112">
        <f t="shared" si="101"/>
        <v>44.945923988290168</v>
      </c>
      <c r="N272" s="101">
        <f>P272+S272</f>
        <v>0</v>
      </c>
      <c r="O272" s="101"/>
      <c r="P272" s="101"/>
      <c r="Q272" s="101"/>
      <c r="R272" s="101"/>
      <c r="S272" s="101"/>
      <c r="T272" s="101">
        <f t="shared" ref="T272:T324" si="141">E272+N272</f>
        <v>19573300</v>
      </c>
      <c r="U272" s="104">
        <f>W272+Z272</f>
        <v>0</v>
      </c>
      <c r="V272" s="104"/>
      <c r="W272" s="104"/>
      <c r="X272" s="104"/>
      <c r="Y272" s="104"/>
      <c r="Z272" s="104"/>
      <c r="AA272" s="112"/>
      <c r="AB272" s="101">
        <f t="shared" si="102"/>
        <v>8797400.5399999991</v>
      </c>
    </row>
    <row r="273" spans="1:28" s="75" customFormat="1" ht="23.25" hidden="1" customHeight="1" x14ac:dyDescent="0.25">
      <c r="A273" s="1" t="s">
        <v>503</v>
      </c>
      <c r="B273" s="1" t="s">
        <v>44</v>
      </c>
      <c r="C273" s="1" t="s">
        <v>92</v>
      </c>
      <c r="D273" s="42" t="s">
        <v>239</v>
      </c>
      <c r="E273" s="101">
        <f t="shared" si="140"/>
        <v>0</v>
      </c>
      <c r="F273" s="101"/>
      <c r="G273" s="101"/>
      <c r="H273" s="101"/>
      <c r="I273" s="101"/>
      <c r="J273" s="101"/>
      <c r="K273" s="101"/>
      <c r="L273" s="101"/>
      <c r="M273" s="112" t="e">
        <f t="shared" ref="M273:M334" si="142">J273/E273*100</f>
        <v>#DIV/0!</v>
      </c>
      <c r="N273" s="101">
        <f>P273+S273</f>
        <v>0</v>
      </c>
      <c r="O273" s="101"/>
      <c r="P273" s="101"/>
      <c r="Q273" s="101"/>
      <c r="R273" s="101"/>
      <c r="S273" s="101"/>
      <c r="T273" s="101">
        <f t="shared" si="141"/>
        <v>0</v>
      </c>
      <c r="U273" s="104">
        <f t="shared" ref="U273:U323" si="143">W273+Z273</f>
        <v>0</v>
      </c>
      <c r="V273" s="104"/>
      <c r="W273" s="104"/>
      <c r="X273" s="104"/>
      <c r="Y273" s="104"/>
      <c r="Z273" s="104"/>
      <c r="AA273" s="112"/>
      <c r="AB273" s="101">
        <f t="shared" ref="AB273:AB336" si="144">U273+J273</f>
        <v>0</v>
      </c>
    </row>
    <row r="274" spans="1:28" s="75" customFormat="1" ht="19.5" customHeight="1" x14ac:dyDescent="0.25">
      <c r="A274" s="1" t="s">
        <v>296</v>
      </c>
      <c r="B274" s="3" t="str">
        <f>'дод 5'!A151</f>
        <v>3210</v>
      </c>
      <c r="C274" s="3" t="str">
        <f>'дод 5'!B151</f>
        <v>1050</v>
      </c>
      <c r="D274" s="38" t="str">
        <f>'дод 5'!C151</f>
        <v>Організація та проведення громадських робіт</v>
      </c>
      <c r="E274" s="101">
        <f t="shared" si="140"/>
        <v>50000</v>
      </c>
      <c r="F274" s="101">
        <f>100000-50000</f>
        <v>50000</v>
      </c>
      <c r="G274" s="101"/>
      <c r="H274" s="101"/>
      <c r="I274" s="101"/>
      <c r="J274" s="101"/>
      <c r="K274" s="101"/>
      <c r="L274" s="101"/>
      <c r="M274" s="112">
        <f t="shared" si="142"/>
        <v>0</v>
      </c>
      <c r="N274" s="101">
        <f t="shared" ref="N274:N324" si="145">P274+S274</f>
        <v>0</v>
      </c>
      <c r="O274" s="101"/>
      <c r="P274" s="101"/>
      <c r="Q274" s="101"/>
      <c r="R274" s="101"/>
      <c r="S274" s="101"/>
      <c r="T274" s="101">
        <f t="shared" si="141"/>
        <v>50000</v>
      </c>
      <c r="U274" s="104">
        <f t="shared" si="143"/>
        <v>0</v>
      </c>
      <c r="V274" s="104"/>
      <c r="W274" s="104"/>
      <c r="X274" s="104"/>
      <c r="Y274" s="104"/>
      <c r="Z274" s="104"/>
      <c r="AA274" s="112"/>
      <c r="AB274" s="101">
        <f t="shared" si="144"/>
        <v>0</v>
      </c>
    </row>
    <row r="275" spans="1:28" s="75" customFormat="1" ht="33.75" hidden="1" customHeight="1" x14ac:dyDescent="0.25">
      <c r="A275" s="1" t="s">
        <v>194</v>
      </c>
      <c r="B275" s="3" t="str">
        <f>'дод 5'!A178</f>
        <v>6011</v>
      </c>
      <c r="C275" s="3" t="str">
        <f>'дод 5'!B178</f>
        <v>0610</v>
      </c>
      <c r="D275" s="38" t="str">
        <f>'дод 5'!C178</f>
        <v>Експлуатація та технічне обслуговування житлового фонду</v>
      </c>
      <c r="E275" s="101">
        <f t="shared" si="140"/>
        <v>0</v>
      </c>
      <c r="F275" s="101"/>
      <c r="G275" s="101"/>
      <c r="H275" s="101"/>
      <c r="I275" s="101"/>
      <c r="J275" s="101"/>
      <c r="K275" s="101"/>
      <c r="L275" s="101"/>
      <c r="M275" s="112" t="e">
        <f t="shared" si="142"/>
        <v>#DIV/0!</v>
      </c>
      <c r="N275" s="101">
        <f t="shared" si="145"/>
        <v>0</v>
      </c>
      <c r="O275" s="101"/>
      <c r="P275" s="101"/>
      <c r="Q275" s="101"/>
      <c r="R275" s="101"/>
      <c r="S275" s="101"/>
      <c r="T275" s="101">
        <f t="shared" si="141"/>
        <v>0</v>
      </c>
      <c r="U275" s="104">
        <f t="shared" si="143"/>
        <v>0</v>
      </c>
      <c r="V275" s="104"/>
      <c r="W275" s="104"/>
      <c r="X275" s="104"/>
      <c r="Y275" s="104"/>
      <c r="Z275" s="104"/>
      <c r="AA275" s="112"/>
      <c r="AB275" s="101">
        <f t="shared" si="144"/>
        <v>0</v>
      </c>
    </row>
    <row r="276" spans="1:28" s="75" customFormat="1" ht="31.5" x14ac:dyDescent="0.25">
      <c r="A276" s="1" t="s">
        <v>195</v>
      </c>
      <c r="B276" s="3" t="str">
        <f>'дод 5'!A179</f>
        <v>6013</v>
      </c>
      <c r="C276" s="3" t="str">
        <f>'дод 5'!B179</f>
        <v>0620</v>
      </c>
      <c r="D276" s="38" t="str">
        <f>'дод 5'!C179</f>
        <v>Забезпечення діяльності водопровідно-каналізаційного господарства</v>
      </c>
      <c r="E276" s="101">
        <f t="shared" si="140"/>
        <v>66188800</v>
      </c>
      <c r="F276" s="101">
        <f>685000+320000-50000</f>
        <v>955000</v>
      </c>
      <c r="G276" s="101"/>
      <c r="H276" s="101"/>
      <c r="I276" s="101">
        <f>30000000+10000000+25000000+233800</f>
        <v>65233800</v>
      </c>
      <c r="J276" s="101">
        <v>53613402.899999999</v>
      </c>
      <c r="K276" s="101"/>
      <c r="L276" s="101"/>
      <c r="M276" s="112">
        <f t="shared" si="142"/>
        <v>81.00071749298975</v>
      </c>
      <c r="N276" s="101">
        <f t="shared" si="145"/>
        <v>0</v>
      </c>
      <c r="O276" s="101"/>
      <c r="P276" s="101"/>
      <c r="Q276" s="101"/>
      <c r="R276" s="101"/>
      <c r="S276" s="101"/>
      <c r="T276" s="101">
        <f t="shared" si="141"/>
        <v>66188800</v>
      </c>
      <c r="U276" s="104">
        <f t="shared" si="143"/>
        <v>0</v>
      </c>
      <c r="V276" s="104"/>
      <c r="W276" s="104"/>
      <c r="X276" s="104"/>
      <c r="Y276" s="104"/>
      <c r="Z276" s="104"/>
      <c r="AA276" s="112"/>
      <c r="AB276" s="101">
        <f t="shared" si="144"/>
        <v>53613402.899999999</v>
      </c>
    </row>
    <row r="277" spans="1:28" s="75" customFormat="1" ht="22.5" hidden="1" customHeight="1" x14ac:dyDescent="0.25">
      <c r="A277" s="1" t="s">
        <v>587</v>
      </c>
      <c r="B277" s="3">
        <f>'дод 5'!A180</f>
        <v>6014</v>
      </c>
      <c r="C277" s="3" t="str">
        <f>'дод 5'!B180</f>
        <v>0620</v>
      </c>
      <c r="D277" s="58" t="str">
        <f>'дод 5'!C180</f>
        <v>Забезпечення збору та вивезення сміття і відходів</v>
      </c>
      <c r="E277" s="101">
        <f t="shared" ref="E277" si="146">F277+I277</f>
        <v>0</v>
      </c>
      <c r="F277" s="101"/>
      <c r="G277" s="101"/>
      <c r="H277" s="101"/>
      <c r="I277" s="101"/>
      <c r="J277" s="101"/>
      <c r="K277" s="101"/>
      <c r="L277" s="101"/>
      <c r="M277" s="112" t="e">
        <f t="shared" si="142"/>
        <v>#DIV/0!</v>
      </c>
      <c r="N277" s="101">
        <f t="shared" si="145"/>
        <v>0</v>
      </c>
      <c r="O277" s="101"/>
      <c r="P277" s="101"/>
      <c r="Q277" s="101"/>
      <c r="R277" s="101"/>
      <c r="S277" s="101"/>
      <c r="T277" s="101">
        <f t="shared" ref="T277" si="147">E277+N277</f>
        <v>0</v>
      </c>
      <c r="U277" s="104">
        <f t="shared" si="143"/>
        <v>0</v>
      </c>
      <c r="V277" s="104"/>
      <c r="W277" s="104"/>
      <c r="X277" s="104"/>
      <c r="Y277" s="104"/>
      <c r="Z277" s="104"/>
      <c r="AA277" s="112"/>
      <c r="AB277" s="101">
        <f t="shared" si="144"/>
        <v>0</v>
      </c>
    </row>
    <row r="278" spans="1:28" s="75" customFormat="1" ht="33" hidden="1" customHeight="1" x14ac:dyDescent="0.25">
      <c r="A278" s="1" t="s">
        <v>256</v>
      </c>
      <c r="B278" s="3" t="str">
        <f>'дод 5'!A181</f>
        <v>6015</v>
      </c>
      <c r="C278" s="3" t="str">
        <f>'дод 5'!B181</f>
        <v>0620</v>
      </c>
      <c r="D278" s="38" t="str">
        <f>'дод 5'!C181</f>
        <v>Забезпечення надійної та безперебійної експлуатації ліфтів</v>
      </c>
      <c r="E278" s="101">
        <f t="shared" si="140"/>
        <v>0</v>
      </c>
      <c r="F278" s="101"/>
      <c r="G278" s="101"/>
      <c r="H278" s="101"/>
      <c r="I278" s="101"/>
      <c r="J278" s="101"/>
      <c r="K278" s="101"/>
      <c r="L278" s="101"/>
      <c r="M278" s="112" t="e">
        <f t="shared" si="142"/>
        <v>#DIV/0!</v>
      </c>
      <c r="N278" s="101">
        <f t="shared" si="145"/>
        <v>0</v>
      </c>
      <c r="O278" s="101"/>
      <c r="P278" s="101"/>
      <c r="Q278" s="101"/>
      <c r="R278" s="101"/>
      <c r="S278" s="108"/>
      <c r="T278" s="101">
        <f t="shared" si="141"/>
        <v>0</v>
      </c>
      <c r="U278" s="104">
        <f t="shared" si="143"/>
        <v>0</v>
      </c>
      <c r="V278" s="104"/>
      <c r="W278" s="104"/>
      <c r="X278" s="104"/>
      <c r="Y278" s="104"/>
      <c r="Z278" s="104"/>
      <c r="AA278" s="112"/>
      <c r="AB278" s="101">
        <f t="shared" si="144"/>
        <v>0</v>
      </c>
    </row>
    <row r="279" spans="1:28" s="75" customFormat="1" ht="32.25" customHeight="1" x14ac:dyDescent="0.25">
      <c r="A279" s="1" t="s">
        <v>259</v>
      </c>
      <c r="B279" s="3" t="str">
        <f>'дод 5'!A182</f>
        <v>6017</v>
      </c>
      <c r="C279" s="3" t="str">
        <f>'дод 5'!B182</f>
        <v>0620</v>
      </c>
      <c r="D279" s="38" t="str">
        <f>'дод 5'!C182</f>
        <v>Інша діяльність, пов’язана з експлуатацією об’єктів житлово-комунального господарства</v>
      </c>
      <c r="E279" s="101">
        <f t="shared" si="140"/>
        <v>400000</v>
      </c>
      <c r="F279" s="101">
        <v>400000</v>
      </c>
      <c r="G279" s="101"/>
      <c r="H279" s="101"/>
      <c r="I279" s="101"/>
      <c r="J279" s="101">
        <v>99933.96</v>
      </c>
      <c r="K279" s="101"/>
      <c r="L279" s="101"/>
      <c r="M279" s="112">
        <f t="shared" si="142"/>
        <v>24.983490000000003</v>
      </c>
      <c r="N279" s="101">
        <f t="shared" si="145"/>
        <v>0</v>
      </c>
      <c r="O279" s="101"/>
      <c r="P279" s="101"/>
      <c r="Q279" s="101"/>
      <c r="R279" s="101"/>
      <c r="S279" s="101"/>
      <c r="T279" s="101">
        <f t="shared" si="141"/>
        <v>400000</v>
      </c>
      <c r="U279" s="104">
        <f t="shared" si="143"/>
        <v>0</v>
      </c>
      <c r="V279" s="104"/>
      <c r="W279" s="104"/>
      <c r="X279" s="104"/>
      <c r="Y279" s="104"/>
      <c r="Z279" s="104"/>
      <c r="AA279" s="112"/>
      <c r="AB279" s="101">
        <f t="shared" si="144"/>
        <v>99933.96</v>
      </c>
    </row>
    <row r="280" spans="1:28" s="75" customFormat="1" ht="63.75" customHeight="1" x14ac:dyDescent="0.25">
      <c r="A280" s="1" t="s">
        <v>196</v>
      </c>
      <c r="B280" s="3" t="str">
        <f>'дод 5'!A183</f>
        <v>6020</v>
      </c>
      <c r="C280" s="3" t="str">
        <f>'дод 5'!B183</f>
        <v>0620</v>
      </c>
      <c r="D280" s="38" t="str">
        <f>'дод 5'!C183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280" s="101">
        <f t="shared" si="140"/>
        <v>9221704.620000001</v>
      </c>
      <c r="F280" s="104"/>
      <c r="G280" s="101"/>
      <c r="H280" s="101"/>
      <c r="I280" s="101">
        <f>400000+200000+3400000+355000+3500000+1366704.62</f>
        <v>9221704.620000001</v>
      </c>
      <c r="J280" s="101">
        <v>384301.06</v>
      </c>
      <c r="K280" s="101"/>
      <c r="L280" s="101"/>
      <c r="M280" s="112">
        <f t="shared" si="142"/>
        <v>4.1673538227035509</v>
      </c>
      <c r="N280" s="101">
        <f t="shared" si="145"/>
        <v>4295760</v>
      </c>
      <c r="O280" s="101">
        <v>4295760</v>
      </c>
      <c r="P280" s="101"/>
      <c r="Q280" s="101"/>
      <c r="R280" s="101"/>
      <c r="S280" s="101">
        <v>4295760</v>
      </c>
      <c r="T280" s="101">
        <f t="shared" si="141"/>
        <v>13517464.620000001</v>
      </c>
      <c r="U280" s="104">
        <f t="shared" si="143"/>
        <v>0</v>
      </c>
      <c r="V280" s="104"/>
      <c r="W280" s="104"/>
      <c r="X280" s="104"/>
      <c r="Y280" s="104"/>
      <c r="Z280" s="104"/>
      <c r="AA280" s="112">
        <f t="shared" ref="AA280:AA336" si="148">U280/N280*100</f>
        <v>0</v>
      </c>
      <c r="AB280" s="101">
        <f t="shared" si="144"/>
        <v>384301.06</v>
      </c>
    </row>
    <row r="281" spans="1:28" s="75" customFormat="1" ht="24.75" customHeight="1" x14ac:dyDescent="0.25">
      <c r="A281" s="1" t="s">
        <v>197</v>
      </c>
      <c r="B281" s="3" t="str">
        <f>'дод 5'!A184</f>
        <v>6030</v>
      </c>
      <c r="C281" s="3" t="str">
        <f>'дод 5'!B184</f>
        <v>0620</v>
      </c>
      <c r="D281" s="38" t="str">
        <f>'дод 5'!C184</f>
        <v>Організація благоустрою населених пунктів</v>
      </c>
      <c r="E281" s="101">
        <f t="shared" si="140"/>
        <v>248225000</v>
      </c>
      <c r="F281" s="101">
        <f>261435000-500000-1000000+3100000-20000000-14715000+5000000-200000-870000+10000000-95000+5000000</f>
        <v>247155000</v>
      </c>
      <c r="G281" s="101"/>
      <c r="H281" s="101">
        <f>43000000+380000</f>
        <v>43380000</v>
      </c>
      <c r="I281" s="101">
        <f>200000+870000</f>
        <v>1070000</v>
      </c>
      <c r="J281" s="101">
        <v>102389372.09</v>
      </c>
      <c r="K281" s="101"/>
      <c r="L281" s="101">
        <v>12405125.25</v>
      </c>
      <c r="M281" s="112">
        <f t="shared" si="142"/>
        <v>41.248613995367108</v>
      </c>
      <c r="N281" s="101">
        <f t="shared" si="145"/>
        <v>212000</v>
      </c>
      <c r="O281" s="101">
        <f>200000+12000</f>
        <v>212000</v>
      </c>
      <c r="P281" s="101"/>
      <c r="Q281" s="101"/>
      <c r="R281" s="101"/>
      <c r="S281" s="101">
        <f>200000+12000</f>
        <v>212000</v>
      </c>
      <c r="T281" s="101">
        <f t="shared" si="141"/>
        <v>248437000</v>
      </c>
      <c r="U281" s="104">
        <f t="shared" si="143"/>
        <v>0</v>
      </c>
      <c r="V281" s="104"/>
      <c r="W281" s="104"/>
      <c r="X281" s="104"/>
      <c r="Y281" s="104"/>
      <c r="Z281" s="104"/>
      <c r="AA281" s="112">
        <f t="shared" si="148"/>
        <v>0</v>
      </c>
      <c r="AB281" s="101">
        <f t="shared" si="144"/>
        <v>102389372.09</v>
      </c>
    </row>
    <row r="282" spans="1:28" s="75" customFormat="1" ht="99.75" hidden="1" customHeight="1" x14ac:dyDescent="0.25">
      <c r="A282" s="1" t="s">
        <v>541</v>
      </c>
      <c r="B282" s="3">
        <v>6083</v>
      </c>
      <c r="C282" s="1" t="s">
        <v>67</v>
      </c>
      <c r="D282" s="42" t="s">
        <v>422</v>
      </c>
      <c r="E282" s="101">
        <f t="shared" si="140"/>
        <v>0</v>
      </c>
      <c r="F282" s="101"/>
      <c r="G282" s="101"/>
      <c r="H282" s="101"/>
      <c r="I282" s="101"/>
      <c r="J282" s="101"/>
      <c r="K282" s="101"/>
      <c r="L282" s="101"/>
      <c r="M282" s="112" t="e">
        <f t="shared" si="142"/>
        <v>#DIV/0!</v>
      </c>
      <c r="N282" s="101">
        <f t="shared" si="145"/>
        <v>0</v>
      </c>
      <c r="O282" s="101"/>
      <c r="P282" s="101"/>
      <c r="Q282" s="101"/>
      <c r="R282" s="101"/>
      <c r="S282" s="101"/>
      <c r="T282" s="101">
        <f t="shared" si="141"/>
        <v>0</v>
      </c>
      <c r="U282" s="104">
        <f t="shared" si="143"/>
        <v>0</v>
      </c>
      <c r="V282" s="104"/>
      <c r="W282" s="104"/>
      <c r="X282" s="104"/>
      <c r="Y282" s="104"/>
      <c r="Z282" s="104"/>
      <c r="AA282" s="112" t="e">
        <f t="shared" si="148"/>
        <v>#DIV/0!</v>
      </c>
      <c r="AB282" s="101">
        <f t="shared" si="144"/>
        <v>0</v>
      </c>
    </row>
    <row r="283" spans="1:28" s="75" customFormat="1" ht="141.75" hidden="1" customHeight="1" x14ac:dyDescent="0.25">
      <c r="A283" s="41"/>
      <c r="B283" s="28"/>
      <c r="C283" s="41"/>
      <c r="D283" s="54" t="s">
        <v>544</v>
      </c>
      <c r="E283" s="101">
        <f t="shared" si="140"/>
        <v>0</v>
      </c>
      <c r="F283" s="105"/>
      <c r="G283" s="105"/>
      <c r="H283" s="105"/>
      <c r="I283" s="105"/>
      <c r="J283" s="105"/>
      <c r="K283" s="105"/>
      <c r="L283" s="105"/>
      <c r="M283" s="112" t="e">
        <f t="shared" si="142"/>
        <v>#DIV/0!</v>
      </c>
      <c r="N283" s="101">
        <f t="shared" si="145"/>
        <v>0</v>
      </c>
      <c r="O283" s="105"/>
      <c r="P283" s="105"/>
      <c r="Q283" s="105"/>
      <c r="R283" s="105"/>
      <c r="S283" s="105"/>
      <c r="T283" s="101">
        <f t="shared" si="141"/>
        <v>0</v>
      </c>
      <c r="U283" s="104">
        <f t="shared" si="143"/>
        <v>0</v>
      </c>
      <c r="V283" s="104"/>
      <c r="W283" s="104"/>
      <c r="X283" s="104"/>
      <c r="Y283" s="104"/>
      <c r="Z283" s="104"/>
      <c r="AA283" s="112" t="e">
        <f t="shared" si="148"/>
        <v>#DIV/0!</v>
      </c>
      <c r="AB283" s="101">
        <f t="shared" si="144"/>
        <v>0</v>
      </c>
    </row>
    <row r="284" spans="1:28" s="75" customFormat="1" ht="94.5" hidden="1" customHeight="1" x14ac:dyDescent="0.25">
      <c r="A284" s="1" t="s">
        <v>551</v>
      </c>
      <c r="B284" s="3">
        <v>6071</v>
      </c>
      <c r="C284" s="1" t="s">
        <v>306</v>
      </c>
      <c r="D284" s="38" t="str">
        <f>'дод 5'!C185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284" s="101">
        <f t="shared" si="140"/>
        <v>0</v>
      </c>
      <c r="F284" s="104"/>
      <c r="G284" s="101"/>
      <c r="H284" s="101"/>
      <c r="I284" s="101"/>
      <c r="J284" s="101"/>
      <c r="K284" s="101"/>
      <c r="L284" s="101"/>
      <c r="M284" s="112" t="e">
        <f t="shared" si="142"/>
        <v>#DIV/0!</v>
      </c>
      <c r="N284" s="101">
        <f t="shared" si="145"/>
        <v>0</v>
      </c>
      <c r="O284" s="101"/>
      <c r="P284" s="101"/>
      <c r="Q284" s="101"/>
      <c r="R284" s="101"/>
      <c r="S284" s="101"/>
      <c r="T284" s="101">
        <f t="shared" si="141"/>
        <v>0</v>
      </c>
      <c r="U284" s="104">
        <f t="shared" si="143"/>
        <v>0</v>
      </c>
      <c r="V284" s="104"/>
      <c r="W284" s="104"/>
      <c r="X284" s="104"/>
      <c r="Y284" s="104"/>
      <c r="Z284" s="104"/>
      <c r="AA284" s="112" t="e">
        <f t="shared" si="148"/>
        <v>#DIV/0!</v>
      </c>
      <c r="AB284" s="101">
        <f t="shared" si="144"/>
        <v>0</v>
      </c>
    </row>
    <row r="285" spans="1:28" s="75" customFormat="1" ht="30" customHeight="1" x14ac:dyDescent="0.25">
      <c r="A285" s="1" t="s">
        <v>249</v>
      </c>
      <c r="B285" s="3" t="str">
        <f>'дод 5'!A189</f>
        <v>6090</v>
      </c>
      <c r="C285" s="3" t="str">
        <f>'дод 5'!B189</f>
        <v>0640</v>
      </c>
      <c r="D285" s="38" t="str">
        <f>'дод 5'!C189</f>
        <v>Інша діяльність у сфері житлово-комунального господарства</v>
      </c>
      <c r="E285" s="101">
        <f t="shared" si="140"/>
        <v>8306415.3799999999</v>
      </c>
      <c r="F285" s="101">
        <f>8549120-200000-920000-49000+1000000+300000-12000+35000+50000-1366704.62</f>
        <v>7386415.3799999999</v>
      </c>
      <c r="G285" s="101"/>
      <c r="H285" s="101">
        <v>5000</v>
      </c>
      <c r="I285" s="101">
        <v>920000</v>
      </c>
      <c r="J285" s="101">
        <v>987830.64</v>
      </c>
      <c r="K285" s="101"/>
      <c r="L285" s="101">
        <v>210.38</v>
      </c>
      <c r="M285" s="112">
        <f t="shared" si="142"/>
        <v>11.892381909752267</v>
      </c>
      <c r="N285" s="101">
        <f t="shared" ref="N285" si="149">P285+S285</f>
        <v>0</v>
      </c>
      <c r="O285" s="101"/>
      <c r="P285" s="101"/>
      <c r="Q285" s="101"/>
      <c r="R285" s="101"/>
      <c r="S285" s="101"/>
      <c r="T285" s="101">
        <f t="shared" si="141"/>
        <v>8306415.3799999999</v>
      </c>
      <c r="U285" s="104">
        <f t="shared" si="143"/>
        <v>116516.28</v>
      </c>
      <c r="V285" s="104"/>
      <c r="W285" s="104">
        <v>6553.78</v>
      </c>
      <c r="X285" s="104"/>
      <c r="Y285" s="104"/>
      <c r="Z285" s="104">
        <v>109962.5</v>
      </c>
      <c r="AA285" s="112"/>
      <c r="AB285" s="101">
        <f t="shared" si="144"/>
        <v>1104346.92</v>
      </c>
    </row>
    <row r="286" spans="1:28" s="75" customFormat="1" ht="31.5" x14ac:dyDescent="0.25">
      <c r="A286" s="1" t="s">
        <v>268</v>
      </c>
      <c r="B286" s="3" t="str">
        <f>'дод 5'!A206</f>
        <v>7310</v>
      </c>
      <c r="C286" s="3" t="str">
        <f>'дод 5'!B206</f>
        <v>0443</v>
      </c>
      <c r="D286" s="4" t="str">
        <f>'дод 5'!C206</f>
        <v>Будівництво1 об'єктів житлово-комунального господарства</v>
      </c>
      <c r="E286" s="101">
        <f t="shared" si="140"/>
        <v>0</v>
      </c>
      <c r="F286" s="101"/>
      <c r="G286" s="101"/>
      <c r="H286" s="101"/>
      <c r="I286" s="101"/>
      <c r="J286" s="101"/>
      <c r="K286" s="101"/>
      <c r="L286" s="101"/>
      <c r="M286" s="112"/>
      <c r="N286" s="101">
        <f t="shared" si="145"/>
        <v>25251100</v>
      </c>
      <c r="O286" s="101">
        <f>21637100-70000-10000000+49000+670000-518050+518050+10000000+3000000-35000</f>
        <v>25251100</v>
      </c>
      <c r="P286" s="101"/>
      <c r="Q286" s="101"/>
      <c r="R286" s="101"/>
      <c r="S286" s="101">
        <f>21637100-70000-10000000+49000+670000-518050+518050+10000000+3000000-35000</f>
        <v>25251100</v>
      </c>
      <c r="T286" s="101">
        <f t="shared" si="141"/>
        <v>25251100</v>
      </c>
      <c r="U286" s="104">
        <f t="shared" si="143"/>
        <v>1956973.39</v>
      </c>
      <c r="V286" s="104">
        <v>1956973.39</v>
      </c>
      <c r="W286" s="104"/>
      <c r="X286" s="104"/>
      <c r="Y286" s="104"/>
      <c r="Z286" s="104">
        <v>1956973.39</v>
      </c>
      <c r="AA286" s="112">
        <f t="shared" si="148"/>
        <v>7.750052037336987</v>
      </c>
      <c r="AB286" s="101">
        <f t="shared" si="144"/>
        <v>1956973.39</v>
      </c>
    </row>
    <row r="287" spans="1:28" s="5" customFormat="1" ht="110.25" hidden="1" x14ac:dyDescent="0.25">
      <c r="A287" s="41"/>
      <c r="B287" s="28"/>
      <c r="C287" s="28"/>
      <c r="D287" s="48" t="s">
        <v>644</v>
      </c>
      <c r="E287" s="105">
        <f t="shared" si="140"/>
        <v>0</v>
      </c>
      <c r="F287" s="105"/>
      <c r="G287" s="105"/>
      <c r="H287" s="105"/>
      <c r="I287" s="105"/>
      <c r="J287" s="105"/>
      <c r="K287" s="105"/>
      <c r="L287" s="105"/>
      <c r="M287" s="112"/>
      <c r="N287" s="105">
        <f t="shared" si="145"/>
        <v>0</v>
      </c>
      <c r="O287" s="105"/>
      <c r="P287" s="105"/>
      <c r="Q287" s="105"/>
      <c r="R287" s="105"/>
      <c r="S287" s="105"/>
      <c r="T287" s="105">
        <f t="shared" si="141"/>
        <v>0</v>
      </c>
      <c r="U287" s="104">
        <f t="shared" si="143"/>
        <v>0</v>
      </c>
      <c r="V287" s="106"/>
      <c r="W287" s="106"/>
      <c r="X287" s="106"/>
      <c r="Y287" s="106"/>
      <c r="Z287" s="106"/>
      <c r="AA287" s="112" t="e">
        <f t="shared" si="148"/>
        <v>#DIV/0!</v>
      </c>
      <c r="AB287" s="101">
        <f t="shared" si="144"/>
        <v>0</v>
      </c>
    </row>
    <row r="288" spans="1:28" s="75" customFormat="1" ht="30.75" customHeight="1" x14ac:dyDescent="0.25">
      <c r="A288" s="1" t="s">
        <v>270</v>
      </c>
      <c r="B288" s="3" t="str">
        <f>'дод 5'!A214</f>
        <v>7330</v>
      </c>
      <c r="C288" s="3" t="str">
        <f>'дод 5'!B214</f>
        <v>0443</v>
      </c>
      <c r="D288" s="4" t="str">
        <f>'дод 5'!C214</f>
        <v>Будівництво1 інших об'єктів комунальної власності</v>
      </c>
      <c r="E288" s="101">
        <f t="shared" si="140"/>
        <v>0</v>
      </c>
      <c r="F288" s="101"/>
      <c r="G288" s="101"/>
      <c r="H288" s="101"/>
      <c r="I288" s="101"/>
      <c r="J288" s="101"/>
      <c r="K288" s="101"/>
      <c r="L288" s="101"/>
      <c r="M288" s="112"/>
      <c r="N288" s="101">
        <f>P288+S288</f>
        <v>18200000</v>
      </c>
      <c r="O288" s="101">
        <f>10000000+1400000+4500000+300000+2000000</f>
        <v>18200000</v>
      </c>
      <c r="P288" s="101"/>
      <c r="Q288" s="101"/>
      <c r="R288" s="101"/>
      <c r="S288" s="101">
        <f>10000000+1400000+4500000+300000+2000000</f>
        <v>18200000</v>
      </c>
      <c r="T288" s="101">
        <f t="shared" si="141"/>
        <v>18200000</v>
      </c>
      <c r="U288" s="104">
        <f t="shared" si="143"/>
        <v>187469.35</v>
      </c>
      <c r="V288" s="104">
        <v>187469.35</v>
      </c>
      <c r="W288" s="104"/>
      <c r="X288" s="104"/>
      <c r="Y288" s="104"/>
      <c r="Z288" s="104">
        <v>187469.35</v>
      </c>
      <c r="AA288" s="112">
        <f t="shared" si="148"/>
        <v>1.0300513736263737</v>
      </c>
      <c r="AB288" s="101">
        <f t="shared" si="144"/>
        <v>187469.35</v>
      </c>
    </row>
    <row r="289" spans="1:28" s="75" customFormat="1" ht="33" customHeight="1" x14ac:dyDescent="0.25">
      <c r="A289" s="1" t="s">
        <v>198</v>
      </c>
      <c r="B289" s="3">
        <v>7340</v>
      </c>
      <c r="C289" s="3" t="str">
        <f>'дод 5'!B213</f>
        <v>0443</v>
      </c>
      <c r="D289" s="38" t="str">
        <f>'дод 5'!C215</f>
        <v>Проектування, реставрація та охорона пам'яток архітектури</v>
      </c>
      <c r="E289" s="101">
        <f t="shared" ref="E289:E301" si="150">F289+I289</f>
        <v>0</v>
      </c>
      <c r="F289" s="101"/>
      <c r="G289" s="101"/>
      <c r="H289" s="101"/>
      <c r="I289" s="101"/>
      <c r="J289" s="101"/>
      <c r="K289" s="101"/>
      <c r="L289" s="101"/>
      <c r="M289" s="112"/>
      <c r="N289" s="101">
        <f>P289+S289</f>
        <v>1000000</v>
      </c>
      <c r="O289" s="101">
        <v>1000000</v>
      </c>
      <c r="P289" s="101"/>
      <c r="Q289" s="101"/>
      <c r="R289" s="101"/>
      <c r="S289" s="101">
        <v>1000000</v>
      </c>
      <c r="T289" s="101">
        <f t="shared" ref="T289:T301" si="151">E289+N289</f>
        <v>1000000</v>
      </c>
      <c r="U289" s="104">
        <f t="shared" si="143"/>
        <v>0</v>
      </c>
      <c r="V289" s="104"/>
      <c r="W289" s="104"/>
      <c r="X289" s="104"/>
      <c r="Y289" s="104"/>
      <c r="Z289" s="104"/>
      <c r="AA289" s="112">
        <f t="shared" si="148"/>
        <v>0</v>
      </c>
      <c r="AB289" s="101">
        <f t="shared" si="144"/>
        <v>0</v>
      </c>
    </row>
    <row r="290" spans="1:28" s="75" customFormat="1" ht="49.5" hidden="1" customHeight="1" x14ac:dyDescent="0.25">
      <c r="A290" s="1" t="s">
        <v>364</v>
      </c>
      <c r="B290" s="3">
        <f>'дод 5'!A217</f>
        <v>7361</v>
      </c>
      <c r="C290" s="3" t="str">
        <f>'дод 5'!B217</f>
        <v>0490</v>
      </c>
      <c r="D290" s="38" t="str">
        <f>'дод 5'!C217</f>
        <v>Співфінансування інвестиційних проектів, що реалізуються за рахунок коштів державного фонду регіонального розвитку</v>
      </c>
      <c r="E290" s="101">
        <f t="shared" si="150"/>
        <v>0</v>
      </c>
      <c r="F290" s="101"/>
      <c r="G290" s="101"/>
      <c r="H290" s="101"/>
      <c r="I290" s="101"/>
      <c r="J290" s="101"/>
      <c r="K290" s="101"/>
      <c r="L290" s="101"/>
      <c r="M290" s="112" t="e">
        <f t="shared" si="142"/>
        <v>#DIV/0!</v>
      </c>
      <c r="N290" s="101">
        <f t="shared" ref="N290:N301" si="152">P290+S290</f>
        <v>0</v>
      </c>
      <c r="O290" s="101"/>
      <c r="P290" s="101"/>
      <c r="Q290" s="101"/>
      <c r="R290" s="101"/>
      <c r="S290" s="101"/>
      <c r="T290" s="101">
        <f t="shared" si="151"/>
        <v>0</v>
      </c>
      <c r="U290" s="104">
        <f t="shared" si="143"/>
        <v>0</v>
      </c>
      <c r="V290" s="104"/>
      <c r="W290" s="104"/>
      <c r="X290" s="104"/>
      <c r="Y290" s="104"/>
      <c r="Z290" s="104"/>
      <c r="AA290" s="112" t="e">
        <f t="shared" si="148"/>
        <v>#DIV/0!</v>
      </c>
      <c r="AB290" s="101">
        <f t="shared" si="144"/>
        <v>0</v>
      </c>
    </row>
    <row r="291" spans="1:28" s="75" customFormat="1" ht="30" hidden="1" customHeight="1" x14ac:dyDescent="0.25">
      <c r="A291" s="1">
        <v>1217362</v>
      </c>
      <c r="B291" s="3">
        <f>'дод 5'!A218</f>
        <v>7362</v>
      </c>
      <c r="C291" s="3" t="str">
        <f>'дод 5'!B218</f>
        <v>0490</v>
      </c>
      <c r="D291" s="38" t="str">
        <f>'дод 5'!C218</f>
        <v>Виконання інвестиційних проектів в рамках підтримки розвитку об'єднаних територіальних громад</v>
      </c>
      <c r="E291" s="101">
        <f t="shared" si="150"/>
        <v>0</v>
      </c>
      <c r="F291" s="101"/>
      <c r="G291" s="101"/>
      <c r="H291" s="101"/>
      <c r="I291" s="101"/>
      <c r="J291" s="101"/>
      <c r="K291" s="101"/>
      <c r="L291" s="101"/>
      <c r="M291" s="112" t="e">
        <f t="shared" si="142"/>
        <v>#DIV/0!</v>
      </c>
      <c r="N291" s="101">
        <f t="shared" si="152"/>
        <v>0</v>
      </c>
      <c r="O291" s="101"/>
      <c r="P291" s="101"/>
      <c r="Q291" s="101"/>
      <c r="R291" s="101"/>
      <c r="S291" s="101"/>
      <c r="T291" s="101">
        <f t="shared" si="151"/>
        <v>0</v>
      </c>
      <c r="U291" s="104">
        <f t="shared" si="143"/>
        <v>0</v>
      </c>
      <c r="V291" s="104"/>
      <c r="W291" s="104"/>
      <c r="X291" s="104"/>
      <c r="Y291" s="104"/>
      <c r="Z291" s="104"/>
      <c r="AA291" s="112" t="e">
        <f t="shared" si="148"/>
        <v>#DIV/0!</v>
      </c>
      <c r="AB291" s="101">
        <f t="shared" si="144"/>
        <v>0</v>
      </c>
    </row>
    <row r="292" spans="1:28" s="75" customFormat="1" ht="56.25" hidden="1" customHeight="1" x14ac:dyDescent="0.25">
      <c r="A292" s="1" t="s">
        <v>362</v>
      </c>
      <c r="B292" s="3">
        <v>7363</v>
      </c>
      <c r="C292" s="24" t="s">
        <v>81</v>
      </c>
      <c r="D292" s="38" t="s">
        <v>570</v>
      </c>
      <c r="E292" s="101">
        <f t="shared" si="150"/>
        <v>0</v>
      </c>
      <c r="F292" s="101"/>
      <c r="G292" s="101"/>
      <c r="H292" s="101"/>
      <c r="I292" s="101"/>
      <c r="J292" s="101"/>
      <c r="K292" s="101"/>
      <c r="L292" s="101"/>
      <c r="M292" s="112" t="e">
        <f t="shared" si="142"/>
        <v>#DIV/0!</v>
      </c>
      <c r="N292" s="101">
        <f t="shared" si="152"/>
        <v>0</v>
      </c>
      <c r="O292" s="101"/>
      <c r="P292" s="101"/>
      <c r="Q292" s="101"/>
      <c r="R292" s="101"/>
      <c r="S292" s="101"/>
      <c r="T292" s="101">
        <f t="shared" si="151"/>
        <v>0</v>
      </c>
      <c r="U292" s="104">
        <f t="shared" si="143"/>
        <v>0</v>
      </c>
      <c r="V292" s="104"/>
      <c r="W292" s="104"/>
      <c r="X292" s="104"/>
      <c r="Y292" s="104"/>
      <c r="Z292" s="104"/>
      <c r="AA292" s="112" t="e">
        <f t="shared" si="148"/>
        <v>#DIV/0!</v>
      </c>
      <c r="AB292" s="101">
        <f t="shared" si="144"/>
        <v>0</v>
      </c>
    </row>
    <row r="293" spans="1:28" s="5" customFormat="1" ht="50.25" hidden="1" customHeight="1" x14ac:dyDescent="0.25">
      <c r="A293" s="41"/>
      <c r="B293" s="28"/>
      <c r="C293" s="28"/>
      <c r="D293" s="39" t="s">
        <v>382</v>
      </c>
      <c r="E293" s="101">
        <f t="shared" si="150"/>
        <v>0</v>
      </c>
      <c r="F293" s="105"/>
      <c r="G293" s="105"/>
      <c r="H293" s="105"/>
      <c r="I293" s="105"/>
      <c r="J293" s="105"/>
      <c r="K293" s="105"/>
      <c r="L293" s="105"/>
      <c r="M293" s="112" t="e">
        <f t="shared" si="142"/>
        <v>#DIV/0!</v>
      </c>
      <c r="N293" s="101">
        <f t="shared" si="152"/>
        <v>0</v>
      </c>
      <c r="O293" s="105"/>
      <c r="P293" s="105"/>
      <c r="Q293" s="105"/>
      <c r="R293" s="105"/>
      <c r="S293" s="105"/>
      <c r="T293" s="101">
        <f t="shared" si="151"/>
        <v>0</v>
      </c>
      <c r="U293" s="104">
        <f t="shared" si="143"/>
        <v>0</v>
      </c>
      <c r="V293" s="106"/>
      <c r="W293" s="106"/>
      <c r="X293" s="106"/>
      <c r="Y293" s="106"/>
      <c r="Z293" s="106"/>
      <c r="AA293" s="112" t="e">
        <f t="shared" si="148"/>
        <v>#DIV/0!</v>
      </c>
      <c r="AB293" s="101">
        <f t="shared" si="144"/>
        <v>0</v>
      </c>
    </row>
    <row r="294" spans="1:28" s="5" customFormat="1" ht="31.5" hidden="1" customHeight="1" x14ac:dyDescent="0.25">
      <c r="A294" s="1" t="s">
        <v>533</v>
      </c>
      <c r="B294" s="3">
        <v>7368</v>
      </c>
      <c r="C294" s="24" t="s">
        <v>81</v>
      </c>
      <c r="D294" s="38" t="s">
        <v>534</v>
      </c>
      <c r="E294" s="101">
        <f t="shared" si="150"/>
        <v>0</v>
      </c>
      <c r="F294" s="105"/>
      <c r="G294" s="105"/>
      <c r="H294" s="105"/>
      <c r="I294" s="105"/>
      <c r="J294" s="105"/>
      <c r="K294" s="105"/>
      <c r="L294" s="105"/>
      <c r="M294" s="112" t="e">
        <f t="shared" si="142"/>
        <v>#DIV/0!</v>
      </c>
      <c r="N294" s="101">
        <f t="shared" si="152"/>
        <v>0</v>
      </c>
      <c r="O294" s="101"/>
      <c r="P294" s="101"/>
      <c r="Q294" s="101"/>
      <c r="R294" s="101"/>
      <c r="S294" s="101"/>
      <c r="T294" s="101">
        <f t="shared" si="151"/>
        <v>0</v>
      </c>
      <c r="U294" s="104">
        <f t="shared" si="143"/>
        <v>0</v>
      </c>
      <c r="V294" s="106"/>
      <c r="W294" s="106"/>
      <c r="X294" s="106"/>
      <c r="Y294" s="106"/>
      <c r="Z294" s="106"/>
      <c r="AA294" s="112" t="e">
        <f t="shared" si="148"/>
        <v>#DIV/0!</v>
      </c>
      <c r="AB294" s="101">
        <f t="shared" si="144"/>
        <v>0</v>
      </c>
    </row>
    <row r="295" spans="1:28" s="5" customFormat="1" ht="15.75" hidden="1" customHeight="1" x14ac:dyDescent="0.25">
      <c r="A295" s="41"/>
      <c r="B295" s="28"/>
      <c r="C295" s="28"/>
      <c r="D295" s="39" t="s">
        <v>387</v>
      </c>
      <c r="E295" s="101">
        <f t="shared" si="150"/>
        <v>0</v>
      </c>
      <c r="F295" s="105"/>
      <c r="G295" s="105"/>
      <c r="H295" s="105"/>
      <c r="I295" s="105"/>
      <c r="J295" s="105"/>
      <c r="K295" s="105"/>
      <c r="L295" s="105"/>
      <c r="M295" s="112" t="e">
        <f t="shared" si="142"/>
        <v>#DIV/0!</v>
      </c>
      <c r="N295" s="101">
        <f t="shared" si="152"/>
        <v>0</v>
      </c>
      <c r="O295" s="105"/>
      <c r="P295" s="105"/>
      <c r="Q295" s="105"/>
      <c r="R295" s="105"/>
      <c r="S295" s="105"/>
      <c r="T295" s="101">
        <f t="shared" si="151"/>
        <v>0</v>
      </c>
      <c r="U295" s="104">
        <f t="shared" si="143"/>
        <v>0</v>
      </c>
      <c r="V295" s="106"/>
      <c r="W295" s="106"/>
      <c r="X295" s="106"/>
      <c r="Y295" s="106"/>
      <c r="Z295" s="106"/>
      <c r="AA295" s="112" t="e">
        <f t="shared" si="148"/>
        <v>#DIV/0!</v>
      </c>
      <c r="AB295" s="101">
        <f t="shared" si="144"/>
        <v>0</v>
      </c>
    </row>
    <row r="296" spans="1:28" s="5" customFormat="1" ht="110.25" hidden="1" customHeight="1" x14ac:dyDescent="0.25">
      <c r="A296" s="41"/>
      <c r="B296" s="28"/>
      <c r="C296" s="28"/>
      <c r="D296" s="39" t="s">
        <v>389</v>
      </c>
      <c r="E296" s="101">
        <f t="shared" si="150"/>
        <v>0</v>
      </c>
      <c r="F296" s="105"/>
      <c r="G296" s="105"/>
      <c r="H296" s="105"/>
      <c r="I296" s="105"/>
      <c r="J296" s="105"/>
      <c r="K296" s="105"/>
      <c r="L296" s="105"/>
      <c r="M296" s="112" t="e">
        <f t="shared" si="142"/>
        <v>#DIV/0!</v>
      </c>
      <c r="N296" s="101">
        <f t="shared" si="152"/>
        <v>0</v>
      </c>
      <c r="O296" s="105"/>
      <c r="P296" s="105"/>
      <c r="Q296" s="105"/>
      <c r="R296" s="105"/>
      <c r="S296" s="105"/>
      <c r="T296" s="101">
        <f t="shared" si="151"/>
        <v>0</v>
      </c>
      <c r="U296" s="104">
        <f t="shared" si="143"/>
        <v>0</v>
      </c>
      <c r="V296" s="106"/>
      <c r="W296" s="106"/>
      <c r="X296" s="106"/>
      <c r="Y296" s="106"/>
      <c r="Z296" s="106"/>
      <c r="AA296" s="112" t="e">
        <f t="shared" si="148"/>
        <v>#DIV/0!</v>
      </c>
      <c r="AB296" s="101">
        <f t="shared" si="144"/>
        <v>0</v>
      </c>
    </row>
    <row r="297" spans="1:28" s="5" customFormat="1" ht="87" hidden="1" customHeight="1" x14ac:dyDescent="0.25">
      <c r="A297" s="41"/>
      <c r="B297" s="28"/>
      <c r="C297" s="41"/>
      <c r="D297" s="39" t="s">
        <v>500</v>
      </c>
      <c r="E297" s="101">
        <f t="shared" si="150"/>
        <v>0</v>
      </c>
      <c r="F297" s="105"/>
      <c r="G297" s="105"/>
      <c r="H297" s="105"/>
      <c r="I297" s="105"/>
      <c r="J297" s="105"/>
      <c r="K297" s="105"/>
      <c r="L297" s="105"/>
      <c r="M297" s="112" t="e">
        <f t="shared" si="142"/>
        <v>#DIV/0!</v>
      </c>
      <c r="N297" s="101">
        <f t="shared" si="152"/>
        <v>0</v>
      </c>
      <c r="O297" s="105"/>
      <c r="P297" s="105"/>
      <c r="Q297" s="105"/>
      <c r="R297" s="105"/>
      <c r="S297" s="105"/>
      <c r="T297" s="101">
        <f t="shared" si="151"/>
        <v>0</v>
      </c>
      <c r="U297" s="104">
        <f t="shared" si="143"/>
        <v>0</v>
      </c>
      <c r="V297" s="106"/>
      <c r="W297" s="106"/>
      <c r="X297" s="106"/>
      <c r="Y297" s="106"/>
      <c r="Z297" s="106"/>
      <c r="AA297" s="112" t="e">
        <f t="shared" si="148"/>
        <v>#DIV/0!</v>
      </c>
      <c r="AB297" s="101">
        <f t="shared" si="144"/>
        <v>0</v>
      </c>
    </row>
    <row r="298" spans="1:28" s="5" customFormat="1" ht="63.75" hidden="1" customHeight="1" x14ac:dyDescent="0.25">
      <c r="A298" s="1" t="s">
        <v>531</v>
      </c>
      <c r="B298" s="3">
        <v>7463</v>
      </c>
      <c r="C298" s="1" t="s">
        <v>392</v>
      </c>
      <c r="D298" s="58" t="s">
        <v>532</v>
      </c>
      <c r="E298" s="101">
        <f t="shared" si="150"/>
        <v>0</v>
      </c>
      <c r="F298" s="101"/>
      <c r="G298" s="105"/>
      <c r="H298" s="105"/>
      <c r="I298" s="105"/>
      <c r="J298" s="105"/>
      <c r="K298" s="105"/>
      <c r="L298" s="105"/>
      <c r="M298" s="112" t="e">
        <f t="shared" si="142"/>
        <v>#DIV/0!</v>
      </c>
      <c r="N298" s="101">
        <f t="shared" si="152"/>
        <v>0</v>
      </c>
      <c r="O298" s="105"/>
      <c r="P298" s="105"/>
      <c r="Q298" s="105"/>
      <c r="R298" s="105"/>
      <c r="S298" s="105"/>
      <c r="T298" s="101">
        <f t="shared" si="151"/>
        <v>0</v>
      </c>
      <c r="U298" s="104">
        <f t="shared" si="143"/>
        <v>0</v>
      </c>
      <c r="V298" s="106"/>
      <c r="W298" s="106"/>
      <c r="X298" s="106"/>
      <c r="Y298" s="106"/>
      <c r="Z298" s="106"/>
      <c r="AA298" s="112" t="e">
        <f t="shared" si="148"/>
        <v>#DIV/0!</v>
      </c>
      <c r="AB298" s="101">
        <f t="shared" si="144"/>
        <v>0</v>
      </c>
    </row>
    <row r="299" spans="1:28" s="5" customFormat="1" ht="15.75" hidden="1" customHeight="1" x14ac:dyDescent="0.25">
      <c r="A299" s="41"/>
      <c r="B299" s="28"/>
      <c r="C299" s="41"/>
      <c r="D299" s="39" t="s">
        <v>387</v>
      </c>
      <c r="E299" s="101">
        <f t="shared" si="150"/>
        <v>0</v>
      </c>
      <c r="F299" s="105"/>
      <c r="G299" s="105"/>
      <c r="H299" s="105"/>
      <c r="I299" s="105"/>
      <c r="J299" s="105"/>
      <c r="K299" s="105"/>
      <c r="L299" s="105"/>
      <c r="M299" s="112" t="e">
        <f t="shared" si="142"/>
        <v>#DIV/0!</v>
      </c>
      <c r="N299" s="101">
        <f t="shared" si="152"/>
        <v>0</v>
      </c>
      <c r="O299" s="105"/>
      <c r="P299" s="105"/>
      <c r="Q299" s="105"/>
      <c r="R299" s="105"/>
      <c r="S299" s="105"/>
      <c r="T299" s="101">
        <f t="shared" si="151"/>
        <v>0</v>
      </c>
      <c r="U299" s="104">
        <f t="shared" si="143"/>
        <v>0</v>
      </c>
      <c r="V299" s="106"/>
      <c r="W299" s="106"/>
      <c r="X299" s="106"/>
      <c r="Y299" s="106"/>
      <c r="Z299" s="106"/>
      <c r="AA299" s="112" t="e">
        <f t="shared" si="148"/>
        <v>#DIV/0!</v>
      </c>
      <c r="AB299" s="101">
        <f t="shared" si="144"/>
        <v>0</v>
      </c>
    </row>
    <row r="300" spans="1:28" s="5" customFormat="1" ht="31.5" hidden="1" customHeight="1" x14ac:dyDescent="0.25">
      <c r="A300" s="1" t="s">
        <v>413</v>
      </c>
      <c r="B300" s="3">
        <v>7530</v>
      </c>
      <c r="C300" s="1" t="s">
        <v>233</v>
      </c>
      <c r="D300" s="42" t="s">
        <v>231</v>
      </c>
      <c r="E300" s="101">
        <f t="shared" si="150"/>
        <v>0</v>
      </c>
      <c r="F300" s="101"/>
      <c r="G300" s="105"/>
      <c r="H300" s="105"/>
      <c r="I300" s="105"/>
      <c r="J300" s="105"/>
      <c r="K300" s="105"/>
      <c r="L300" s="105"/>
      <c r="M300" s="112" t="e">
        <f t="shared" si="142"/>
        <v>#DIV/0!</v>
      </c>
      <c r="N300" s="101">
        <f t="shared" si="152"/>
        <v>0</v>
      </c>
      <c r="O300" s="101"/>
      <c r="P300" s="101"/>
      <c r="Q300" s="101"/>
      <c r="R300" s="101"/>
      <c r="S300" s="101"/>
      <c r="T300" s="101">
        <f t="shared" si="151"/>
        <v>0</v>
      </c>
      <c r="U300" s="104">
        <f t="shared" si="143"/>
        <v>0</v>
      </c>
      <c r="V300" s="106"/>
      <c r="W300" s="106"/>
      <c r="X300" s="106"/>
      <c r="Y300" s="106"/>
      <c r="Z300" s="106"/>
      <c r="AA300" s="112" t="e">
        <f t="shared" si="148"/>
        <v>#DIV/0!</v>
      </c>
      <c r="AB300" s="101">
        <f t="shared" si="144"/>
        <v>0</v>
      </c>
    </row>
    <row r="301" spans="1:28" s="5" customFormat="1" ht="63" x14ac:dyDescent="0.25">
      <c r="A301" s="1" t="s">
        <v>669</v>
      </c>
      <c r="B301" s="3">
        <v>7375</v>
      </c>
      <c r="C301" s="1" t="s">
        <v>81</v>
      </c>
      <c r="D301" s="42" t="s">
        <v>670</v>
      </c>
      <c r="E301" s="101">
        <f t="shared" si="150"/>
        <v>5800000</v>
      </c>
      <c r="F301" s="101">
        <f>7000000-1200000</f>
        <v>5800000</v>
      </c>
      <c r="G301" s="105"/>
      <c r="H301" s="105"/>
      <c r="I301" s="105"/>
      <c r="J301" s="105"/>
      <c r="K301" s="105"/>
      <c r="L301" s="105"/>
      <c r="M301" s="112">
        <f t="shared" si="142"/>
        <v>0</v>
      </c>
      <c r="N301" s="101">
        <f t="shared" si="152"/>
        <v>2700000</v>
      </c>
      <c r="O301" s="101">
        <f>1500000+1200000</f>
        <v>2700000</v>
      </c>
      <c r="P301" s="101"/>
      <c r="Q301" s="101"/>
      <c r="R301" s="101"/>
      <c r="S301" s="101">
        <f>1500000+1200000</f>
        <v>2700000</v>
      </c>
      <c r="T301" s="101">
        <f t="shared" si="151"/>
        <v>8500000</v>
      </c>
      <c r="U301" s="104">
        <f t="shared" si="143"/>
        <v>28878.79</v>
      </c>
      <c r="V301" s="106">
        <v>28878.79</v>
      </c>
      <c r="W301" s="106"/>
      <c r="X301" s="106"/>
      <c r="Y301" s="106"/>
      <c r="Z301" s="106">
        <v>28878.79</v>
      </c>
      <c r="AA301" s="112">
        <f t="shared" si="148"/>
        <v>1.0695848148148148</v>
      </c>
      <c r="AB301" s="101">
        <f t="shared" si="144"/>
        <v>28878.79</v>
      </c>
    </row>
    <row r="302" spans="1:28" s="5" customFormat="1" ht="49.5" hidden="1" customHeight="1" x14ac:dyDescent="0.25">
      <c r="A302" s="1" t="s">
        <v>646</v>
      </c>
      <c r="B302" s="3">
        <v>7383</v>
      </c>
      <c r="C302" s="1" t="s">
        <v>81</v>
      </c>
      <c r="D302" s="38" t="str">
        <f>'дод 5'!C225</f>
        <v>Реалізація проектів (об'єктів, заходів) за рахунок коштів фонду ліквідації наслідків збройної агресії, у т. ч. за рахунок:</v>
      </c>
      <c r="E302" s="101">
        <f>F302+I302</f>
        <v>0</v>
      </c>
      <c r="F302" s="101"/>
      <c r="G302" s="105"/>
      <c r="H302" s="105"/>
      <c r="I302" s="105"/>
      <c r="J302" s="105"/>
      <c r="K302" s="105"/>
      <c r="L302" s="105"/>
      <c r="M302" s="112" t="e">
        <f t="shared" si="142"/>
        <v>#DIV/0!</v>
      </c>
      <c r="N302" s="101">
        <f t="shared" si="145"/>
        <v>0</v>
      </c>
      <c r="O302" s="101"/>
      <c r="P302" s="101"/>
      <c r="Q302" s="101"/>
      <c r="R302" s="101"/>
      <c r="S302" s="101"/>
      <c r="T302" s="101">
        <f t="shared" si="141"/>
        <v>0</v>
      </c>
      <c r="U302" s="104">
        <f t="shared" si="143"/>
        <v>0</v>
      </c>
      <c r="V302" s="106"/>
      <c r="W302" s="106"/>
      <c r="X302" s="106"/>
      <c r="Y302" s="106"/>
      <c r="Z302" s="106"/>
      <c r="AA302" s="112" t="e">
        <f t="shared" si="148"/>
        <v>#DIV/0!</v>
      </c>
      <c r="AB302" s="101">
        <f t="shared" si="144"/>
        <v>0</v>
      </c>
    </row>
    <row r="303" spans="1:28" s="5" customFormat="1" ht="65.25" hidden="1" customHeight="1" x14ac:dyDescent="0.25">
      <c r="A303" s="1"/>
      <c r="B303" s="3"/>
      <c r="C303" s="1"/>
      <c r="D303" s="39" t="str">
        <f>'дод 5'!C226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3" s="101">
        <f t="shared" ref="E303:E308" si="153">F303+I303</f>
        <v>0</v>
      </c>
      <c r="F303" s="101"/>
      <c r="G303" s="105"/>
      <c r="H303" s="105"/>
      <c r="I303" s="105"/>
      <c r="J303" s="105"/>
      <c r="K303" s="105"/>
      <c r="L303" s="105"/>
      <c r="M303" s="112" t="e">
        <f t="shared" si="142"/>
        <v>#DIV/0!</v>
      </c>
      <c r="N303" s="105">
        <f t="shared" si="145"/>
        <v>0</v>
      </c>
      <c r="O303" s="101"/>
      <c r="P303" s="101"/>
      <c r="Q303" s="101"/>
      <c r="R303" s="101"/>
      <c r="S303" s="101"/>
      <c r="T303" s="105">
        <f>E303+N303</f>
        <v>0</v>
      </c>
      <c r="U303" s="104">
        <f t="shared" si="143"/>
        <v>0</v>
      </c>
      <c r="V303" s="106"/>
      <c r="W303" s="106"/>
      <c r="X303" s="106"/>
      <c r="Y303" s="106"/>
      <c r="Z303" s="106"/>
      <c r="AA303" s="112" t="e">
        <f t="shared" si="148"/>
        <v>#DIV/0!</v>
      </c>
      <c r="AB303" s="101">
        <f t="shared" si="144"/>
        <v>0</v>
      </c>
    </row>
    <row r="304" spans="1:28" s="5" customFormat="1" ht="65.25" hidden="1" customHeight="1" x14ac:dyDescent="0.25">
      <c r="A304" s="1" t="s">
        <v>663</v>
      </c>
      <c r="B304" s="3" t="str">
        <f>'дод 5'!A239</f>
        <v>7461</v>
      </c>
      <c r="C304" s="3" t="str">
        <f>'дод 5'!B239</f>
        <v>0456</v>
      </c>
      <c r="D304" s="58" t="str">
        <f>'дод 5'!C239</f>
        <v>Утримання та розвиток автомобільних доріг та дорожньої інфраструктури за рахунок коштів місцевого бюджету</v>
      </c>
      <c r="E304" s="101">
        <f t="shared" si="153"/>
        <v>0</v>
      </c>
      <c r="F304" s="101"/>
      <c r="G304" s="105"/>
      <c r="H304" s="105"/>
      <c r="I304" s="105"/>
      <c r="J304" s="105"/>
      <c r="K304" s="105"/>
      <c r="L304" s="105"/>
      <c r="M304" s="112" t="e">
        <f t="shared" si="142"/>
        <v>#DIV/0!</v>
      </c>
      <c r="N304" s="105">
        <f t="shared" si="145"/>
        <v>0</v>
      </c>
      <c r="O304" s="101"/>
      <c r="P304" s="101"/>
      <c r="Q304" s="101"/>
      <c r="R304" s="101"/>
      <c r="S304" s="101"/>
      <c r="T304" s="101">
        <f>E304+N304</f>
        <v>0</v>
      </c>
      <c r="U304" s="104">
        <f t="shared" si="143"/>
        <v>0</v>
      </c>
      <c r="V304" s="106"/>
      <c r="W304" s="106"/>
      <c r="X304" s="106"/>
      <c r="Y304" s="106"/>
      <c r="Z304" s="106"/>
      <c r="AA304" s="112" t="e">
        <f t="shared" si="148"/>
        <v>#DIV/0!</v>
      </c>
      <c r="AB304" s="101">
        <f t="shared" si="144"/>
        <v>0</v>
      </c>
    </row>
    <row r="305" spans="1:28" s="75" customFormat="1" ht="47.25" hidden="1" customHeight="1" x14ac:dyDescent="0.25">
      <c r="A305" s="1" t="s">
        <v>368</v>
      </c>
      <c r="B305" s="3" t="str">
        <f>'дод 5'!A240</f>
        <v>7462</v>
      </c>
      <c r="C305" s="3" t="str">
        <f>'дод 5'!B240</f>
        <v>0456</v>
      </c>
      <c r="D305" s="58" t="str">
        <f>'дод 5'!C240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05" s="101">
        <f t="shared" si="153"/>
        <v>0</v>
      </c>
      <c r="F305" s="101"/>
      <c r="G305" s="101"/>
      <c r="H305" s="101"/>
      <c r="I305" s="101"/>
      <c r="J305" s="101"/>
      <c r="K305" s="101"/>
      <c r="L305" s="101"/>
      <c r="M305" s="112" t="e">
        <f t="shared" si="142"/>
        <v>#DIV/0!</v>
      </c>
      <c r="N305" s="101">
        <f>P305+S305</f>
        <v>0</v>
      </c>
      <c r="O305" s="101"/>
      <c r="P305" s="101"/>
      <c r="Q305" s="101"/>
      <c r="R305" s="101"/>
      <c r="S305" s="101"/>
      <c r="T305" s="101">
        <f>E305+N305</f>
        <v>0</v>
      </c>
      <c r="U305" s="104">
        <f t="shared" si="143"/>
        <v>0</v>
      </c>
      <c r="V305" s="104"/>
      <c r="W305" s="104"/>
      <c r="X305" s="104"/>
      <c r="Y305" s="104"/>
      <c r="Z305" s="104"/>
      <c r="AA305" s="112" t="e">
        <f t="shared" si="148"/>
        <v>#DIV/0!</v>
      </c>
      <c r="AB305" s="101">
        <f t="shared" si="144"/>
        <v>0</v>
      </c>
    </row>
    <row r="306" spans="1:28" s="75" customFormat="1" ht="111" hidden="1" customHeight="1" x14ac:dyDescent="0.25">
      <c r="A306" s="1"/>
      <c r="B306" s="3"/>
      <c r="C306" s="1"/>
      <c r="D306" s="80" t="s">
        <v>666</v>
      </c>
      <c r="E306" s="101">
        <f t="shared" si="153"/>
        <v>0</v>
      </c>
      <c r="F306" s="101"/>
      <c r="G306" s="101"/>
      <c r="H306" s="101"/>
      <c r="I306" s="101"/>
      <c r="J306" s="101"/>
      <c r="K306" s="101"/>
      <c r="L306" s="101"/>
      <c r="M306" s="112" t="e">
        <f t="shared" si="142"/>
        <v>#DIV/0!</v>
      </c>
      <c r="N306" s="105">
        <f>P306+S306</f>
        <v>0</v>
      </c>
      <c r="O306" s="105"/>
      <c r="P306" s="105"/>
      <c r="Q306" s="105"/>
      <c r="R306" s="105"/>
      <c r="S306" s="105"/>
      <c r="T306" s="105">
        <f>E306+N306</f>
        <v>0</v>
      </c>
      <c r="U306" s="104">
        <f t="shared" si="143"/>
        <v>0</v>
      </c>
      <c r="V306" s="104"/>
      <c r="W306" s="104"/>
      <c r="X306" s="104"/>
      <c r="Y306" s="104"/>
      <c r="Z306" s="104"/>
      <c r="AA306" s="112" t="e">
        <f t="shared" si="148"/>
        <v>#DIV/0!</v>
      </c>
      <c r="AB306" s="101">
        <f t="shared" si="144"/>
        <v>0</v>
      </c>
    </row>
    <row r="307" spans="1:28" s="75" customFormat="1" ht="94.15" customHeight="1" x14ac:dyDescent="0.25">
      <c r="A307" s="1" t="s">
        <v>684</v>
      </c>
      <c r="B307" s="3">
        <v>7384</v>
      </c>
      <c r="C307" s="1" t="s">
        <v>81</v>
      </c>
      <c r="D307" s="40" t="s">
        <v>682</v>
      </c>
      <c r="E307" s="101">
        <f t="shared" si="153"/>
        <v>0</v>
      </c>
      <c r="F307" s="101">
        <v>0</v>
      </c>
      <c r="G307" s="101">
        <v>0</v>
      </c>
      <c r="H307" s="101">
        <v>0</v>
      </c>
      <c r="I307" s="101"/>
      <c r="J307" s="101"/>
      <c r="K307" s="101"/>
      <c r="L307" s="101"/>
      <c r="M307" s="112"/>
      <c r="N307" s="101">
        <f t="shared" ref="N307:N308" si="154">P307+S307</f>
        <v>15622974</v>
      </c>
      <c r="O307" s="101"/>
      <c r="P307" s="105"/>
      <c r="Q307" s="105"/>
      <c r="R307" s="105"/>
      <c r="S307" s="101">
        <v>15622974</v>
      </c>
      <c r="T307" s="101">
        <f t="shared" ref="T307:T308" si="155">E307+N307</f>
        <v>15622974</v>
      </c>
      <c r="U307" s="104">
        <f t="shared" si="143"/>
        <v>0</v>
      </c>
      <c r="V307" s="104"/>
      <c r="W307" s="104"/>
      <c r="X307" s="104"/>
      <c r="Y307" s="104"/>
      <c r="Z307" s="104"/>
      <c r="AA307" s="112">
        <f t="shared" si="148"/>
        <v>0</v>
      </c>
      <c r="AB307" s="101">
        <f t="shared" si="144"/>
        <v>0</v>
      </c>
    </row>
    <row r="308" spans="1:28" s="5" customFormat="1" ht="111" customHeight="1" x14ac:dyDescent="0.25">
      <c r="A308" s="41"/>
      <c r="B308" s="28"/>
      <c r="C308" s="41"/>
      <c r="D308" s="48" t="s">
        <v>686</v>
      </c>
      <c r="E308" s="105">
        <f t="shared" si="153"/>
        <v>0</v>
      </c>
      <c r="F308" s="105">
        <v>0</v>
      </c>
      <c r="G308" s="105">
        <v>0</v>
      </c>
      <c r="H308" s="105">
        <v>0</v>
      </c>
      <c r="I308" s="105"/>
      <c r="J308" s="105"/>
      <c r="K308" s="105"/>
      <c r="L308" s="105"/>
      <c r="M308" s="112"/>
      <c r="N308" s="105">
        <f t="shared" si="154"/>
        <v>15622974</v>
      </c>
      <c r="O308" s="105"/>
      <c r="P308" s="105"/>
      <c r="Q308" s="105"/>
      <c r="R308" s="105"/>
      <c r="S308" s="105">
        <v>15622974</v>
      </c>
      <c r="T308" s="105">
        <f t="shared" si="155"/>
        <v>15622974</v>
      </c>
      <c r="U308" s="104">
        <f t="shared" si="143"/>
        <v>0</v>
      </c>
      <c r="V308" s="106"/>
      <c r="W308" s="106"/>
      <c r="X308" s="106"/>
      <c r="Y308" s="106"/>
      <c r="Z308" s="106"/>
      <c r="AA308" s="112">
        <f t="shared" si="148"/>
        <v>0</v>
      </c>
      <c r="AB308" s="105">
        <f t="shared" si="144"/>
        <v>0</v>
      </c>
    </row>
    <row r="309" spans="1:28" s="75" customFormat="1" ht="20.25" customHeight="1" x14ac:dyDescent="0.25">
      <c r="A309" s="1" t="s">
        <v>199</v>
      </c>
      <c r="B309" s="3" t="str">
        <f>'дод 5'!A249</f>
        <v>7640</v>
      </c>
      <c r="C309" s="1" t="str">
        <f>'дод 5'!B249</f>
        <v>0470</v>
      </c>
      <c r="D309" s="38" t="s">
        <v>410</v>
      </c>
      <c r="E309" s="101">
        <f t="shared" si="140"/>
        <v>2300000</v>
      </c>
      <c r="F309" s="101">
        <v>100000</v>
      </c>
      <c r="G309" s="101"/>
      <c r="H309" s="101"/>
      <c r="I309" s="101">
        <f>2300000-100000</f>
        <v>2200000</v>
      </c>
      <c r="J309" s="101">
        <v>240101.5</v>
      </c>
      <c r="K309" s="101"/>
      <c r="L309" s="101"/>
      <c r="M309" s="112">
        <f t="shared" si="142"/>
        <v>10.439195652173913</v>
      </c>
      <c r="N309" s="101">
        <f t="shared" si="145"/>
        <v>0</v>
      </c>
      <c r="O309" s="101"/>
      <c r="P309" s="101"/>
      <c r="Q309" s="101"/>
      <c r="R309" s="101"/>
      <c r="S309" s="101"/>
      <c r="T309" s="101">
        <f t="shared" si="141"/>
        <v>2300000</v>
      </c>
      <c r="U309" s="104">
        <f t="shared" si="143"/>
        <v>0</v>
      </c>
      <c r="V309" s="104"/>
      <c r="W309" s="104"/>
      <c r="X309" s="104"/>
      <c r="Y309" s="104"/>
      <c r="Z309" s="104"/>
      <c r="AA309" s="112"/>
      <c r="AB309" s="101">
        <f t="shared" si="144"/>
        <v>240101.5</v>
      </c>
    </row>
    <row r="310" spans="1:28" s="75" customFormat="1" ht="26.65" customHeight="1" x14ac:dyDescent="0.25">
      <c r="A310" s="1" t="s">
        <v>325</v>
      </c>
      <c r="B310" s="3" t="str">
        <f>'дод 5'!A255</f>
        <v>7670</v>
      </c>
      <c r="C310" s="1" t="str">
        <f>'дод 5'!B255</f>
        <v>0490</v>
      </c>
      <c r="D310" s="38" t="str">
        <f>'дод 5'!C255</f>
        <v>Внески до статутного капіталу суб'єктів господарювання</v>
      </c>
      <c r="E310" s="101">
        <f>F310+I310</f>
        <v>0</v>
      </c>
      <c r="F310" s="101"/>
      <c r="G310" s="101"/>
      <c r="H310" s="101"/>
      <c r="I310" s="101"/>
      <c r="J310" s="101"/>
      <c r="K310" s="101"/>
      <c r="L310" s="101"/>
      <c r="M310" s="112"/>
      <c r="N310" s="101">
        <f>P310+S310</f>
        <v>2000000</v>
      </c>
      <c r="O310" s="101">
        <v>2000000</v>
      </c>
      <c r="P310" s="101"/>
      <c r="Q310" s="101"/>
      <c r="R310" s="101">
        <f ca="1">+R308:R310:S310</f>
        <v>0</v>
      </c>
      <c r="S310" s="101">
        <v>2000000</v>
      </c>
      <c r="T310" s="101">
        <f>E310+N310</f>
        <v>2000000</v>
      </c>
      <c r="U310" s="104">
        <f t="shared" si="143"/>
        <v>0</v>
      </c>
      <c r="V310" s="104"/>
      <c r="W310" s="104"/>
      <c r="X310" s="104"/>
      <c r="Y310" s="104"/>
      <c r="Z310" s="104"/>
      <c r="AA310" s="112">
        <f t="shared" si="148"/>
        <v>0</v>
      </c>
      <c r="AB310" s="101">
        <f t="shared" si="144"/>
        <v>0</v>
      </c>
    </row>
    <row r="311" spans="1:28" s="5" customFormat="1" ht="18.75" hidden="1" customHeight="1" x14ac:dyDescent="0.25">
      <c r="A311" s="41"/>
      <c r="B311" s="28"/>
      <c r="C311" s="28"/>
      <c r="D311" s="39" t="s">
        <v>407</v>
      </c>
      <c r="E311" s="105">
        <f t="shared" si="140"/>
        <v>0</v>
      </c>
      <c r="F311" s="105"/>
      <c r="G311" s="105"/>
      <c r="H311" s="105"/>
      <c r="I311" s="105"/>
      <c r="J311" s="105"/>
      <c r="K311" s="105"/>
      <c r="L311" s="105"/>
      <c r="M311" s="112" t="e">
        <f t="shared" si="142"/>
        <v>#DIV/0!</v>
      </c>
      <c r="N311" s="105">
        <f t="shared" si="145"/>
        <v>0</v>
      </c>
      <c r="O311" s="105"/>
      <c r="P311" s="105"/>
      <c r="Q311" s="105"/>
      <c r="R311" s="105"/>
      <c r="S311" s="105"/>
      <c r="T311" s="105">
        <f t="shared" si="141"/>
        <v>0</v>
      </c>
      <c r="U311" s="104">
        <f t="shared" si="143"/>
        <v>0</v>
      </c>
      <c r="V311" s="106"/>
      <c r="W311" s="106"/>
      <c r="X311" s="106"/>
      <c r="Y311" s="106"/>
      <c r="Z311" s="106"/>
      <c r="AA311" s="112" t="e">
        <f t="shared" si="148"/>
        <v>#DIV/0!</v>
      </c>
      <c r="AB311" s="101">
        <f t="shared" si="144"/>
        <v>0</v>
      </c>
    </row>
    <row r="312" spans="1:28" s="75" customFormat="1" ht="112.5" customHeight="1" x14ac:dyDescent="0.25">
      <c r="A312" s="1" t="s">
        <v>294</v>
      </c>
      <c r="B312" s="3">
        <v>7691</v>
      </c>
      <c r="C312" s="3" t="s">
        <v>81</v>
      </c>
      <c r="D312" s="38" t="str">
        <f>'дод 5'!C258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12" s="101">
        <f t="shared" si="140"/>
        <v>0</v>
      </c>
      <c r="F312" s="101"/>
      <c r="G312" s="101"/>
      <c r="H312" s="101"/>
      <c r="I312" s="101"/>
      <c r="J312" s="101"/>
      <c r="K312" s="101"/>
      <c r="L312" s="101"/>
      <c r="M312" s="112"/>
      <c r="N312" s="101">
        <f t="shared" si="145"/>
        <v>60000</v>
      </c>
      <c r="O312" s="101"/>
      <c r="P312" s="101">
        <v>60000</v>
      </c>
      <c r="Q312" s="101"/>
      <c r="R312" s="101"/>
      <c r="S312" s="101"/>
      <c r="T312" s="101">
        <f t="shared" si="141"/>
        <v>60000</v>
      </c>
      <c r="U312" s="104">
        <f t="shared" si="143"/>
        <v>0</v>
      </c>
      <c r="V312" s="104"/>
      <c r="W312" s="104"/>
      <c r="X312" s="104"/>
      <c r="Y312" s="104"/>
      <c r="Z312" s="104"/>
      <c r="AA312" s="112">
        <f t="shared" si="148"/>
        <v>0</v>
      </c>
      <c r="AB312" s="101">
        <f t="shared" si="144"/>
        <v>0</v>
      </c>
    </row>
    <row r="313" spans="1:28" s="75" customFormat="1" ht="39" customHeight="1" x14ac:dyDescent="0.25">
      <c r="A313" s="1" t="s">
        <v>374</v>
      </c>
      <c r="B313" s="3" t="str">
        <f>'дод 5'!A266</f>
        <v>8110</v>
      </c>
      <c r="C313" s="3" t="str">
        <f>'дод 5'!B266</f>
        <v>0320</v>
      </c>
      <c r="D313" s="58" t="str">
        <f>'дод 5'!C266</f>
        <v>Заходи із запобігання та ліквідації надзвичайних ситуацій та наслідків стихійного лиха</v>
      </c>
      <c r="E313" s="101">
        <f t="shared" ref="E313:E322" si="156">F313+I313</f>
        <v>3600000</v>
      </c>
      <c r="F313" s="101">
        <f>7000000-300000+400000-3500000</f>
        <v>3600000</v>
      </c>
      <c r="G313" s="101"/>
      <c r="H313" s="101"/>
      <c r="I313" s="101"/>
      <c r="J313" s="101">
        <v>698028.84</v>
      </c>
      <c r="K313" s="101"/>
      <c r="L313" s="101"/>
      <c r="M313" s="112">
        <f t="shared" si="142"/>
        <v>19.389689999999998</v>
      </c>
      <c r="N313" s="101">
        <f>P313+S313</f>
        <v>3500000</v>
      </c>
      <c r="O313" s="101">
        <v>3500000</v>
      </c>
      <c r="P313" s="101"/>
      <c r="Q313" s="101"/>
      <c r="R313" s="101"/>
      <c r="S313" s="101">
        <v>3500000</v>
      </c>
      <c r="T313" s="101">
        <f t="shared" ref="T313:T316" si="157">E313+N313</f>
        <v>7100000</v>
      </c>
      <c r="U313" s="104">
        <f t="shared" si="143"/>
        <v>0</v>
      </c>
      <c r="V313" s="104"/>
      <c r="W313" s="104"/>
      <c r="X313" s="104"/>
      <c r="Y313" s="104"/>
      <c r="Z313" s="104"/>
      <c r="AA313" s="112">
        <f t="shared" si="148"/>
        <v>0</v>
      </c>
      <c r="AB313" s="101">
        <f t="shared" si="144"/>
        <v>698028.84</v>
      </c>
    </row>
    <row r="314" spans="1:28" s="75" customFormat="1" ht="15.75" hidden="1" customHeight="1" x14ac:dyDescent="0.25">
      <c r="A314" s="1" t="s">
        <v>373</v>
      </c>
      <c r="B314" s="3" t="str">
        <f>'дод 5'!A270</f>
        <v>8230</v>
      </c>
      <c r="C314" s="3" t="str">
        <f>'дод 5'!B270</f>
        <v>0380</v>
      </c>
      <c r="D314" s="58" t="str">
        <f>'дод 5'!C270</f>
        <v>Інші заходи громадського порядку та безпеки</v>
      </c>
      <c r="E314" s="101">
        <f t="shared" si="156"/>
        <v>0</v>
      </c>
      <c r="F314" s="101"/>
      <c r="G314" s="101"/>
      <c r="H314" s="101"/>
      <c r="I314" s="101"/>
      <c r="J314" s="101"/>
      <c r="K314" s="101"/>
      <c r="L314" s="101"/>
      <c r="M314" s="112" t="e">
        <f t="shared" si="142"/>
        <v>#DIV/0!</v>
      </c>
      <c r="N314" s="101">
        <f t="shared" ref="N314:N317" si="158">P314+S314</f>
        <v>0</v>
      </c>
      <c r="O314" s="101"/>
      <c r="P314" s="101"/>
      <c r="Q314" s="101"/>
      <c r="R314" s="101"/>
      <c r="S314" s="101"/>
      <c r="T314" s="101">
        <f t="shared" si="157"/>
        <v>0</v>
      </c>
      <c r="U314" s="104">
        <f t="shared" si="143"/>
        <v>0</v>
      </c>
      <c r="V314" s="104"/>
      <c r="W314" s="104"/>
      <c r="X314" s="104"/>
      <c r="Y314" s="104"/>
      <c r="Z314" s="104"/>
      <c r="AA314" s="112" t="e">
        <f t="shared" si="148"/>
        <v>#DIV/0!</v>
      </c>
      <c r="AB314" s="101">
        <f t="shared" si="144"/>
        <v>0</v>
      </c>
    </row>
    <row r="315" spans="1:28" s="75" customFormat="1" ht="27" customHeight="1" x14ac:dyDescent="0.25">
      <c r="A315" s="1" t="s">
        <v>638</v>
      </c>
      <c r="B315" s="3">
        <v>8240</v>
      </c>
      <c r="C315" s="3" t="str">
        <f>'дод 5'!B271</f>
        <v>0380</v>
      </c>
      <c r="D315" s="58" t="str">
        <f>'дод 5'!C271</f>
        <v>Заходи та роботи з територіальної оборони</v>
      </c>
      <c r="E315" s="101">
        <f>F315+I315</f>
        <v>4700000</v>
      </c>
      <c r="F315" s="101">
        <f>2000000+2700000</f>
        <v>4700000</v>
      </c>
      <c r="G315" s="101"/>
      <c r="H315" s="101"/>
      <c r="I315" s="101"/>
      <c r="J315" s="101">
        <v>426768</v>
      </c>
      <c r="K315" s="101"/>
      <c r="L315" s="101"/>
      <c r="M315" s="112">
        <f t="shared" si="142"/>
        <v>9.0801702127659567</v>
      </c>
      <c r="N315" s="101">
        <f>P315+S315</f>
        <v>0</v>
      </c>
      <c r="O315" s="101"/>
      <c r="P315" s="101"/>
      <c r="Q315" s="101"/>
      <c r="R315" s="101"/>
      <c r="S315" s="101"/>
      <c r="T315" s="101">
        <f t="shared" si="157"/>
        <v>4700000</v>
      </c>
      <c r="U315" s="104">
        <f t="shared" si="143"/>
        <v>0</v>
      </c>
      <c r="V315" s="104"/>
      <c r="W315" s="104"/>
      <c r="X315" s="104"/>
      <c r="Y315" s="104"/>
      <c r="Z315" s="104"/>
      <c r="AA315" s="112"/>
      <c r="AB315" s="101">
        <f t="shared" si="144"/>
        <v>426768</v>
      </c>
    </row>
    <row r="316" spans="1:28" s="75" customFormat="1" ht="27" hidden="1" customHeight="1" x14ac:dyDescent="0.25">
      <c r="A316" s="1" t="s">
        <v>639</v>
      </c>
      <c r="B316" s="3">
        <v>8312</v>
      </c>
      <c r="C316" s="1" t="s">
        <v>640</v>
      </c>
      <c r="D316" s="58" t="s">
        <v>641</v>
      </c>
      <c r="E316" s="101">
        <f>F316+I316</f>
        <v>0</v>
      </c>
      <c r="F316" s="101"/>
      <c r="G316" s="101"/>
      <c r="H316" s="101"/>
      <c r="I316" s="101"/>
      <c r="J316" s="101"/>
      <c r="K316" s="101"/>
      <c r="L316" s="101"/>
      <c r="M316" s="112" t="e">
        <f t="shared" si="142"/>
        <v>#DIV/0!</v>
      </c>
      <c r="N316" s="101">
        <f>P316+S316</f>
        <v>0</v>
      </c>
      <c r="O316" s="101"/>
      <c r="P316" s="101"/>
      <c r="Q316" s="101"/>
      <c r="R316" s="101"/>
      <c r="S316" s="101"/>
      <c r="T316" s="101">
        <f t="shared" si="157"/>
        <v>0</v>
      </c>
      <c r="U316" s="104">
        <f t="shared" si="143"/>
        <v>0</v>
      </c>
      <c r="V316" s="104"/>
      <c r="W316" s="104"/>
      <c r="X316" s="104"/>
      <c r="Y316" s="104"/>
      <c r="Z316" s="104"/>
      <c r="AA316" s="112" t="e">
        <f t="shared" si="148"/>
        <v>#DIV/0!</v>
      </c>
      <c r="AB316" s="101">
        <f t="shared" si="144"/>
        <v>0</v>
      </c>
    </row>
    <row r="317" spans="1:28" s="75" customFormat="1" ht="31.5" customHeight="1" x14ac:dyDescent="0.25">
      <c r="A317" s="1" t="s">
        <v>200</v>
      </c>
      <c r="B317" s="3" t="str">
        <f>'дод 5'!A275</f>
        <v>8340</v>
      </c>
      <c r="C317" s="3" t="str">
        <f>'дод 5'!B275</f>
        <v>0540</v>
      </c>
      <c r="D317" s="38" t="str">
        <f>'дод 5'!C275</f>
        <v>Природоохоронні заходи за рахунок цільових фондів</v>
      </c>
      <c r="E317" s="101">
        <f t="shared" si="156"/>
        <v>0</v>
      </c>
      <c r="F317" s="101"/>
      <c r="G317" s="101"/>
      <c r="H317" s="101"/>
      <c r="I317" s="101"/>
      <c r="J317" s="101"/>
      <c r="K317" s="101"/>
      <c r="L317" s="101"/>
      <c r="M317" s="112"/>
      <c r="N317" s="101">
        <f t="shared" si="158"/>
        <v>1174400</v>
      </c>
      <c r="O317" s="101"/>
      <c r="P317" s="101">
        <v>724400</v>
      </c>
      <c r="Q317" s="101"/>
      <c r="R317" s="101"/>
      <c r="S317" s="101">
        <v>450000</v>
      </c>
      <c r="T317" s="101">
        <f t="shared" si="141"/>
        <v>1174400</v>
      </c>
      <c r="U317" s="104">
        <f t="shared" si="143"/>
        <v>9996.14</v>
      </c>
      <c r="V317" s="104"/>
      <c r="W317" s="104">
        <v>9996.14</v>
      </c>
      <c r="X317" s="104"/>
      <c r="Y317" s="104"/>
      <c r="Z317" s="104"/>
      <c r="AA317" s="112">
        <f t="shared" si="148"/>
        <v>0.85116995912806537</v>
      </c>
      <c r="AB317" s="101">
        <f t="shared" si="144"/>
        <v>9996.14</v>
      </c>
    </row>
    <row r="318" spans="1:28" s="75" customFormat="1" ht="68.25" hidden="1" customHeight="1" x14ac:dyDescent="0.25">
      <c r="A318" s="1" t="s">
        <v>594</v>
      </c>
      <c r="B318" s="24">
        <v>8741</v>
      </c>
      <c r="C318" s="24">
        <v>610</v>
      </c>
      <c r="D318" s="40" t="s">
        <v>595</v>
      </c>
      <c r="E318" s="101">
        <f t="shared" si="156"/>
        <v>0</v>
      </c>
      <c r="F318" s="101"/>
      <c r="G318" s="101"/>
      <c r="H318" s="101"/>
      <c r="I318" s="101"/>
      <c r="J318" s="101"/>
      <c r="K318" s="101"/>
      <c r="L318" s="101"/>
      <c r="M318" s="112" t="e">
        <f t="shared" si="142"/>
        <v>#DIV/0!</v>
      </c>
      <c r="N318" s="101">
        <f t="shared" si="145"/>
        <v>0</v>
      </c>
      <c r="O318" s="101"/>
      <c r="P318" s="101"/>
      <c r="Q318" s="101"/>
      <c r="R318" s="101"/>
      <c r="S318" s="101"/>
      <c r="T318" s="101">
        <f t="shared" si="141"/>
        <v>0</v>
      </c>
      <c r="U318" s="104">
        <f t="shared" si="143"/>
        <v>0</v>
      </c>
      <c r="V318" s="104"/>
      <c r="W318" s="104"/>
      <c r="X318" s="104"/>
      <c r="Y318" s="104"/>
      <c r="Z318" s="104"/>
      <c r="AA318" s="112" t="e">
        <f t="shared" si="148"/>
        <v>#DIV/0!</v>
      </c>
      <c r="AB318" s="101">
        <f t="shared" si="144"/>
        <v>0</v>
      </c>
    </row>
    <row r="319" spans="1:28" s="75" customFormat="1" ht="69" hidden="1" customHeight="1" x14ac:dyDescent="0.25">
      <c r="A319" s="1" t="s">
        <v>590</v>
      </c>
      <c r="B319" s="3">
        <f>'дод 5'!A282</f>
        <v>8746</v>
      </c>
      <c r="C319" s="3">
        <f>'дод 5'!B282</f>
        <v>640</v>
      </c>
      <c r="D319" s="58" t="str">
        <f>'дод 5'!C282</f>
        <v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v>
      </c>
      <c r="E319" s="101">
        <f t="shared" si="156"/>
        <v>0</v>
      </c>
      <c r="F319" s="101"/>
      <c r="G319" s="101"/>
      <c r="H319" s="101"/>
      <c r="I319" s="101"/>
      <c r="J319" s="101"/>
      <c r="K319" s="101"/>
      <c r="L319" s="101"/>
      <c r="M319" s="112" t="e">
        <f t="shared" si="142"/>
        <v>#DIV/0!</v>
      </c>
      <c r="N319" s="101">
        <f t="shared" ref="N319" si="159">P319+S319</f>
        <v>0</v>
      </c>
      <c r="O319" s="101"/>
      <c r="P319" s="101"/>
      <c r="Q319" s="101"/>
      <c r="R319" s="101"/>
      <c r="S319" s="101"/>
      <c r="T319" s="101">
        <f t="shared" ref="T319" si="160">E319+N319</f>
        <v>0</v>
      </c>
      <c r="U319" s="104">
        <f t="shared" si="143"/>
        <v>0</v>
      </c>
      <c r="V319" s="104"/>
      <c r="W319" s="104"/>
      <c r="X319" s="104"/>
      <c r="Y319" s="104"/>
      <c r="Z319" s="104"/>
      <c r="AA319" s="112" t="e">
        <f t="shared" si="148"/>
        <v>#DIV/0!</v>
      </c>
      <c r="AB319" s="101">
        <f t="shared" si="144"/>
        <v>0</v>
      </c>
    </row>
    <row r="320" spans="1:28" s="75" customFormat="1" ht="38.25" hidden="1" customHeight="1" x14ac:dyDescent="0.25">
      <c r="A320" s="1" t="s">
        <v>584</v>
      </c>
      <c r="B320" s="3">
        <v>8775</v>
      </c>
      <c r="C320" s="1" t="s">
        <v>92</v>
      </c>
      <c r="D320" s="38" t="s">
        <v>580</v>
      </c>
      <c r="E320" s="101">
        <f t="shared" si="156"/>
        <v>0</v>
      </c>
      <c r="F320" s="101"/>
      <c r="G320" s="101"/>
      <c r="H320" s="101"/>
      <c r="I320" s="101"/>
      <c r="J320" s="101"/>
      <c r="K320" s="101"/>
      <c r="L320" s="101"/>
      <c r="M320" s="112" t="e">
        <f t="shared" si="142"/>
        <v>#DIV/0!</v>
      </c>
      <c r="N320" s="101">
        <f t="shared" si="145"/>
        <v>0</v>
      </c>
      <c r="O320" s="101"/>
      <c r="P320" s="101"/>
      <c r="Q320" s="101"/>
      <c r="R320" s="101"/>
      <c r="S320" s="101"/>
      <c r="T320" s="101">
        <f t="shared" si="141"/>
        <v>0</v>
      </c>
      <c r="U320" s="104">
        <f t="shared" si="143"/>
        <v>0</v>
      </c>
      <c r="V320" s="104"/>
      <c r="W320" s="104"/>
      <c r="X320" s="104"/>
      <c r="Y320" s="104"/>
      <c r="Z320" s="104"/>
      <c r="AA320" s="112" t="e">
        <f t="shared" si="148"/>
        <v>#DIV/0!</v>
      </c>
      <c r="AB320" s="101">
        <f t="shared" si="144"/>
        <v>0</v>
      </c>
    </row>
    <row r="321" spans="1:28" s="75" customFormat="1" ht="78.75" hidden="1" customHeight="1" x14ac:dyDescent="0.25">
      <c r="A321" s="1" t="s">
        <v>528</v>
      </c>
      <c r="B321" s="3">
        <v>9730</v>
      </c>
      <c r="C321" s="1" t="s">
        <v>44</v>
      </c>
      <c r="D321" s="38" t="s">
        <v>529</v>
      </c>
      <c r="E321" s="101">
        <f t="shared" si="156"/>
        <v>0</v>
      </c>
      <c r="F321" s="101"/>
      <c r="G321" s="101"/>
      <c r="H321" s="101"/>
      <c r="I321" s="101"/>
      <c r="J321" s="101"/>
      <c r="K321" s="101"/>
      <c r="L321" s="101"/>
      <c r="M321" s="112" t="e">
        <f t="shared" si="142"/>
        <v>#DIV/0!</v>
      </c>
      <c r="N321" s="101">
        <f t="shared" si="145"/>
        <v>0</v>
      </c>
      <c r="O321" s="101"/>
      <c r="P321" s="101"/>
      <c r="Q321" s="101"/>
      <c r="R321" s="101"/>
      <c r="S321" s="101"/>
      <c r="T321" s="101">
        <f t="shared" si="141"/>
        <v>0</v>
      </c>
      <c r="U321" s="104">
        <f t="shared" si="143"/>
        <v>0</v>
      </c>
      <c r="V321" s="104"/>
      <c r="W321" s="104"/>
      <c r="X321" s="104"/>
      <c r="Y321" s="104"/>
      <c r="Z321" s="104"/>
      <c r="AA321" s="112" t="e">
        <f t="shared" si="148"/>
        <v>#DIV/0!</v>
      </c>
      <c r="AB321" s="101">
        <f t="shared" si="144"/>
        <v>0</v>
      </c>
    </row>
    <row r="322" spans="1:28" s="75" customFormat="1" ht="36" hidden="1" customHeight="1" x14ac:dyDescent="0.25">
      <c r="A322" s="1" t="s">
        <v>572</v>
      </c>
      <c r="B322" s="3">
        <v>9750</v>
      </c>
      <c r="C322" s="1" t="s">
        <v>44</v>
      </c>
      <c r="D322" s="38" t="s">
        <v>491</v>
      </c>
      <c r="E322" s="101">
        <f t="shared" si="156"/>
        <v>0</v>
      </c>
      <c r="F322" s="101"/>
      <c r="G322" s="101"/>
      <c r="H322" s="101"/>
      <c r="I322" s="101"/>
      <c r="J322" s="101"/>
      <c r="K322" s="101"/>
      <c r="L322" s="101"/>
      <c r="M322" s="112" t="e">
        <f t="shared" si="142"/>
        <v>#DIV/0!</v>
      </c>
      <c r="N322" s="101">
        <f t="shared" ref="N322" si="161">P322+S322</f>
        <v>0</v>
      </c>
      <c r="O322" s="101"/>
      <c r="P322" s="101"/>
      <c r="Q322" s="101"/>
      <c r="R322" s="101"/>
      <c r="S322" s="101"/>
      <c r="T322" s="101">
        <f t="shared" si="141"/>
        <v>0</v>
      </c>
      <c r="U322" s="104">
        <f t="shared" si="143"/>
        <v>0</v>
      </c>
      <c r="V322" s="104"/>
      <c r="W322" s="104"/>
      <c r="X322" s="104"/>
      <c r="Y322" s="104"/>
      <c r="Z322" s="104"/>
      <c r="AA322" s="112" t="e">
        <f t="shared" si="148"/>
        <v>#DIV/0!</v>
      </c>
      <c r="AB322" s="101">
        <f t="shared" si="144"/>
        <v>0</v>
      </c>
    </row>
    <row r="323" spans="1:28" s="75" customFormat="1" ht="26.25" customHeight="1" x14ac:dyDescent="0.25">
      <c r="A323" s="1" t="s">
        <v>201</v>
      </c>
      <c r="B323" s="3" t="str">
        <f>'дод 5'!A296</f>
        <v>9770</v>
      </c>
      <c r="C323" s="3" t="str">
        <f>'дод 5'!B296</f>
        <v>0180</v>
      </c>
      <c r="D323" s="38" t="str">
        <f>'дод 5'!C296</f>
        <v>Інші субвенції з місцевого бюджету</v>
      </c>
      <c r="E323" s="101">
        <f t="shared" si="140"/>
        <v>4026800</v>
      </c>
      <c r="F323" s="101">
        <v>4026800</v>
      </c>
      <c r="G323" s="101"/>
      <c r="H323" s="101"/>
      <c r="I323" s="101"/>
      <c r="J323" s="101"/>
      <c r="K323" s="101"/>
      <c r="L323" s="101"/>
      <c r="M323" s="112">
        <f t="shared" si="142"/>
        <v>0</v>
      </c>
      <c r="N323" s="101">
        <f t="shared" si="145"/>
        <v>10973200</v>
      </c>
      <c r="O323" s="101">
        <v>10973200</v>
      </c>
      <c r="P323" s="101"/>
      <c r="Q323" s="101"/>
      <c r="R323" s="101"/>
      <c r="S323" s="101">
        <v>10973200</v>
      </c>
      <c r="T323" s="101">
        <f t="shared" si="141"/>
        <v>15000000</v>
      </c>
      <c r="U323" s="104">
        <f t="shared" si="143"/>
        <v>0</v>
      </c>
      <c r="V323" s="104"/>
      <c r="W323" s="104"/>
      <c r="X323" s="104"/>
      <c r="Y323" s="104"/>
      <c r="Z323" s="104"/>
      <c r="AA323" s="112">
        <f t="shared" si="148"/>
        <v>0</v>
      </c>
      <c r="AB323" s="101">
        <f t="shared" si="144"/>
        <v>0</v>
      </c>
    </row>
    <row r="324" spans="1:28" s="75" customFormat="1" ht="52.5" hidden="1" customHeight="1" x14ac:dyDescent="0.25">
      <c r="A324" s="1" t="s">
        <v>591</v>
      </c>
      <c r="B324" s="3">
        <f>'дод 5'!A297</f>
        <v>9800</v>
      </c>
      <c r="C324" s="3" t="str">
        <f>'дод 5'!B297</f>
        <v>0180</v>
      </c>
      <c r="D324" s="58" t="str">
        <f>'дод 5'!C297</f>
        <v xml:space="preserve">Субвенція з місцевого бюджету державному бюджету на виконання програм соціально-економічного розвитку регіонів </v>
      </c>
      <c r="E324" s="101">
        <f>F324</f>
        <v>0</v>
      </c>
      <c r="F324" s="101"/>
      <c r="G324" s="101"/>
      <c r="H324" s="101"/>
      <c r="I324" s="101"/>
      <c r="J324" s="101"/>
      <c r="K324" s="101"/>
      <c r="L324" s="101"/>
      <c r="M324" s="112" t="e">
        <f t="shared" si="142"/>
        <v>#DIV/0!</v>
      </c>
      <c r="N324" s="101">
        <f t="shared" si="145"/>
        <v>0</v>
      </c>
      <c r="O324" s="101"/>
      <c r="P324" s="101"/>
      <c r="Q324" s="101"/>
      <c r="R324" s="101"/>
      <c r="S324" s="101"/>
      <c r="T324" s="101">
        <f t="shared" si="141"/>
        <v>0</v>
      </c>
      <c r="U324" s="104"/>
      <c r="V324" s="104"/>
      <c r="W324" s="104"/>
      <c r="X324" s="104"/>
      <c r="Y324" s="104"/>
      <c r="Z324" s="104"/>
      <c r="AA324" s="112" t="e">
        <f t="shared" si="148"/>
        <v>#DIV/0!</v>
      </c>
      <c r="AB324" s="101">
        <f t="shared" si="144"/>
        <v>0</v>
      </c>
    </row>
    <row r="325" spans="1:28" s="74" customFormat="1" ht="33.75" hidden="1" customHeight="1" x14ac:dyDescent="0.25">
      <c r="A325" s="61" t="s">
        <v>26</v>
      </c>
      <c r="B325" s="33"/>
      <c r="C325" s="33"/>
      <c r="D325" s="59" t="s">
        <v>33</v>
      </c>
      <c r="E325" s="100">
        <f>E326</f>
        <v>0</v>
      </c>
      <c r="F325" s="100">
        <f t="shared" ref="F325:N328" si="162">F326</f>
        <v>0</v>
      </c>
      <c r="G325" s="100">
        <f t="shared" si="162"/>
        <v>0</v>
      </c>
      <c r="H325" s="100">
        <f t="shared" si="162"/>
        <v>0</v>
      </c>
      <c r="I325" s="100">
        <f t="shared" si="162"/>
        <v>0</v>
      </c>
      <c r="J325" s="100"/>
      <c r="K325" s="100"/>
      <c r="L325" s="100"/>
      <c r="M325" s="112" t="e">
        <f t="shared" si="142"/>
        <v>#DIV/0!</v>
      </c>
      <c r="N325" s="100">
        <f t="shared" si="162"/>
        <v>0</v>
      </c>
      <c r="O325" s="100">
        <f t="shared" ref="O325:O328" si="163">O326</f>
        <v>0</v>
      </c>
      <c r="P325" s="100">
        <f t="shared" ref="P325:P328" si="164">P326</f>
        <v>0</v>
      </c>
      <c r="Q325" s="100">
        <f t="shared" ref="Q325:Q328" si="165">Q326</f>
        <v>0</v>
      </c>
      <c r="R325" s="100">
        <f t="shared" ref="R325:R328" si="166">R326</f>
        <v>0</v>
      </c>
      <c r="S325" s="100">
        <f t="shared" ref="S325:T328" si="167">S326</f>
        <v>0</v>
      </c>
      <c r="T325" s="100">
        <f t="shared" si="167"/>
        <v>0</v>
      </c>
      <c r="U325" s="110"/>
      <c r="V325" s="110"/>
      <c r="W325" s="110"/>
      <c r="X325" s="110"/>
      <c r="Y325" s="110"/>
      <c r="Z325" s="110"/>
      <c r="AA325" s="112" t="e">
        <f t="shared" si="148"/>
        <v>#DIV/0!</v>
      </c>
      <c r="AB325" s="101">
        <f t="shared" si="144"/>
        <v>0</v>
      </c>
    </row>
    <row r="326" spans="1:28" s="9" customFormat="1" ht="36.75" hidden="1" customHeight="1" x14ac:dyDescent="0.25">
      <c r="A326" s="6" t="s">
        <v>116</v>
      </c>
      <c r="B326" s="7"/>
      <c r="C326" s="7"/>
      <c r="D326" s="8" t="s">
        <v>33</v>
      </c>
      <c r="E326" s="102">
        <f>E327</f>
        <v>0</v>
      </c>
      <c r="F326" s="102">
        <f t="shared" si="162"/>
        <v>0</v>
      </c>
      <c r="G326" s="102">
        <f t="shared" si="162"/>
        <v>0</v>
      </c>
      <c r="H326" s="102">
        <f t="shared" si="162"/>
        <v>0</v>
      </c>
      <c r="I326" s="102">
        <f t="shared" si="162"/>
        <v>0</v>
      </c>
      <c r="J326" s="102"/>
      <c r="K326" s="102"/>
      <c r="L326" s="102"/>
      <c r="M326" s="112" t="e">
        <f t="shared" si="142"/>
        <v>#DIV/0!</v>
      </c>
      <c r="N326" s="102">
        <f t="shared" si="162"/>
        <v>0</v>
      </c>
      <c r="O326" s="102">
        <f t="shared" si="163"/>
        <v>0</v>
      </c>
      <c r="P326" s="102">
        <f t="shared" si="164"/>
        <v>0</v>
      </c>
      <c r="Q326" s="102">
        <f t="shared" si="165"/>
        <v>0</v>
      </c>
      <c r="R326" s="102">
        <f t="shared" si="166"/>
        <v>0</v>
      </c>
      <c r="S326" s="102">
        <f t="shared" si="167"/>
        <v>0</v>
      </c>
      <c r="T326" s="102">
        <f t="shared" si="167"/>
        <v>0</v>
      </c>
      <c r="U326" s="103"/>
      <c r="V326" s="103"/>
      <c r="W326" s="103"/>
      <c r="X326" s="103"/>
      <c r="Y326" s="103"/>
      <c r="Z326" s="103"/>
      <c r="AA326" s="112" t="e">
        <f t="shared" si="148"/>
        <v>#DIV/0!</v>
      </c>
      <c r="AB326" s="101">
        <f t="shared" si="144"/>
        <v>0</v>
      </c>
    </row>
    <row r="327" spans="1:28" s="75" customFormat="1" ht="51.75" hidden="1" customHeight="1" x14ac:dyDescent="0.25">
      <c r="A327" s="1" t="s">
        <v>0</v>
      </c>
      <c r="B327" s="3" t="str">
        <f>'дод 5'!A18</f>
        <v>0160</v>
      </c>
      <c r="C327" s="3" t="str">
        <f>'дод 5'!B18</f>
        <v>0111</v>
      </c>
      <c r="D327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27" s="101">
        <f>F327+I327</f>
        <v>0</v>
      </c>
      <c r="F327" s="101"/>
      <c r="G327" s="101"/>
      <c r="H327" s="101"/>
      <c r="I327" s="101"/>
      <c r="J327" s="101"/>
      <c r="K327" s="101"/>
      <c r="L327" s="101"/>
      <c r="M327" s="112" t="e">
        <f t="shared" si="142"/>
        <v>#DIV/0!</v>
      </c>
      <c r="N327" s="101">
        <f>P327+S327</f>
        <v>0</v>
      </c>
      <c r="O327" s="101"/>
      <c r="P327" s="101"/>
      <c r="Q327" s="101"/>
      <c r="R327" s="101"/>
      <c r="S327" s="101"/>
      <c r="T327" s="101">
        <f>E327+N327</f>
        <v>0</v>
      </c>
      <c r="U327" s="104"/>
      <c r="V327" s="104"/>
      <c r="W327" s="104"/>
      <c r="X327" s="104"/>
      <c r="Y327" s="104"/>
      <c r="Z327" s="104"/>
      <c r="AA327" s="112" t="e">
        <f t="shared" si="148"/>
        <v>#DIV/0!</v>
      </c>
      <c r="AB327" s="101">
        <f t="shared" si="144"/>
        <v>0</v>
      </c>
    </row>
    <row r="328" spans="1:28" s="74" customFormat="1" ht="33.75" hidden="1" customHeight="1" x14ac:dyDescent="0.25">
      <c r="A328" s="61" t="s">
        <v>26</v>
      </c>
      <c r="B328" s="33"/>
      <c r="C328" s="33"/>
      <c r="D328" s="59" t="s">
        <v>603</v>
      </c>
      <c r="E328" s="100">
        <f>E329</f>
        <v>0</v>
      </c>
      <c r="F328" s="100">
        <f t="shared" si="162"/>
        <v>0</v>
      </c>
      <c r="G328" s="100">
        <f t="shared" si="162"/>
        <v>0</v>
      </c>
      <c r="H328" s="100">
        <f t="shared" si="162"/>
        <v>0</v>
      </c>
      <c r="I328" s="100">
        <f t="shared" si="162"/>
        <v>0</v>
      </c>
      <c r="J328" s="100"/>
      <c r="K328" s="100"/>
      <c r="L328" s="100"/>
      <c r="M328" s="112" t="e">
        <f t="shared" si="142"/>
        <v>#DIV/0!</v>
      </c>
      <c r="N328" s="100">
        <f t="shared" si="162"/>
        <v>0</v>
      </c>
      <c r="O328" s="100">
        <f t="shared" si="163"/>
        <v>0</v>
      </c>
      <c r="P328" s="100">
        <f t="shared" si="164"/>
        <v>0</v>
      </c>
      <c r="Q328" s="100">
        <f t="shared" si="165"/>
        <v>0</v>
      </c>
      <c r="R328" s="100">
        <f t="shared" si="166"/>
        <v>0</v>
      </c>
      <c r="S328" s="100">
        <f t="shared" si="167"/>
        <v>0</v>
      </c>
      <c r="T328" s="100">
        <f t="shared" si="167"/>
        <v>0</v>
      </c>
      <c r="U328" s="110"/>
      <c r="V328" s="110"/>
      <c r="W328" s="110"/>
      <c r="X328" s="110"/>
      <c r="Y328" s="110"/>
      <c r="Z328" s="110"/>
      <c r="AA328" s="112" t="e">
        <f t="shared" si="148"/>
        <v>#DIV/0!</v>
      </c>
      <c r="AB328" s="101">
        <f t="shared" si="144"/>
        <v>0</v>
      </c>
    </row>
    <row r="329" spans="1:28" s="9" customFormat="1" ht="36.75" hidden="1" customHeight="1" x14ac:dyDescent="0.25">
      <c r="A329" s="6" t="s">
        <v>116</v>
      </c>
      <c r="B329" s="7"/>
      <c r="C329" s="7"/>
      <c r="D329" s="8" t="s">
        <v>603</v>
      </c>
      <c r="E329" s="102">
        <f>E330+E331</f>
        <v>0</v>
      </c>
      <c r="F329" s="102">
        <f t="shared" ref="F329:T329" si="168">F330+F331</f>
        <v>0</v>
      </c>
      <c r="G329" s="102">
        <f t="shared" si="168"/>
        <v>0</v>
      </c>
      <c r="H329" s="102">
        <f t="shared" si="168"/>
        <v>0</v>
      </c>
      <c r="I329" s="102">
        <f t="shared" si="168"/>
        <v>0</v>
      </c>
      <c r="J329" s="102"/>
      <c r="K329" s="102"/>
      <c r="L329" s="102"/>
      <c r="M329" s="112" t="e">
        <f t="shared" si="142"/>
        <v>#DIV/0!</v>
      </c>
      <c r="N329" s="102">
        <f t="shared" si="168"/>
        <v>0</v>
      </c>
      <c r="O329" s="102">
        <f t="shared" si="168"/>
        <v>0</v>
      </c>
      <c r="P329" s="102">
        <f t="shared" si="168"/>
        <v>0</v>
      </c>
      <c r="Q329" s="102">
        <f t="shared" si="168"/>
        <v>0</v>
      </c>
      <c r="R329" s="102">
        <f t="shared" si="168"/>
        <v>0</v>
      </c>
      <c r="S329" s="102">
        <f t="shared" si="168"/>
        <v>0</v>
      </c>
      <c r="T329" s="102">
        <f t="shared" si="168"/>
        <v>0</v>
      </c>
      <c r="U329" s="103"/>
      <c r="V329" s="103"/>
      <c r="W329" s="103"/>
      <c r="X329" s="103"/>
      <c r="Y329" s="103"/>
      <c r="Z329" s="103"/>
      <c r="AA329" s="112" t="e">
        <f t="shared" si="148"/>
        <v>#DIV/0!</v>
      </c>
      <c r="AB329" s="101">
        <f t="shared" si="144"/>
        <v>0</v>
      </c>
    </row>
    <row r="330" spans="1:28" s="75" customFormat="1" ht="51.75" hidden="1" customHeight="1" x14ac:dyDescent="0.25">
      <c r="A330" s="1" t="s">
        <v>0</v>
      </c>
      <c r="B330" s="3" t="str">
        <f>'дод 5'!A18</f>
        <v>0160</v>
      </c>
      <c r="C330" s="3" t="str">
        <f>'дод 5'!B18</f>
        <v>0111</v>
      </c>
      <c r="D330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30" s="101">
        <f>F330+I330</f>
        <v>0</v>
      </c>
      <c r="F330" s="101">
        <f>10047900-10047900</f>
        <v>0</v>
      </c>
      <c r="G330" s="101">
        <f>7966500-7966500</f>
        <v>0</v>
      </c>
      <c r="H330" s="101">
        <f>122300-122300</f>
        <v>0</v>
      </c>
      <c r="I330" s="101"/>
      <c r="J330" s="101"/>
      <c r="K330" s="101"/>
      <c r="L330" s="101"/>
      <c r="M330" s="112" t="e">
        <f t="shared" si="142"/>
        <v>#DIV/0!</v>
      </c>
      <c r="N330" s="101">
        <f>P330+S330</f>
        <v>0</v>
      </c>
      <c r="O330" s="101">
        <f>8000-8000</f>
        <v>0</v>
      </c>
      <c r="P330" s="101"/>
      <c r="Q330" s="101"/>
      <c r="R330" s="101"/>
      <c r="S330" s="101">
        <f>8000-8000</f>
        <v>0</v>
      </c>
      <c r="T330" s="101">
        <f>E330+N330</f>
        <v>0</v>
      </c>
      <c r="U330" s="104"/>
      <c r="V330" s="104"/>
      <c r="W330" s="104"/>
      <c r="X330" s="104"/>
      <c r="Y330" s="104"/>
      <c r="Z330" s="104"/>
      <c r="AA330" s="112" t="e">
        <f t="shared" si="148"/>
        <v>#DIV/0!</v>
      </c>
      <c r="AB330" s="101">
        <f t="shared" si="144"/>
        <v>0</v>
      </c>
    </row>
    <row r="331" spans="1:28" s="75" customFormat="1" ht="40.5" hidden="1" customHeight="1" x14ac:dyDescent="0.25">
      <c r="A331" s="1" t="s">
        <v>618</v>
      </c>
      <c r="B331" s="3" t="str">
        <f>'дод 5'!A248</f>
        <v>7610</v>
      </c>
      <c r="C331" s="3" t="str">
        <f>'дод 5'!B248</f>
        <v>0411</v>
      </c>
      <c r="D331" s="58" t="str">
        <f>'дод 5'!C248</f>
        <v>Сприяння розвитку малого та середнього підприємництва</v>
      </c>
      <c r="E331" s="101">
        <f>F331+I331</f>
        <v>0</v>
      </c>
      <c r="F331" s="101">
        <f>270000-50000-220000</f>
        <v>0</v>
      </c>
      <c r="G331" s="101"/>
      <c r="H331" s="101"/>
      <c r="I331" s="101">
        <f>250000+50000-300000</f>
        <v>0</v>
      </c>
      <c r="J331" s="101"/>
      <c r="K331" s="101"/>
      <c r="L331" s="101"/>
      <c r="M331" s="112" t="e">
        <f t="shared" si="142"/>
        <v>#DIV/0!</v>
      </c>
      <c r="N331" s="101">
        <f>P331+S331</f>
        <v>0</v>
      </c>
      <c r="O331" s="101">
        <f>8000-8000</f>
        <v>0</v>
      </c>
      <c r="P331" s="101"/>
      <c r="Q331" s="101"/>
      <c r="R331" s="101"/>
      <c r="S331" s="101">
        <f>8000-8000</f>
        <v>0</v>
      </c>
      <c r="T331" s="101">
        <f>E331+N331</f>
        <v>0</v>
      </c>
      <c r="U331" s="104"/>
      <c r="V331" s="104"/>
      <c r="W331" s="104"/>
      <c r="X331" s="104"/>
      <c r="Y331" s="104"/>
      <c r="Z331" s="104"/>
      <c r="AA331" s="112" t="e">
        <f t="shared" si="148"/>
        <v>#DIV/0!</v>
      </c>
      <c r="AB331" s="101">
        <f t="shared" si="144"/>
        <v>0</v>
      </c>
    </row>
    <row r="332" spans="1:28" s="74" customFormat="1" ht="47.25" customHeight="1" x14ac:dyDescent="0.25">
      <c r="A332" s="61" t="s">
        <v>27</v>
      </c>
      <c r="B332" s="33"/>
      <c r="C332" s="33"/>
      <c r="D332" s="59" t="s">
        <v>32</v>
      </c>
      <c r="E332" s="100">
        <f>E333</f>
        <v>7672124</v>
      </c>
      <c r="F332" s="100">
        <f t="shared" ref="F332:Z332" si="169">F333</f>
        <v>7672124</v>
      </c>
      <c r="G332" s="100">
        <f t="shared" si="169"/>
        <v>5481400</v>
      </c>
      <c r="H332" s="100">
        <f t="shared" si="169"/>
        <v>0</v>
      </c>
      <c r="I332" s="100">
        <f t="shared" si="169"/>
        <v>0</v>
      </c>
      <c r="J332" s="100">
        <f t="shared" si="169"/>
        <v>2613944.15</v>
      </c>
      <c r="K332" s="100">
        <f t="shared" si="169"/>
        <v>2181262.77</v>
      </c>
      <c r="L332" s="100">
        <f t="shared" si="169"/>
        <v>0</v>
      </c>
      <c r="M332" s="112">
        <f t="shared" si="142"/>
        <v>34.070671303018564</v>
      </c>
      <c r="N332" s="100">
        <f t="shared" si="169"/>
        <v>249622284</v>
      </c>
      <c r="O332" s="100">
        <f t="shared" si="169"/>
        <v>248007742.65000001</v>
      </c>
      <c r="P332" s="100">
        <f t="shared" si="169"/>
        <v>369000</v>
      </c>
      <c r="Q332" s="100">
        <f t="shared" si="169"/>
        <v>0</v>
      </c>
      <c r="R332" s="100">
        <f t="shared" si="169"/>
        <v>208200</v>
      </c>
      <c r="S332" s="100">
        <f t="shared" si="169"/>
        <v>249253284</v>
      </c>
      <c r="T332" s="100">
        <f t="shared" si="169"/>
        <v>257294408</v>
      </c>
      <c r="U332" s="100">
        <f t="shared" si="169"/>
        <v>36815307.079999998</v>
      </c>
      <c r="V332" s="100">
        <f t="shared" si="169"/>
        <v>36213261.200000003</v>
      </c>
      <c r="W332" s="100">
        <f t="shared" si="169"/>
        <v>602045.88</v>
      </c>
      <c r="X332" s="100">
        <f t="shared" si="169"/>
        <v>287388.33</v>
      </c>
      <c r="Y332" s="100">
        <f t="shared" si="169"/>
        <v>88434.61</v>
      </c>
      <c r="Z332" s="100">
        <f t="shared" si="169"/>
        <v>36213261.200000003</v>
      </c>
      <c r="AA332" s="117">
        <f t="shared" si="148"/>
        <v>14.748405667179936</v>
      </c>
      <c r="AB332" s="100">
        <f t="shared" si="144"/>
        <v>39429251.229999997</v>
      </c>
    </row>
    <row r="333" spans="1:28" s="9" customFormat="1" ht="47.25" x14ac:dyDescent="0.25">
      <c r="A333" s="6" t="s">
        <v>28</v>
      </c>
      <c r="B333" s="7"/>
      <c r="C333" s="7"/>
      <c r="D333" s="8" t="s">
        <v>408</v>
      </c>
      <c r="E333" s="102">
        <f>SUM(E338+E339+E340+E341+E342+E343+E347+E348+E349+E350+E351+E353+E354+E355+E356+E358+E359+E352+E362+E363+E344+E345)</f>
        <v>7672124</v>
      </c>
      <c r="F333" s="102">
        <f t="shared" ref="F333:Z333" si="170">SUM(F338+F339+F340+F341+F342+F343+F347+F348+F349+F350+F351+F353+F354+F355+F356+F358+F359+F352+F362+F363+F344+F345)</f>
        <v>7672124</v>
      </c>
      <c r="G333" s="102">
        <f t="shared" si="170"/>
        <v>5481400</v>
      </c>
      <c r="H333" s="102">
        <f t="shared" si="170"/>
        <v>0</v>
      </c>
      <c r="I333" s="102">
        <f t="shared" si="170"/>
        <v>0</v>
      </c>
      <c r="J333" s="102">
        <f t="shared" si="170"/>
        <v>2613944.15</v>
      </c>
      <c r="K333" s="102">
        <f t="shared" si="170"/>
        <v>2181262.77</v>
      </c>
      <c r="L333" s="102">
        <f t="shared" si="170"/>
        <v>0</v>
      </c>
      <c r="M333" s="112">
        <f t="shared" si="142"/>
        <v>34.070671303018564</v>
      </c>
      <c r="N333" s="102">
        <f t="shared" si="170"/>
        <v>249622284</v>
      </c>
      <c r="O333" s="102">
        <f t="shared" si="170"/>
        <v>248007742.65000001</v>
      </c>
      <c r="P333" s="102">
        <f t="shared" si="170"/>
        <v>369000</v>
      </c>
      <c r="Q333" s="102">
        <f t="shared" si="170"/>
        <v>0</v>
      </c>
      <c r="R333" s="102">
        <f t="shared" si="170"/>
        <v>208200</v>
      </c>
      <c r="S333" s="102">
        <f t="shared" si="170"/>
        <v>249253284</v>
      </c>
      <c r="T333" s="102">
        <f t="shared" si="170"/>
        <v>257294408</v>
      </c>
      <c r="U333" s="102">
        <f t="shared" si="170"/>
        <v>36815307.079999998</v>
      </c>
      <c r="V333" s="102">
        <f t="shared" si="170"/>
        <v>36213261.200000003</v>
      </c>
      <c r="W333" s="102">
        <f t="shared" si="170"/>
        <v>602045.88</v>
      </c>
      <c r="X333" s="102">
        <f t="shared" si="170"/>
        <v>287388.33</v>
      </c>
      <c r="Y333" s="102">
        <f t="shared" si="170"/>
        <v>88434.61</v>
      </c>
      <c r="Z333" s="102">
        <f t="shared" si="170"/>
        <v>36213261.200000003</v>
      </c>
      <c r="AA333" s="118">
        <f t="shared" si="148"/>
        <v>14.748405667179936</v>
      </c>
      <c r="AB333" s="102">
        <f t="shared" si="144"/>
        <v>39429251.229999997</v>
      </c>
    </row>
    <row r="334" spans="1:28" s="9" customFormat="1" ht="63" hidden="1" customHeight="1" x14ac:dyDescent="0.25">
      <c r="A334" s="6"/>
      <c r="B334" s="7"/>
      <c r="C334" s="7"/>
      <c r="D334" s="8" t="s">
        <v>597</v>
      </c>
      <c r="E334" s="102">
        <f>E357</f>
        <v>0</v>
      </c>
      <c r="F334" s="102">
        <f t="shared" ref="F334:Z334" si="171">F357</f>
        <v>0</v>
      </c>
      <c r="G334" s="102">
        <f t="shared" si="171"/>
        <v>0</v>
      </c>
      <c r="H334" s="102">
        <f t="shared" si="171"/>
        <v>0</v>
      </c>
      <c r="I334" s="102">
        <f t="shared" si="171"/>
        <v>0</v>
      </c>
      <c r="J334" s="102">
        <f t="shared" si="171"/>
        <v>0</v>
      </c>
      <c r="K334" s="102">
        <f t="shared" si="171"/>
        <v>0</v>
      </c>
      <c r="L334" s="102">
        <f t="shared" si="171"/>
        <v>0</v>
      </c>
      <c r="M334" s="112" t="e">
        <f t="shared" si="142"/>
        <v>#DIV/0!</v>
      </c>
      <c r="N334" s="102">
        <f t="shared" si="171"/>
        <v>0</v>
      </c>
      <c r="O334" s="102">
        <f t="shared" si="171"/>
        <v>0</v>
      </c>
      <c r="P334" s="102">
        <f t="shared" si="171"/>
        <v>0</v>
      </c>
      <c r="Q334" s="102">
        <f t="shared" si="171"/>
        <v>0</v>
      </c>
      <c r="R334" s="102">
        <f t="shared" si="171"/>
        <v>0</v>
      </c>
      <c r="S334" s="102">
        <f t="shared" si="171"/>
        <v>0</v>
      </c>
      <c r="T334" s="102">
        <f t="shared" si="171"/>
        <v>0</v>
      </c>
      <c r="U334" s="102">
        <f t="shared" si="171"/>
        <v>0</v>
      </c>
      <c r="V334" s="102">
        <f t="shared" si="171"/>
        <v>0</v>
      </c>
      <c r="W334" s="102">
        <f t="shared" si="171"/>
        <v>0</v>
      </c>
      <c r="X334" s="102">
        <f t="shared" si="171"/>
        <v>0</v>
      </c>
      <c r="Y334" s="102">
        <f t="shared" si="171"/>
        <v>0</v>
      </c>
      <c r="Z334" s="102">
        <f t="shared" si="171"/>
        <v>0</v>
      </c>
      <c r="AA334" s="112" t="e">
        <f t="shared" si="148"/>
        <v>#DIV/0!</v>
      </c>
      <c r="AB334" s="102">
        <f t="shared" si="144"/>
        <v>0</v>
      </c>
    </row>
    <row r="335" spans="1:28" s="9" customFormat="1" ht="46.5" customHeight="1" x14ac:dyDescent="0.25">
      <c r="A335" s="6"/>
      <c r="B335" s="7"/>
      <c r="C335" s="7"/>
      <c r="D335" s="8" t="s">
        <v>707</v>
      </c>
      <c r="E335" s="102">
        <f>E346</f>
        <v>0</v>
      </c>
      <c r="F335" s="102">
        <f t="shared" ref="F335:Z335" si="172">F346</f>
        <v>0</v>
      </c>
      <c r="G335" s="102">
        <f t="shared" si="172"/>
        <v>0</v>
      </c>
      <c r="H335" s="102">
        <f t="shared" si="172"/>
        <v>0</v>
      </c>
      <c r="I335" s="102">
        <f t="shared" si="172"/>
        <v>0</v>
      </c>
      <c r="J335" s="102">
        <f t="shared" si="172"/>
        <v>0</v>
      </c>
      <c r="K335" s="102">
        <f t="shared" si="172"/>
        <v>0</v>
      </c>
      <c r="L335" s="102">
        <f t="shared" si="172"/>
        <v>0</v>
      </c>
      <c r="M335" s="112"/>
      <c r="N335" s="102">
        <f t="shared" si="172"/>
        <v>17211412</v>
      </c>
      <c r="O335" s="102">
        <f t="shared" si="172"/>
        <v>17211412</v>
      </c>
      <c r="P335" s="102">
        <f t="shared" si="172"/>
        <v>0</v>
      </c>
      <c r="Q335" s="102">
        <f t="shared" si="172"/>
        <v>0</v>
      </c>
      <c r="R335" s="102">
        <f t="shared" si="172"/>
        <v>0</v>
      </c>
      <c r="S335" s="102">
        <f t="shared" si="172"/>
        <v>17211412</v>
      </c>
      <c r="T335" s="102">
        <f t="shared" si="172"/>
        <v>17211412</v>
      </c>
      <c r="U335" s="102">
        <f t="shared" si="172"/>
        <v>4732732</v>
      </c>
      <c r="V335" s="102">
        <f t="shared" si="172"/>
        <v>4732732</v>
      </c>
      <c r="W335" s="102">
        <f t="shared" si="172"/>
        <v>0</v>
      </c>
      <c r="X335" s="102">
        <f t="shared" si="172"/>
        <v>0</v>
      </c>
      <c r="Y335" s="102">
        <f t="shared" si="172"/>
        <v>0</v>
      </c>
      <c r="Z335" s="102">
        <f t="shared" si="172"/>
        <v>4732732</v>
      </c>
      <c r="AA335" s="118">
        <f t="shared" si="148"/>
        <v>27.497639356956881</v>
      </c>
      <c r="AB335" s="102">
        <f t="shared" si="144"/>
        <v>4732732</v>
      </c>
    </row>
    <row r="336" spans="1:28" s="9" customFormat="1" ht="27" customHeight="1" x14ac:dyDescent="0.25">
      <c r="A336" s="6"/>
      <c r="B336" s="7"/>
      <c r="C336" s="7"/>
      <c r="D336" s="8" t="s">
        <v>407</v>
      </c>
      <c r="E336" s="102">
        <f>E360</f>
        <v>0</v>
      </c>
      <c r="F336" s="102">
        <f t="shared" ref="F336:Z336" si="173">F360</f>
        <v>0</v>
      </c>
      <c r="G336" s="102">
        <f t="shared" si="173"/>
        <v>0</v>
      </c>
      <c r="H336" s="102">
        <f t="shared" si="173"/>
        <v>0</v>
      </c>
      <c r="I336" s="102">
        <f t="shared" si="173"/>
        <v>0</v>
      </c>
      <c r="J336" s="102">
        <f t="shared" si="173"/>
        <v>0</v>
      </c>
      <c r="K336" s="102">
        <f t="shared" si="173"/>
        <v>0</v>
      </c>
      <c r="L336" s="102">
        <f t="shared" si="173"/>
        <v>0</v>
      </c>
      <c r="M336" s="112"/>
      <c r="N336" s="102">
        <f t="shared" si="173"/>
        <v>61868709</v>
      </c>
      <c r="O336" s="102">
        <f t="shared" si="173"/>
        <v>61868709</v>
      </c>
      <c r="P336" s="102">
        <f t="shared" si="173"/>
        <v>0</v>
      </c>
      <c r="Q336" s="102">
        <f t="shared" si="173"/>
        <v>0</v>
      </c>
      <c r="R336" s="102">
        <f t="shared" si="173"/>
        <v>0</v>
      </c>
      <c r="S336" s="102">
        <f t="shared" si="173"/>
        <v>61868709</v>
      </c>
      <c r="T336" s="102">
        <f t="shared" si="173"/>
        <v>61868709</v>
      </c>
      <c r="U336" s="102">
        <f t="shared" si="173"/>
        <v>0</v>
      </c>
      <c r="V336" s="102">
        <f t="shared" si="173"/>
        <v>0</v>
      </c>
      <c r="W336" s="102">
        <f t="shared" si="173"/>
        <v>0</v>
      </c>
      <c r="X336" s="102">
        <f t="shared" si="173"/>
        <v>0</v>
      </c>
      <c r="Y336" s="102">
        <f t="shared" si="173"/>
        <v>0</v>
      </c>
      <c r="Z336" s="102">
        <f t="shared" si="173"/>
        <v>0</v>
      </c>
      <c r="AA336" s="112">
        <f t="shared" si="148"/>
        <v>0</v>
      </c>
      <c r="AB336" s="102">
        <f t="shared" si="144"/>
        <v>0</v>
      </c>
    </row>
    <row r="337" spans="1:28" s="9" customFormat="1" ht="53.25" customHeight="1" x14ac:dyDescent="0.25">
      <c r="A337" s="6"/>
      <c r="B337" s="7"/>
      <c r="C337" s="7"/>
      <c r="D337" s="8" t="str">
        <f>D361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37" s="102">
        <f>E361</f>
        <v>0</v>
      </c>
      <c r="F337" s="102">
        <f t="shared" ref="F337:Z337" si="174">F361</f>
        <v>0</v>
      </c>
      <c r="G337" s="102">
        <f t="shared" si="174"/>
        <v>0</v>
      </c>
      <c r="H337" s="102">
        <f t="shared" si="174"/>
        <v>0</v>
      </c>
      <c r="I337" s="102">
        <f t="shared" si="174"/>
        <v>0</v>
      </c>
      <c r="J337" s="102">
        <f t="shared" si="174"/>
        <v>0</v>
      </c>
      <c r="K337" s="102">
        <f t="shared" si="174"/>
        <v>0</v>
      </c>
      <c r="L337" s="102">
        <f t="shared" si="174"/>
        <v>0</v>
      </c>
      <c r="M337" s="112"/>
      <c r="N337" s="102">
        <f t="shared" si="174"/>
        <v>42207900</v>
      </c>
      <c r="O337" s="102">
        <f t="shared" si="174"/>
        <v>42207900</v>
      </c>
      <c r="P337" s="102">
        <f t="shared" si="174"/>
        <v>0</v>
      </c>
      <c r="Q337" s="102">
        <f t="shared" si="174"/>
        <v>0</v>
      </c>
      <c r="R337" s="102">
        <f t="shared" si="174"/>
        <v>0</v>
      </c>
      <c r="S337" s="102">
        <f t="shared" si="174"/>
        <v>42207900</v>
      </c>
      <c r="T337" s="102">
        <f t="shared" si="174"/>
        <v>42207900</v>
      </c>
      <c r="U337" s="102">
        <f t="shared" si="174"/>
        <v>0</v>
      </c>
      <c r="V337" s="102">
        <f t="shared" si="174"/>
        <v>0</v>
      </c>
      <c r="W337" s="102">
        <f t="shared" si="174"/>
        <v>0</v>
      </c>
      <c r="X337" s="102">
        <f t="shared" si="174"/>
        <v>0</v>
      </c>
      <c r="Y337" s="102">
        <f t="shared" si="174"/>
        <v>0</v>
      </c>
      <c r="Z337" s="102">
        <f t="shared" si="174"/>
        <v>0</v>
      </c>
      <c r="AA337" s="112">
        <f t="shared" ref="AA337:AA400" si="175">U337/N337*100</f>
        <v>0</v>
      </c>
      <c r="AB337" s="102">
        <f t="shared" ref="AB337:AB400" si="176">U337+J337</f>
        <v>0</v>
      </c>
    </row>
    <row r="338" spans="1:28" s="75" customFormat="1" ht="47.25" x14ac:dyDescent="0.25">
      <c r="A338" s="1" t="s">
        <v>137</v>
      </c>
      <c r="B338" s="3" t="str">
        <f>'дод 5'!A18</f>
        <v>0160</v>
      </c>
      <c r="C338" s="3" t="str">
        <f>'дод 5'!B18</f>
        <v>0111</v>
      </c>
      <c r="D338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38" s="101">
        <f t="shared" ref="E338:E362" si="177">F338+I338</f>
        <v>6686800</v>
      </c>
      <c r="F338" s="101">
        <f>7067600-985000+604200</f>
        <v>6686800</v>
      </c>
      <c r="G338" s="101">
        <f>5793100-807400+495700</f>
        <v>5481400</v>
      </c>
      <c r="H338" s="101"/>
      <c r="I338" s="101"/>
      <c r="J338" s="101">
        <v>2613944.15</v>
      </c>
      <c r="K338" s="101">
        <v>2181262.77</v>
      </c>
      <c r="L338" s="101"/>
      <c r="M338" s="112">
        <f t="shared" ref="M338:M400" si="178">J338/E338*100</f>
        <v>39.091107106538253</v>
      </c>
      <c r="N338" s="101">
        <f>P338+S338</f>
        <v>369000</v>
      </c>
      <c r="O338" s="101"/>
      <c r="P338" s="101">
        <v>369000</v>
      </c>
      <c r="Q338" s="101"/>
      <c r="R338" s="101">
        <v>208200</v>
      </c>
      <c r="S338" s="101"/>
      <c r="T338" s="101">
        <f t="shared" ref="T338:T362" si="179">E338+N338</f>
        <v>7055800</v>
      </c>
      <c r="U338" s="104">
        <f>W338+Z338</f>
        <v>538762.66</v>
      </c>
      <c r="V338" s="104"/>
      <c r="W338" s="104">
        <v>538762.66</v>
      </c>
      <c r="X338" s="104">
        <v>287388.33</v>
      </c>
      <c r="Y338" s="104">
        <v>88434.61</v>
      </c>
      <c r="Z338" s="104"/>
      <c r="AA338" s="112" t="s">
        <v>720</v>
      </c>
      <c r="AB338" s="101">
        <f t="shared" si="176"/>
        <v>3152706.81</v>
      </c>
    </row>
    <row r="339" spans="1:28" s="75" customFormat="1" ht="15.75" x14ac:dyDescent="0.25">
      <c r="A339" s="1" t="s">
        <v>571</v>
      </c>
      <c r="B339" s="3">
        <v>1010</v>
      </c>
      <c r="C339" s="1" t="s">
        <v>48</v>
      </c>
      <c r="D339" s="38" t="s">
        <v>477</v>
      </c>
      <c r="E339" s="101">
        <f t="shared" si="177"/>
        <v>0</v>
      </c>
      <c r="F339" s="101"/>
      <c r="G339" s="101"/>
      <c r="H339" s="101"/>
      <c r="I339" s="101"/>
      <c r="J339" s="101"/>
      <c r="K339" s="101"/>
      <c r="L339" s="101"/>
      <c r="M339" s="112"/>
      <c r="N339" s="101">
        <f>P339+S339</f>
        <v>27185055</v>
      </c>
      <c r="O339" s="101">
        <f>3155700+1954092+20556921.65+685000</f>
        <v>26351713.649999999</v>
      </c>
      <c r="P339" s="101"/>
      <c r="Q339" s="101"/>
      <c r="R339" s="101"/>
      <c r="S339" s="101">
        <f>3155700+1954092+21390263+685000</f>
        <v>27185055</v>
      </c>
      <c r="T339" s="101">
        <f t="shared" si="179"/>
        <v>27185055</v>
      </c>
      <c r="U339" s="104">
        <f t="shared" ref="U339:U361" si="180">W339+Z339</f>
        <v>14228874</v>
      </c>
      <c r="V339" s="104">
        <v>14228874</v>
      </c>
      <c r="W339" s="104"/>
      <c r="X339" s="104"/>
      <c r="Y339" s="104"/>
      <c r="Z339" s="104">
        <v>14228874</v>
      </c>
      <c r="AA339" s="112">
        <f t="shared" si="175"/>
        <v>52.340795337732438</v>
      </c>
      <c r="AB339" s="101">
        <f t="shared" si="176"/>
        <v>14228874</v>
      </c>
    </row>
    <row r="340" spans="1:28" s="75" customFormat="1" ht="31.5" hidden="1" customHeight="1" x14ac:dyDescent="0.25">
      <c r="A340" s="1" t="s">
        <v>573</v>
      </c>
      <c r="B340" s="3">
        <v>1021</v>
      </c>
      <c r="C340" s="1" t="s">
        <v>50</v>
      </c>
      <c r="D340" s="38" t="s">
        <v>446</v>
      </c>
      <c r="E340" s="101">
        <f t="shared" si="177"/>
        <v>0</v>
      </c>
      <c r="F340" s="101"/>
      <c r="G340" s="101"/>
      <c r="H340" s="101"/>
      <c r="I340" s="101"/>
      <c r="J340" s="101"/>
      <c r="K340" s="101"/>
      <c r="L340" s="101"/>
      <c r="M340" s="112"/>
      <c r="N340" s="101">
        <f t="shared" ref="N340:N345" si="181">P340+S340</f>
        <v>0</v>
      </c>
      <c r="O340" s="101"/>
      <c r="P340" s="101"/>
      <c r="Q340" s="101"/>
      <c r="R340" s="101"/>
      <c r="S340" s="101"/>
      <c r="T340" s="101">
        <f t="shared" si="179"/>
        <v>0</v>
      </c>
      <c r="U340" s="104">
        <f t="shared" si="180"/>
        <v>0</v>
      </c>
      <c r="V340" s="104"/>
      <c r="W340" s="104"/>
      <c r="X340" s="104"/>
      <c r="Y340" s="104"/>
      <c r="Z340" s="104"/>
      <c r="AA340" s="112" t="e">
        <f t="shared" si="175"/>
        <v>#DIV/0!</v>
      </c>
      <c r="AB340" s="101">
        <f t="shared" si="176"/>
        <v>0</v>
      </c>
    </row>
    <row r="341" spans="1:28" s="75" customFormat="1" ht="63" hidden="1" customHeight="1" x14ac:dyDescent="0.25">
      <c r="A341" s="1" t="s">
        <v>574</v>
      </c>
      <c r="B341" s="3">
        <v>1022</v>
      </c>
      <c r="C341" s="1" t="s">
        <v>54</v>
      </c>
      <c r="D341" s="38" t="s">
        <v>448</v>
      </c>
      <c r="E341" s="101">
        <f t="shared" si="177"/>
        <v>0</v>
      </c>
      <c r="F341" s="101"/>
      <c r="G341" s="101"/>
      <c r="H341" s="101"/>
      <c r="I341" s="101"/>
      <c r="J341" s="101"/>
      <c r="K341" s="101"/>
      <c r="L341" s="101"/>
      <c r="M341" s="112"/>
      <c r="N341" s="101">
        <f t="shared" si="181"/>
        <v>0</v>
      </c>
      <c r="O341" s="101"/>
      <c r="P341" s="101"/>
      <c r="Q341" s="101"/>
      <c r="R341" s="101"/>
      <c r="S341" s="101"/>
      <c r="T341" s="101">
        <f t="shared" si="179"/>
        <v>0</v>
      </c>
      <c r="U341" s="104">
        <f t="shared" si="180"/>
        <v>0</v>
      </c>
      <c r="V341" s="104"/>
      <c r="W341" s="104"/>
      <c r="X341" s="104"/>
      <c r="Y341" s="104"/>
      <c r="Z341" s="104"/>
      <c r="AA341" s="112" t="e">
        <f t="shared" si="175"/>
        <v>#DIV/0!</v>
      </c>
      <c r="AB341" s="101">
        <f t="shared" si="176"/>
        <v>0</v>
      </c>
    </row>
    <row r="342" spans="1:28" s="75" customFormat="1" ht="31.5" hidden="1" customHeight="1" x14ac:dyDescent="0.25">
      <c r="A342" s="1" t="s">
        <v>575</v>
      </c>
      <c r="B342" s="3">
        <v>2010</v>
      </c>
      <c r="C342" s="1" t="s">
        <v>60</v>
      </c>
      <c r="D342" s="38" t="s">
        <v>556</v>
      </c>
      <c r="E342" s="101">
        <f t="shared" si="177"/>
        <v>0</v>
      </c>
      <c r="F342" s="101"/>
      <c r="G342" s="101"/>
      <c r="H342" s="101"/>
      <c r="I342" s="101"/>
      <c r="J342" s="101"/>
      <c r="K342" s="101"/>
      <c r="L342" s="101"/>
      <c r="M342" s="112"/>
      <c r="N342" s="101">
        <f t="shared" si="181"/>
        <v>0</v>
      </c>
      <c r="O342" s="101"/>
      <c r="P342" s="101"/>
      <c r="Q342" s="101"/>
      <c r="R342" s="101"/>
      <c r="S342" s="101"/>
      <c r="T342" s="101">
        <f t="shared" si="179"/>
        <v>0</v>
      </c>
      <c r="U342" s="104">
        <f t="shared" si="180"/>
        <v>0</v>
      </c>
      <c r="V342" s="104"/>
      <c r="W342" s="104"/>
      <c r="X342" s="104"/>
      <c r="Y342" s="104"/>
      <c r="Z342" s="104"/>
      <c r="AA342" s="112" t="e">
        <f t="shared" si="175"/>
        <v>#DIV/0!</v>
      </c>
      <c r="AB342" s="101">
        <f t="shared" si="176"/>
        <v>0</v>
      </c>
    </row>
    <row r="343" spans="1:28" s="75" customFormat="1" ht="15.75" hidden="1" customHeight="1" x14ac:dyDescent="0.25">
      <c r="A343" s="1" t="s">
        <v>202</v>
      </c>
      <c r="B343" s="3" t="str">
        <f>'дод 5'!A184</f>
        <v>6030</v>
      </c>
      <c r="C343" s="3" t="str">
        <f>'дод 5'!B184</f>
        <v>0620</v>
      </c>
      <c r="D343" s="38" t="str">
        <f>'дод 5'!C184</f>
        <v>Організація благоустрою населених пунктів</v>
      </c>
      <c r="E343" s="101">
        <f t="shared" si="177"/>
        <v>0</v>
      </c>
      <c r="F343" s="101"/>
      <c r="G343" s="101"/>
      <c r="H343" s="101"/>
      <c r="I343" s="101"/>
      <c r="J343" s="101"/>
      <c r="K343" s="101"/>
      <c r="L343" s="101"/>
      <c r="M343" s="112"/>
      <c r="N343" s="101">
        <f t="shared" si="181"/>
        <v>0</v>
      </c>
      <c r="O343" s="101"/>
      <c r="P343" s="101"/>
      <c r="Q343" s="101"/>
      <c r="R343" s="101"/>
      <c r="S343" s="101"/>
      <c r="T343" s="101">
        <f t="shared" si="179"/>
        <v>0</v>
      </c>
      <c r="U343" s="104">
        <f t="shared" si="180"/>
        <v>0</v>
      </c>
      <c r="V343" s="104"/>
      <c r="W343" s="104"/>
      <c r="X343" s="104"/>
      <c r="Y343" s="104"/>
      <c r="Z343" s="104"/>
      <c r="AA343" s="112" t="e">
        <f t="shared" si="175"/>
        <v>#DIV/0!</v>
      </c>
      <c r="AB343" s="101">
        <f t="shared" si="176"/>
        <v>0</v>
      </c>
    </row>
    <row r="344" spans="1:28" s="75" customFormat="1" ht="80.25" customHeight="1" x14ac:dyDescent="0.25">
      <c r="A344" s="1" t="s">
        <v>655</v>
      </c>
      <c r="B344" s="3">
        <v>1261</v>
      </c>
      <c r="C344" s="1" t="s">
        <v>57</v>
      </c>
      <c r="D344" s="38" t="s">
        <v>674</v>
      </c>
      <c r="E344" s="101">
        <f t="shared" si="177"/>
        <v>0</v>
      </c>
      <c r="F344" s="101"/>
      <c r="G344" s="101"/>
      <c r="H344" s="101"/>
      <c r="I344" s="101"/>
      <c r="J344" s="101"/>
      <c r="K344" s="101"/>
      <c r="L344" s="101"/>
      <c r="M344" s="112"/>
      <c r="N344" s="101">
        <f t="shared" si="181"/>
        <v>8476319</v>
      </c>
      <c r="O344" s="101">
        <f>100000+1000000+7376319</f>
        <v>8476319</v>
      </c>
      <c r="P344" s="101"/>
      <c r="Q344" s="101"/>
      <c r="R344" s="101"/>
      <c r="S344" s="101">
        <f>100000+1000000+7376319</f>
        <v>8476319</v>
      </c>
      <c r="T344" s="101">
        <f t="shared" si="179"/>
        <v>8476319</v>
      </c>
      <c r="U344" s="104">
        <f t="shared" si="180"/>
        <v>2147436.7999999998</v>
      </c>
      <c r="V344" s="104">
        <v>2147436.7999999998</v>
      </c>
      <c r="W344" s="104"/>
      <c r="X344" s="104"/>
      <c r="Y344" s="104"/>
      <c r="Z344" s="104">
        <v>2147436.7999999998</v>
      </c>
      <c r="AA344" s="112">
        <f t="shared" si="175"/>
        <v>25.334544393621805</v>
      </c>
      <c r="AB344" s="101">
        <f t="shared" si="176"/>
        <v>2147436.7999999998</v>
      </c>
    </row>
    <row r="345" spans="1:28" s="75" customFormat="1" ht="63" x14ac:dyDescent="0.25">
      <c r="A345" s="1" t="s">
        <v>656</v>
      </c>
      <c r="B345" s="3">
        <v>1262</v>
      </c>
      <c r="C345" s="1" t="s">
        <v>57</v>
      </c>
      <c r="D345" s="38" t="s">
        <v>708</v>
      </c>
      <c r="E345" s="101">
        <f t="shared" si="177"/>
        <v>0</v>
      </c>
      <c r="F345" s="101"/>
      <c r="G345" s="101"/>
      <c r="H345" s="101"/>
      <c r="I345" s="101"/>
      <c r="J345" s="101"/>
      <c r="K345" s="101"/>
      <c r="L345" s="101"/>
      <c r="M345" s="112"/>
      <c r="N345" s="101">
        <f t="shared" si="181"/>
        <v>17211412</v>
      </c>
      <c r="O345" s="101">
        <v>17211412</v>
      </c>
      <c r="P345" s="101"/>
      <c r="Q345" s="101"/>
      <c r="R345" s="101"/>
      <c r="S345" s="101">
        <v>17211412</v>
      </c>
      <c r="T345" s="101">
        <f t="shared" si="179"/>
        <v>17211412</v>
      </c>
      <c r="U345" s="104">
        <f t="shared" si="180"/>
        <v>4732732</v>
      </c>
      <c r="V345" s="104">
        <v>4732732</v>
      </c>
      <c r="W345" s="104"/>
      <c r="X345" s="104"/>
      <c r="Y345" s="104"/>
      <c r="Z345" s="104">
        <v>4732732</v>
      </c>
      <c r="AA345" s="112">
        <f t="shared" si="175"/>
        <v>27.497639356956881</v>
      </c>
      <c r="AB345" s="101">
        <f t="shared" si="176"/>
        <v>4732732</v>
      </c>
    </row>
    <row r="346" spans="1:28" s="5" customFormat="1" ht="57" customHeight="1" x14ac:dyDescent="0.25">
      <c r="A346" s="41"/>
      <c r="B346" s="28"/>
      <c r="C346" s="41"/>
      <c r="D346" s="39" t="s">
        <v>706</v>
      </c>
      <c r="E346" s="105">
        <f t="shared" si="177"/>
        <v>0</v>
      </c>
      <c r="F346" s="105"/>
      <c r="G346" s="105"/>
      <c r="H346" s="105"/>
      <c r="I346" s="105"/>
      <c r="J346" s="105"/>
      <c r="K346" s="105"/>
      <c r="L346" s="105"/>
      <c r="M346" s="112"/>
      <c r="N346" s="105">
        <f>P346+S346</f>
        <v>17211412</v>
      </c>
      <c r="O346" s="105">
        <v>17211412</v>
      </c>
      <c r="P346" s="105"/>
      <c r="Q346" s="105"/>
      <c r="R346" s="105"/>
      <c r="S346" s="105">
        <v>17211412</v>
      </c>
      <c r="T346" s="105">
        <f t="shared" si="179"/>
        <v>17211412</v>
      </c>
      <c r="U346" s="104">
        <f t="shared" si="180"/>
        <v>4732732</v>
      </c>
      <c r="V346" s="106">
        <v>4732732</v>
      </c>
      <c r="W346" s="106"/>
      <c r="X346" s="106"/>
      <c r="Y346" s="106"/>
      <c r="Z346" s="106">
        <v>4732732</v>
      </c>
      <c r="AA346" s="112">
        <f t="shared" si="175"/>
        <v>27.497639356956881</v>
      </c>
      <c r="AB346" s="105">
        <f t="shared" si="176"/>
        <v>4732732</v>
      </c>
    </row>
    <row r="347" spans="1:28" s="75" customFormat="1" ht="65.25" customHeight="1" x14ac:dyDescent="0.25">
      <c r="A347" s="1" t="s">
        <v>203</v>
      </c>
      <c r="B347" s="3" t="str">
        <f>'дод 5'!A188</f>
        <v>6084</v>
      </c>
      <c r="C347" s="3" t="str">
        <f>'дод 5'!B188</f>
        <v>0610</v>
      </c>
      <c r="D347" s="38" t="str">
        <f>'дод 5'!C188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47" s="101">
        <f t="shared" si="177"/>
        <v>0</v>
      </c>
      <c r="F347" s="101"/>
      <c r="G347" s="101"/>
      <c r="H347" s="101"/>
      <c r="I347" s="101"/>
      <c r="J347" s="101"/>
      <c r="K347" s="101"/>
      <c r="L347" s="101"/>
      <c r="M347" s="112"/>
      <c r="N347" s="101">
        <f t="shared" ref="N347:N371" si="182">P347+S347</f>
        <v>412200</v>
      </c>
      <c r="O347" s="101"/>
      <c r="P347" s="101"/>
      <c r="Q347" s="101"/>
      <c r="R347" s="101"/>
      <c r="S347" s="101">
        <v>412200</v>
      </c>
      <c r="T347" s="101">
        <f t="shared" si="179"/>
        <v>412200</v>
      </c>
      <c r="U347" s="104">
        <f t="shared" si="180"/>
        <v>63283.22</v>
      </c>
      <c r="V347" s="104"/>
      <c r="W347" s="104">
        <v>63283.22</v>
      </c>
      <c r="X347" s="104"/>
      <c r="Y347" s="104"/>
      <c r="Z347" s="104"/>
      <c r="AA347" s="112">
        <f t="shared" si="175"/>
        <v>15.352552159146047</v>
      </c>
      <c r="AB347" s="101">
        <f t="shared" si="176"/>
        <v>63283.22</v>
      </c>
    </row>
    <row r="348" spans="1:28" s="75" customFormat="1" ht="31.5" x14ac:dyDescent="0.25">
      <c r="A348" s="1" t="s">
        <v>272</v>
      </c>
      <c r="B348" s="3" t="str">
        <f>'дод 5'!A206</f>
        <v>7310</v>
      </c>
      <c r="C348" s="3" t="str">
        <f>'дод 5'!B206</f>
        <v>0443</v>
      </c>
      <c r="D348" s="38" t="s">
        <v>645</v>
      </c>
      <c r="E348" s="101">
        <f t="shared" si="177"/>
        <v>0</v>
      </c>
      <c r="F348" s="101"/>
      <c r="G348" s="101"/>
      <c r="H348" s="101"/>
      <c r="I348" s="101"/>
      <c r="J348" s="101"/>
      <c r="K348" s="101"/>
      <c r="L348" s="101"/>
      <c r="M348" s="112"/>
      <c r="N348" s="101">
        <f t="shared" si="182"/>
        <v>1900320</v>
      </c>
      <c r="O348" s="101">
        <f>537260+400000+963060-400000+400000</f>
        <v>1900320</v>
      </c>
      <c r="P348" s="101"/>
      <c r="Q348" s="101"/>
      <c r="R348" s="101"/>
      <c r="S348" s="101">
        <f>537260+400000+963060-400000+400000</f>
        <v>1900320</v>
      </c>
      <c r="T348" s="101">
        <f t="shared" si="179"/>
        <v>1900320</v>
      </c>
      <c r="U348" s="104">
        <f t="shared" si="180"/>
        <v>0</v>
      </c>
      <c r="V348" s="104"/>
      <c r="W348" s="104"/>
      <c r="X348" s="104"/>
      <c r="Y348" s="104"/>
      <c r="Z348" s="104"/>
      <c r="AA348" s="112">
        <f t="shared" si="175"/>
        <v>0</v>
      </c>
      <c r="AB348" s="101">
        <f t="shared" si="176"/>
        <v>0</v>
      </c>
    </row>
    <row r="349" spans="1:28" s="75" customFormat="1" ht="20.65" customHeight="1" x14ac:dyDescent="0.25">
      <c r="A349" s="1" t="s">
        <v>273</v>
      </c>
      <c r="B349" s="3" t="str">
        <f>'дод 5'!A208</f>
        <v>7321</v>
      </c>
      <c r="C349" s="3" t="str">
        <f>'дод 5'!B208</f>
        <v>0443</v>
      </c>
      <c r="D349" s="4" t="str">
        <f>'дод 5'!C208</f>
        <v>Будівництво1 освітніх установ та закладів</v>
      </c>
      <c r="E349" s="101">
        <f t="shared" si="177"/>
        <v>0</v>
      </c>
      <c r="F349" s="101"/>
      <c r="G349" s="101"/>
      <c r="H349" s="101"/>
      <c r="I349" s="101"/>
      <c r="J349" s="101"/>
      <c r="K349" s="101"/>
      <c r="L349" s="101"/>
      <c r="M349" s="112"/>
      <c r="N349" s="101">
        <f t="shared" si="182"/>
        <v>37415574</v>
      </c>
      <c r="O349" s="101">
        <f>5000000+225574+300000+600000+600000+600000+670000+7276319+29520000-7376319</f>
        <v>37415574</v>
      </c>
      <c r="P349" s="101"/>
      <c r="Q349" s="101"/>
      <c r="R349" s="101"/>
      <c r="S349" s="101">
        <f>5000000+225574+300000+600000+600000+600000+670000+7276319+29520000-7376319</f>
        <v>37415574</v>
      </c>
      <c r="T349" s="101">
        <f t="shared" si="179"/>
        <v>37415574</v>
      </c>
      <c r="U349" s="104">
        <f t="shared" si="180"/>
        <v>1036950</v>
      </c>
      <c r="V349" s="104">
        <v>1036950</v>
      </c>
      <c r="W349" s="104"/>
      <c r="X349" s="104"/>
      <c r="Y349" s="104"/>
      <c r="Z349" s="104">
        <v>1036950</v>
      </c>
      <c r="AA349" s="112">
        <f t="shared" si="175"/>
        <v>2.7714395080508454</v>
      </c>
      <c r="AB349" s="101">
        <f t="shared" si="176"/>
        <v>1036950</v>
      </c>
    </row>
    <row r="350" spans="1:28" s="75" customFormat="1" ht="20.25" customHeight="1" x14ac:dyDescent="0.25">
      <c r="A350" s="1" t="s">
        <v>275</v>
      </c>
      <c r="B350" s="3" t="str">
        <f>'дод 5'!A210</f>
        <v>7322</v>
      </c>
      <c r="C350" s="3" t="str">
        <f>'дод 5'!B210</f>
        <v>0443</v>
      </c>
      <c r="D350" s="4" t="str">
        <f>'дод 5'!C210</f>
        <v>Будівництво1 медичних установ та закладів</v>
      </c>
      <c r="E350" s="101">
        <f t="shared" si="177"/>
        <v>0</v>
      </c>
      <c r="F350" s="101"/>
      <c r="G350" s="101"/>
      <c r="H350" s="101"/>
      <c r="I350" s="101"/>
      <c r="J350" s="101"/>
      <c r="K350" s="101"/>
      <c r="L350" s="101"/>
      <c r="M350" s="112"/>
      <c r="N350" s="101">
        <f t="shared" si="182"/>
        <v>10228612</v>
      </c>
      <c r="O350" s="101">
        <f>8000000+1256612+80000+892000</f>
        <v>10228612</v>
      </c>
      <c r="P350" s="101"/>
      <c r="Q350" s="101"/>
      <c r="R350" s="101"/>
      <c r="S350" s="101">
        <f>8000000+1256612+80000+892000</f>
        <v>10228612</v>
      </c>
      <c r="T350" s="101">
        <f t="shared" si="179"/>
        <v>10228612</v>
      </c>
      <c r="U350" s="104">
        <f t="shared" si="180"/>
        <v>140232.79999999999</v>
      </c>
      <c r="V350" s="104">
        <v>140232.79999999999</v>
      </c>
      <c r="W350" s="104"/>
      <c r="X350" s="104"/>
      <c r="Y350" s="104"/>
      <c r="Z350" s="104">
        <v>140232.79999999999</v>
      </c>
      <c r="AA350" s="112">
        <f t="shared" si="175"/>
        <v>1.3709856234648452</v>
      </c>
      <c r="AB350" s="101">
        <f t="shared" si="176"/>
        <v>140232.79999999999</v>
      </c>
    </row>
    <row r="351" spans="1:28" s="75" customFormat="1" ht="26.25" hidden="1" customHeight="1" x14ac:dyDescent="0.25">
      <c r="A351" s="1" t="s">
        <v>519</v>
      </c>
      <c r="B351" s="3">
        <v>7324</v>
      </c>
      <c r="C351" s="3">
        <v>443</v>
      </c>
      <c r="D351" s="4" t="str">
        <f>'дод 5'!C212</f>
        <v>Будівництво1 установ та закладів культури</v>
      </c>
      <c r="E351" s="101">
        <f t="shared" si="177"/>
        <v>0</v>
      </c>
      <c r="F351" s="101"/>
      <c r="G351" s="101"/>
      <c r="H351" s="101"/>
      <c r="I351" s="101"/>
      <c r="J351" s="101"/>
      <c r="K351" s="101"/>
      <c r="L351" s="101"/>
      <c r="M351" s="112"/>
      <c r="N351" s="101">
        <f t="shared" si="182"/>
        <v>0</v>
      </c>
      <c r="O351" s="101"/>
      <c r="P351" s="101"/>
      <c r="Q351" s="101"/>
      <c r="R351" s="101"/>
      <c r="S351" s="101"/>
      <c r="T351" s="101">
        <f t="shared" si="179"/>
        <v>0</v>
      </c>
      <c r="U351" s="104">
        <f t="shared" si="180"/>
        <v>0</v>
      </c>
      <c r="V351" s="104"/>
      <c r="W351" s="104"/>
      <c r="X351" s="104"/>
      <c r="Y351" s="104"/>
      <c r="Z351" s="104"/>
      <c r="AA351" s="112" t="e">
        <f t="shared" si="175"/>
        <v>#DIV/0!</v>
      </c>
      <c r="AB351" s="101">
        <f t="shared" si="176"/>
        <v>0</v>
      </c>
    </row>
    <row r="352" spans="1:28" s="75" customFormat="1" ht="32.25" customHeight="1" x14ac:dyDescent="0.25">
      <c r="A352" s="1" t="s">
        <v>353</v>
      </c>
      <c r="B352" s="3">
        <f>'дод 5'!A213</f>
        <v>7325</v>
      </c>
      <c r="C352" s="1" t="s">
        <v>110</v>
      </c>
      <c r="D352" s="4" t="str">
        <f>'дод 5'!C213</f>
        <v>Будівництво1 споруд, установ та закладів фізичної культури і спорту</v>
      </c>
      <c r="E352" s="101">
        <f t="shared" si="177"/>
        <v>0</v>
      </c>
      <c r="F352" s="101"/>
      <c r="G352" s="101"/>
      <c r="H352" s="101"/>
      <c r="I352" s="101"/>
      <c r="J352" s="101"/>
      <c r="K352" s="101"/>
      <c r="L352" s="101"/>
      <c r="M352" s="112"/>
      <c r="N352" s="101">
        <f t="shared" si="182"/>
        <v>250000</v>
      </c>
      <c r="O352" s="101">
        <v>250000</v>
      </c>
      <c r="P352" s="101"/>
      <c r="Q352" s="101"/>
      <c r="R352" s="101"/>
      <c r="S352" s="101">
        <v>250000</v>
      </c>
      <c r="T352" s="101">
        <f t="shared" si="179"/>
        <v>250000</v>
      </c>
      <c r="U352" s="104">
        <f t="shared" si="180"/>
        <v>0</v>
      </c>
      <c r="V352" s="104"/>
      <c r="W352" s="104"/>
      <c r="X352" s="104"/>
      <c r="Y352" s="104"/>
      <c r="Z352" s="104"/>
      <c r="AA352" s="112">
        <f t="shared" si="175"/>
        <v>0</v>
      </c>
      <c r="AB352" s="101">
        <f t="shared" si="176"/>
        <v>0</v>
      </c>
    </row>
    <row r="353" spans="1:28" s="75" customFormat="1" ht="30.75" customHeight="1" x14ac:dyDescent="0.25">
      <c r="A353" s="1" t="s">
        <v>277</v>
      </c>
      <c r="B353" s="3" t="str">
        <f>'дод 5'!A214</f>
        <v>7330</v>
      </c>
      <c r="C353" s="3" t="str">
        <f>'дод 5'!B214</f>
        <v>0443</v>
      </c>
      <c r="D353" s="4" t="str">
        <f>'дод 5'!C214</f>
        <v>Будівництво1 інших об'єктів комунальної власності</v>
      </c>
      <c r="E353" s="101">
        <f t="shared" si="177"/>
        <v>0</v>
      </c>
      <c r="F353" s="101"/>
      <c r="G353" s="101"/>
      <c r="H353" s="101"/>
      <c r="I353" s="101"/>
      <c r="J353" s="101"/>
      <c r="K353" s="101"/>
      <c r="L353" s="101"/>
      <c r="M353" s="112"/>
      <c r="N353" s="101">
        <f t="shared" si="182"/>
        <v>2979160</v>
      </c>
      <c r="O353" s="101">
        <f>500000+135270+743890+1600000</f>
        <v>2979160</v>
      </c>
      <c r="P353" s="101"/>
      <c r="Q353" s="101"/>
      <c r="R353" s="101"/>
      <c r="S353" s="101">
        <f>500000+135270+743890+1600000</f>
        <v>2979160</v>
      </c>
      <c r="T353" s="101">
        <f t="shared" si="179"/>
        <v>2979160</v>
      </c>
      <c r="U353" s="104">
        <f t="shared" si="180"/>
        <v>153325</v>
      </c>
      <c r="V353" s="104">
        <v>153325</v>
      </c>
      <c r="W353" s="104"/>
      <c r="X353" s="104"/>
      <c r="Y353" s="104"/>
      <c r="Z353" s="104">
        <v>153325</v>
      </c>
      <c r="AA353" s="112">
        <f t="shared" si="175"/>
        <v>5.1465849434068662</v>
      </c>
      <c r="AB353" s="101">
        <f t="shared" si="176"/>
        <v>153325</v>
      </c>
    </row>
    <row r="354" spans="1:28" s="75" customFormat="1" ht="28.5" customHeight="1" x14ac:dyDescent="0.25">
      <c r="A354" s="1" t="s">
        <v>412</v>
      </c>
      <c r="B354" s="3">
        <v>7340</v>
      </c>
      <c r="C354" s="1" t="s">
        <v>110</v>
      </c>
      <c r="D354" s="38" t="s">
        <v>1</v>
      </c>
      <c r="E354" s="101">
        <f t="shared" si="177"/>
        <v>0</v>
      </c>
      <c r="F354" s="101"/>
      <c r="G354" s="101"/>
      <c r="H354" s="101"/>
      <c r="I354" s="101"/>
      <c r="J354" s="101"/>
      <c r="K354" s="101"/>
      <c r="L354" s="101"/>
      <c r="M354" s="112"/>
      <c r="N354" s="101">
        <f t="shared" si="182"/>
        <v>7807879</v>
      </c>
      <c r="O354" s="101">
        <f>450000+7357879</f>
        <v>7807879</v>
      </c>
      <c r="P354" s="101"/>
      <c r="Q354" s="101"/>
      <c r="R354" s="101"/>
      <c r="S354" s="101">
        <f>450000+7357879</f>
        <v>7807879</v>
      </c>
      <c r="T354" s="101">
        <f t="shared" si="179"/>
        <v>7807879</v>
      </c>
      <c r="U354" s="104">
        <f t="shared" si="180"/>
        <v>4399580</v>
      </c>
      <c r="V354" s="104">
        <v>4399580</v>
      </c>
      <c r="W354" s="104"/>
      <c r="X354" s="104"/>
      <c r="Y354" s="104"/>
      <c r="Z354" s="104">
        <v>4399580</v>
      </c>
      <c r="AA354" s="112">
        <f t="shared" si="175"/>
        <v>56.347953138105758</v>
      </c>
      <c r="AB354" s="101">
        <f t="shared" si="176"/>
        <v>4399580</v>
      </c>
    </row>
    <row r="355" spans="1:28" s="75" customFormat="1" ht="53.25" customHeight="1" x14ac:dyDescent="0.25">
      <c r="A355" s="1" t="s">
        <v>365</v>
      </c>
      <c r="B355" s="3">
        <f>'дод 5'!A217</f>
        <v>7361</v>
      </c>
      <c r="C355" s="3" t="str">
        <f>'дод 5'!B217</f>
        <v>0490</v>
      </c>
      <c r="D355" s="38" t="str">
        <f>'дод 5'!C217</f>
        <v>Співфінансування інвестиційних проектів, що реалізуються за рахунок коштів державного фонду регіонального розвитку</v>
      </c>
      <c r="E355" s="101">
        <f t="shared" ref="E355" si="183">F355+I355</f>
        <v>0</v>
      </c>
      <c r="F355" s="101"/>
      <c r="G355" s="101"/>
      <c r="H355" s="101"/>
      <c r="I355" s="101"/>
      <c r="J355" s="101"/>
      <c r="K355" s="101"/>
      <c r="L355" s="101"/>
      <c r="M355" s="112"/>
      <c r="N355" s="101">
        <f t="shared" ref="N355" si="184">P355+S355</f>
        <v>120000</v>
      </c>
      <c r="O355" s="101">
        <v>120000</v>
      </c>
      <c r="P355" s="101"/>
      <c r="Q355" s="101"/>
      <c r="R355" s="101"/>
      <c r="S355" s="101">
        <v>120000</v>
      </c>
      <c r="T355" s="101">
        <f t="shared" si="179"/>
        <v>120000</v>
      </c>
      <c r="U355" s="104">
        <f t="shared" si="180"/>
        <v>68208.600000000006</v>
      </c>
      <c r="V355" s="104">
        <v>68208.600000000006</v>
      </c>
      <c r="W355" s="104"/>
      <c r="X355" s="104"/>
      <c r="Y355" s="104"/>
      <c r="Z355" s="104">
        <v>68208.600000000006</v>
      </c>
      <c r="AA355" s="112">
        <f t="shared" si="175"/>
        <v>56.840500000000006</v>
      </c>
      <c r="AB355" s="101">
        <f t="shared" si="176"/>
        <v>68208.600000000006</v>
      </c>
    </row>
    <row r="356" spans="1:28" s="75" customFormat="1" ht="47.25" hidden="1" customHeight="1" x14ac:dyDescent="0.25">
      <c r="A356" s="1" t="s">
        <v>360</v>
      </c>
      <c r="B356" s="3">
        <v>7363</v>
      </c>
      <c r="C356" s="1" t="s">
        <v>81</v>
      </c>
      <c r="D356" s="38" t="s">
        <v>601</v>
      </c>
      <c r="E356" s="101">
        <f t="shared" si="177"/>
        <v>0</v>
      </c>
      <c r="F356" s="101"/>
      <c r="G356" s="101"/>
      <c r="H356" s="101"/>
      <c r="I356" s="101"/>
      <c r="J356" s="101"/>
      <c r="K356" s="101"/>
      <c r="L356" s="101"/>
      <c r="M356" s="112"/>
      <c r="N356" s="101">
        <f t="shared" si="182"/>
        <v>0</v>
      </c>
      <c r="O356" s="101"/>
      <c r="P356" s="101"/>
      <c r="Q356" s="101"/>
      <c r="R356" s="101"/>
      <c r="S356" s="101"/>
      <c r="T356" s="101">
        <f t="shared" si="179"/>
        <v>0</v>
      </c>
      <c r="U356" s="104">
        <f t="shared" si="180"/>
        <v>0</v>
      </c>
      <c r="V356" s="104"/>
      <c r="W356" s="104"/>
      <c r="X356" s="104"/>
      <c r="Y356" s="104"/>
      <c r="Z356" s="104"/>
      <c r="AA356" s="112" t="e">
        <f t="shared" si="175"/>
        <v>#DIV/0!</v>
      </c>
      <c r="AB356" s="101">
        <f t="shared" si="176"/>
        <v>0</v>
      </c>
    </row>
    <row r="357" spans="1:28" s="5" customFormat="1" ht="63" hidden="1" customHeight="1" x14ac:dyDescent="0.25">
      <c r="A357" s="41"/>
      <c r="B357" s="28"/>
      <c r="C357" s="41"/>
      <c r="D357" s="39" t="s">
        <v>597</v>
      </c>
      <c r="E357" s="105">
        <f t="shared" si="177"/>
        <v>0</v>
      </c>
      <c r="F357" s="105"/>
      <c r="G357" s="105"/>
      <c r="H357" s="105"/>
      <c r="I357" s="105"/>
      <c r="J357" s="105"/>
      <c r="K357" s="105"/>
      <c r="L357" s="105"/>
      <c r="M357" s="112"/>
      <c r="N357" s="105">
        <f t="shared" ref="N357" si="185">P357+S357</f>
        <v>0</v>
      </c>
      <c r="O357" s="105"/>
      <c r="P357" s="105"/>
      <c r="Q357" s="105"/>
      <c r="R357" s="105"/>
      <c r="S357" s="105"/>
      <c r="T357" s="105">
        <f t="shared" ref="T357" si="186">E357+N357</f>
        <v>0</v>
      </c>
      <c r="U357" s="104">
        <f t="shared" si="180"/>
        <v>0</v>
      </c>
      <c r="V357" s="106"/>
      <c r="W357" s="106"/>
      <c r="X357" s="106"/>
      <c r="Y357" s="106"/>
      <c r="Z357" s="106"/>
      <c r="AA357" s="112" t="e">
        <f t="shared" si="175"/>
        <v>#DIV/0!</v>
      </c>
      <c r="AB357" s="101">
        <f t="shared" si="176"/>
        <v>0</v>
      </c>
    </row>
    <row r="358" spans="1:28" s="75" customFormat="1" ht="31.5" hidden="1" customHeight="1" x14ac:dyDescent="0.25">
      <c r="A358" s="1" t="s">
        <v>414</v>
      </c>
      <c r="B358" s="3">
        <v>7370</v>
      </c>
      <c r="C358" s="1" t="s">
        <v>81</v>
      </c>
      <c r="D358" s="38" t="s">
        <v>415</v>
      </c>
      <c r="E358" s="101">
        <f>F358+I358</f>
        <v>0</v>
      </c>
      <c r="F358" s="101"/>
      <c r="G358" s="101"/>
      <c r="H358" s="101"/>
      <c r="I358" s="101"/>
      <c r="J358" s="101"/>
      <c r="K358" s="101"/>
      <c r="L358" s="101"/>
      <c r="M358" s="112"/>
      <c r="N358" s="101">
        <f t="shared" si="182"/>
        <v>0</v>
      </c>
      <c r="O358" s="101"/>
      <c r="P358" s="101"/>
      <c r="Q358" s="101"/>
      <c r="R358" s="101"/>
      <c r="S358" s="101"/>
      <c r="T358" s="101">
        <f t="shared" si="179"/>
        <v>0</v>
      </c>
      <c r="U358" s="104">
        <f t="shared" si="180"/>
        <v>0</v>
      </c>
      <c r="V358" s="104"/>
      <c r="W358" s="104"/>
      <c r="X358" s="104"/>
      <c r="Y358" s="104"/>
      <c r="Z358" s="104"/>
      <c r="AA358" s="112" t="e">
        <f t="shared" si="175"/>
        <v>#DIV/0!</v>
      </c>
      <c r="AB358" s="101">
        <f t="shared" si="176"/>
        <v>0</v>
      </c>
    </row>
    <row r="359" spans="1:28" s="75" customFormat="1" ht="21" customHeight="1" x14ac:dyDescent="0.25">
      <c r="A359" s="1" t="s">
        <v>143</v>
      </c>
      <c r="B359" s="3" t="str">
        <f>'дод 5'!A249</f>
        <v>7640</v>
      </c>
      <c r="C359" s="3" t="str">
        <f>'дод 5'!B249</f>
        <v>0470</v>
      </c>
      <c r="D359" s="38" t="str">
        <f>'дод 5'!C249</f>
        <v>Заходи з енергозбереження, у т. ч. за рахунок:</v>
      </c>
      <c r="E359" s="101">
        <f t="shared" si="177"/>
        <v>985324</v>
      </c>
      <c r="F359" s="101">
        <v>985324</v>
      </c>
      <c r="G359" s="101"/>
      <c r="H359" s="101"/>
      <c r="I359" s="101"/>
      <c r="J359" s="101"/>
      <c r="K359" s="101"/>
      <c r="L359" s="101"/>
      <c r="M359" s="112"/>
      <c r="N359" s="101">
        <f t="shared" si="182"/>
        <v>135266753</v>
      </c>
      <c r="O359" s="101">
        <f>92681686+42207900+241882+135285</f>
        <v>135266753</v>
      </c>
      <c r="P359" s="101"/>
      <c r="Q359" s="101"/>
      <c r="R359" s="101"/>
      <c r="S359" s="101">
        <f>92681686+42207900+241882+135285</f>
        <v>135266753</v>
      </c>
      <c r="T359" s="101">
        <f t="shared" si="179"/>
        <v>136252077</v>
      </c>
      <c r="U359" s="104">
        <f t="shared" si="180"/>
        <v>9305922</v>
      </c>
      <c r="V359" s="104">
        <v>9305922</v>
      </c>
      <c r="W359" s="104"/>
      <c r="X359" s="104"/>
      <c r="Y359" s="104"/>
      <c r="Z359" s="104">
        <v>9305922</v>
      </c>
      <c r="AA359" s="112">
        <f t="shared" si="175"/>
        <v>6.8796816613170275</v>
      </c>
      <c r="AB359" s="101">
        <f t="shared" si="176"/>
        <v>9305922</v>
      </c>
    </row>
    <row r="360" spans="1:28" s="5" customFormat="1" ht="17.25" customHeight="1" x14ac:dyDescent="0.25">
      <c r="A360" s="41"/>
      <c r="B360" s="28"/>
      <c r="C360" s="28"/>
      <c r="D360" s="39" t="s">
        <v>407</v>
      </c>
      <c r="E360" s="105">
        <f t="shared" si="177"/>
        <v>0</v>
      </c>
      <c r="F360" s="105"/>
      <c r="G360" s="105"/>
      <c r="H360" s="105"/>
      <c r="I360" s="105"/>
      <c r="J360" s="105"/>
      <c r="K360" s="105"/>
      <c r="L360" s="105"/>
      <c r="M360" s="112"/>
      <c r="N360" s="105">
        <f t="shared" si="182"/>
        <v>61868709</v>
      </c>
      <c r="O360" s="105">
        <v>61868709</v>
      </c>
      <c r="P360" s="105"/>
      <c r="Q360" s="105"/>
      <c r="R360" s="105"/>
      <c r="S360" s="105">
        <v>61868709</v>
      </c>
      <c r="T360" s="105">
        <f t="shared" si="179"/>
        <v>61868709</v>
      </c>
      <c r="U360" s="104">
        <f t="shared" si="180"/>
        <v>0</v>
      </c>
      <c r="V360" s="106"/>
      <c r="W360" s="106"/>
      <c r="X360" s="106"/>
      <c r="Y360" s="106"/>
      <c r="Z360" s="106"/>
      <c r="AA360" s="112">
        <f t="shared" si="175"/>
        <v>0</v>
      </c>
      <c r="AB360" s="105">
        <f t="shared" si="176"/>
        <v>0</v>
      </c>
    </row>
    <row r="361" spans="1:28" s="5" customFormat="1" ht="55.5" customHeight="1" x14ac:dyDescent="0.25">
      <c r="A361" s="41"/>
      <c r="B361" s="28"/>
      <c r="C361" s="28"/>
      <c r="D361" s="39" t="s">
        <v>690</v>
      </c>
      <c r="E361" s="105"/>
      <c r="F361" s="105"/>
      <c r="G361" s="105"/>
      <c r="H361" s="105"/>
      <c r="I361" s="105"/>
      <c r="J361" s="105"/>
      <c r="K361" s="105"/>
      <c r="L361" s="105"/>
      <c r="M361" s="112"/>
      <c r="N361" s="105">
        <f t="shared" si="182"/>
        <v>42207900</v>
      </c>
      <c r="O361" s="105">
        <v>42207900</v>
      </c>
      <c r="P361" s="105"/>
      <c r="Q361" s="105"/>
      <c r="R361" s="105"/>
      <c r="S361" s="105">
        <v>42207900</v>
      </c>
      <c r="T361" s="105">
        <f t="shared" si="179"/>
        <v>42207900</v>
      </c>
      <c r="U361" s="104">
        <f t="shared" si="180"/>
        <v>0</v>
      </c>
      <c r="V361" s="106"/>
      <c r="W361" s="106"/>
      <c r="X361" s="106"/>
      <c r="Y361" s="106"/>
      <c r="Z361" s="106"/>
      <c r="AA361" s="112">
        <f t="shared" si="175"/>
        <v>0</v>
      </c>
      <c r="AB361" s="105">
        <f t="shared" si="176"/>
        <v>0</v>
      </c>
    </row>
    <row r="362" spans="1:28" s="75" customFormat="1" ht="126" hidden="1" customHeight="1" x14ac:dyDescent="0.25">
      <c r="A362" s="1" t="s">
        <v>363</v>
      </c>
      <c r="B362" s="3">
        <v>7691</v>
      </c>
      <c r="C362" s="24" t="s">
        <v>81</v>
      </c>
      <c r="D362" s="38" t="s">
        <v>308</v>
      </c>
      <c r="E362" s="101">
        <f t="shared" si="177"/>
        <v>0</v>
      </c>
      <c r="F362" s="101"/>
      <c r="G362" s="101"/>
      <c r="H362" s="101"/>
      <c r="I362" s="101"/>
      <c r="J362" s="101"/>
      <c r="K362" s="101"/>
      <c r="L362" s="101"/>
      <c r="M362" s="112" t="e">
        <f t="shared" si="178"/>
        <v>#DIV/0!</v>
      </c>
      <c r="N362" s="101">
        <f t="shared" si="182"/>
        <v>0</v>
      </c>
      <c r="O362" s="101"/>
      <c r="P362" s="101"/>
      <c r="Q362" s="101"/>
      <c r="R362" s="101"/>
      <c r="S362" s="101"/>
      <c r="T362" s="101">
        <f t="shared" si="179"/>
        <v>0</v>
      </c>
      <c r="U362" s="104"/>
      <c r="V362" s="104"/>
      <c r="W362" s="104"/>
      <c r="X362" s="104"/>
      <c r="Y362" s="104"/>
      <c r="Z362" s="104"/>
      <c r="AA362" s="112" t="e">
        <f t="shared" si="175"/>
        <v>#DIV/0!</v>
      </c>
      <c r="AB362" s="101">
        <f t="shared" si="176"/>
        <v>0</v>
      </c>
    </row>
    <row r="363" spans="1:28" s="75" customFormat="1" ht="31.5" hidden="1" customHeight="1" x14ac:dyDescent="0.25">
      <c r="A363" s="1" t="s">
        <v>490</v>
      </c>
      <c r="B363" s="3">
        <v>9750</v>
      </c>
      <c r="C363" s="1" t="s">
        <v>44</v>
      </c>
      <c r="D363" s="38" t="s">
        <v>491</v>
      </c>
      <c r="E363" s="101">
        <f t="shared" ref="E363" si="187">F363+I363</f>
        <v>0</v>
      </c>
      <c r="F363" s="101"/>
      <c r="G363" s="101"/>
      <c r="H363" s="101"/>
      <c r="I363" s="101"/>
      <c r="J363" s="101"/>
      <c r="K363" s="101"/>
      <c r="L363" s="101"/>
      <c r="M363" s="112" t="e">
        <f t="shared" si="178"/>
        <v>#DIV/0!</v>
      </c>
      <c r="N363" s="101">
        <f t="shared" ref="N363" si="188">P363+S363</f>
        <v>0</v>
      </c>
      <c r="O363" s="101"/>
      <c r="P363" s="101"/>
      <c r="Q363" s="101"/>
      <c r="R363" s="101"/>
      <c r="S363" s="101"/>
      <c r="T363" s="101">
        <f t="shared" ref="T363" si="189">E363+N363</f>
        <v>0</v>
      </c>
      <c r="U363" s="104"/>
      <c r="V363" s="104"/>
      <c r="W363" s="104"/>
      <c r="X363" s="104"/>
      <c r="Y363" s="104"/>
      <c r="Z363" s="104"/>
      <c r="AA363" s="112" t="e">
        <f t="shared" si="175"/>
        <v>#DIV/0!</v>
      </c>
      <c r="AB363" s="101">
        <f t="shared" si="176"/>
        <v>0</v>
      </c>
    </row>
    <row r="364" spans="1:28" s="74" customFormat="1" ht="33.75" hidden="1" customHeight="1" x14ac:dyDescent="0.25">
      <c r="A364" s="61" t="s">
        <v>204</v>
      </c>
      <c r="B364" s="33"/>
      <c r="C364" s="33"/>
      <c r="D364" s="59" t="s">
        <v>39</v>
      </c>
      <c r="E364" s="100">
        <f>E365</f>
        <v>0</v>
      </c>
      <c r="F364" s="100">
        <f t="shared" ref="F364:N364" si="190">F365</f>
        <v>0</v>
      </c>
      <c r="G364" s="100">
        <f t="shared" si="190"/>
        <v>0</v>
      </c>
      <c r="H364" s="100">
        <f t="shared" si="190"/>
        <v>0</v>
      </c>
      <c r="I364" s="100">
        <f t="shared" si="190"/>
        <v>0</v>
      </c>
      <c r="J364" s="100"/>
      <c r="K364" s="100"/>
      <c r="L364" s="100"/>
      <c r="M364" s="112" t="e">
        <f t="shared" si="178"/>
        <v>#DIV/0!</v>
      </c>
      <c r="N364" s="100">
        <f t="shared" si="190"/>
        <v>0</v>
      </c>
      <c r="O364" s="100">
        <f t="shared" ref="O364" si="191">O365</f>
        <v>0</v>
      </c>
      <c r="P364" s="100">
        <f t="shared" ref="P364" si="192">P365</f>
        <v>0</v>
      </c>
      <c r="Q364" s="100">
        <f t="shared" ref="Q364" si="193">Q365</f>
        <v>0</v>
      </c>
      <c r="R364" s="100">
        <f t="shared" ref="R364" si="194">R365</f>
        <v>0</v>
      </c>
      <c r="S364" s="100">
        <f t="shared" ref="S364:T364" si="195">S365</f>
        <v>0</v>
      </c>
      <c r="T364" s="100">
        <f t="shared" si="195"/>
        <v>0</v>
      </c>
      <c r="U364" s="110"/>
      <c r="V364" s="110"/>
      <c r="W364" s="110"/>
      <c r="X364" s="110"/>
      <c r="Y364" s="110"/>
      <c r="Z364" s="110"/>
      <c r="AA364" s="112" t="e">
        <f t="shared" si="175"/>
        <v>#DIV/0!</v>
      </c>
      <c r="AB364" s="101">
        <f t="shared" si="176"/>
        <v>0</v>
      </c>
    </row>
    <row r="365" spans="1:28" s="9" customFormat="1" ht="35.25" hidden="1" customHeight="1" x14ac:dyDescent="0.25">
      <c r="A365" s="6" t="s">
        <v>205</v>
      </c>
      <c r="B365" s="7"/>
      <c r="C365" s="7"/>
      <c r="D365" s="8" t="s">
        <v>39</v>
      </c>
      <c r="E365" s="102">
        <f>E366+E367+E369+E370+E371+E368</f>
        <v>0</v>
      </c>
      <c r="F365" s="102">
        <f t="shared" ref="F365:T365" si="196">F366+F367+F369+F370+F371+F368</f>
        <v>0</v>
      </c>
      <c r="G365" s="102">
        <f t="shared" si="196"/>
        <v>0</v>
      </c>
      <c r="H365" s="102">
        <f t="shared" si="196"/>
        <v>0</v>
      </c>
      <c r="I365" s="102">
        <f t="shared" si="196"/>
        <v>0</v>
      </c>
      <c r="J365" s="102"/>
      <c r="K365" s="102"/>
      <c r="L365" s="102"/>
      <c r="M365" s="112" t="e">
        <f t="shared" si="178"/>
        <v>#DIV/0!</v>
      </c>
      <c r="N365" s="102">
        <f t="shared" si="196"/>
        <v>0</v>
      </c>
      <c r="O365" s="102">
        <f t="shared" si="196"/>
        <v>0</v>
      </c>
      <c r="P365" s="102">
        <f t="shared" si="196"/>
        <v>0</v>
      </c>
      <c r="Q365" s="102">
        <f t="shared" si="196"/>
        <v>0</v>
      </c>
      <c r="R365" s="102">
        <f t="shared" si="196"/>
        <v>0</v>
      </c>
      <c r="S365" s="102">
        <f t="shared" si="196"/>
        <v>0</v>
      </c>
      <c r="T365" s="102">
        <f t="shared" si="196"/>
        <v>0</v>
      </c>
      <c r="U365" s="103"/>
      <c r="V365" s="103"/>
      <c r="W365" s="103"/>
      <c r="X365" s="103"/>
      <c r="Y365" s="103"/>
      <c r="Z365" s="103"/>
      <c r="AA365" s="112" t="e">
        <f t="shared" si="175"/>
        <v>#DIV/0!</v>
      </c>
      <c r="AB365" s="101">
        <f t="shared" si="176"/>
        <v>0</v>
      </c>
    </row>
    <row r="366" spans="1:28" s="75" customFormat="1" ht="30.75" hidden="1" customHeight="1" x14ac:dyDescent="0.25">
      <c r="A366" s="1" t="s">
        <v>206</v>
      </c>
      <c r="B366" s="3" t="str">
        <f>'дод 5'!A18</f>
        <v>0160</v>
      </c>
      <c r="C366" s="3" t="str">
        <f>'дод 5'!B18</f>
        <v>0111</v>
      </c>
      <c r="D366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66" s="101">
        <f t="shared" ref="E366:E371" si="197">F366+I366</f>
        <v>0</v>
      </c>
      <c r="F366" s="101"/>
      <c r="G366" s="101"/>
      <c r="H366" s="101"/>
      <c r="I366" s="101"/>
      <c r="J366" s="101"/>
      <c r="K366" s="101"/>
      <c r="L366" s="101"/>
      <c r="M366" s="112" t="e">
        <f t="shared" si="178"/>
        <v>#DIV/0!</v>
      </c>
      <c r="N366" s="101">
        <f t="shared" si="182"/>
        <v>0</v>
      </c>
      <c r="O366" s="101"/>
      <c r="P366" s="101"/>
      <c r="Q366" s="101"/>
      <c r="R366" s="101"/>
      <c r="S366" s="101"/>
      <c r="T366" s="101">
        <f t="shared" ref="T366:T371" si="198">E366+N366</f>
        <v>0</v>
      </c>
      <c r="U366" s="104"/>
      <c r="V366" s="104"/>
      <c r="W366" s="104"/>
      <c r="X366" s="104"/>
      <c r="Y366" s="104"/>
      <c r="Z366" s="104"/>
      <c r="AA366" s="112" t="e">
        <f t="shared" si="175"/>
        <v>#DIV/0!</v>
      </c>
      <c r="AB366" s="101">
        <f t="shared" si="176"/>
        <v>0</v>
      </c>
    </row>
    <row r="367" spans="1:28" s="75" customFormat="1" ht="30.75" hidden="1" customHeight="1" x14ac:dyDescent="0.25">
      <c r="A367" s="1" t="s">
        <v>305</v>
      </c>
      <c r="B367" s="3" t="str">
        <f>'дод 5'!A189</f>
        <v>6090</v>
      </c>
      <c r="C367" s="3" t="str">
        <f>'дод 5'!B189</f>
        <v>0640</v>
      </c>
      <c r="D367" s="38" t="str">
        <f>'дод 5'!C189</f>
        <v>Інша діяльність у сфері житлово-комунального господарства</v>
      </c>
      <c r="E367" s="101">
        <f t="shared" si="197"/>
        <v>0</v>
      </c>
      <c r="F367" s="101"/>
      <c r="G367" s="101"/>
      <c r="H367" s="101"/>
      <c r="I367" s="101"/>
      <c r="J367" s="101"/>
      <c r="K367" s="101"/>
      <c r="L367" s="101"/>
      <c r="M367" s="112" t="e">
        <f t="shared" si="178"/>
        <v>#DIV/0!</v>
      </c>
      <c r="N367" s="101">
        <f t="shared" si="182"/>
        <v>0</v>
      </c>
      <c r="O367" s="101"/>
      <c r="P367" s="101"/>
      <c r="Q367" s="101"/>
      <c r="R367" s="101"/>
      <c r="S367" s="101"/>
      <c r="T367" s="101">
        <f t="shared" si="198"/>
        <v>0</v>
      </c>
      <c r="U367" s="104"/>
      <c r="V367" s="104"/>
      <c r="W367" s="104"/>
      <c r="X367" s="104"/>
      <c r="Y367" s="104"/>
      <c r="Z367" s="104"/>
      <c r="AA367" s="112" t="e">
        <f t="shared" si="175"/>
        <v>#DIV/0!</v>
      </c>
      <c r="AB367" s="101">
        <f t="shared" si="176"/>
        <v>0</v>
      </c>
    </row>
    <row r="368" spans="1:28" s="75" customFormat="1" ht="31.5" hidden="1" customHeight="1" x14ac:dyDescent="0.25">
      <c r="A368" s="1" t="s">
        <v>553</v>
      </c>
      <c r="B368" s="3">
        <v>7340</v>
      </c>
      <c r="C368" s="1" t="s">
        <v>110</v>
      </c>
      <c r="D368" s="38" t="str">
        <f>'дод 5'!C215</f>
        <v>Проектування, реставрація та охорона пам'яток архітектури</v>
      </c>
      <c r="E368" s="101">
        <f t="shared" si="197"/>
        <v>0</v>
      </c>
      <c r="F368" s="101"/>
      <c r="G368" s="101"/>
      <c r="H368" s="101"/>
      <c r="I368" s="101"/>
      <c r="J368" s="101"/>
      <c r="K368" s="101"/>
      <c r="L368" s="101"/>
      <c r="M368" s="112" t="e">
        <f t="shared" si="178"/>
        <v>#DIV/0!</v>
      </c>
      <c r="N368" s="101">
        <f t="shared" si="182"/>
        <v>0</v>
      </c>
      <c r="O368" s="101"/>
      <c r="P368" s="101"/>
      <c r="Q368" s="101"/>
      <c r="R368" s="101"/>
      <c r="S368" s="101"/>
      <c r="T368" s="101">
        <f t="shared" si="198"/>
        <v>0</v>
      </c>
      <c r="U368" s="104"/>
      <c r="V368" s="104"/>
      <c r="W368" s="104"/>
      <c r="X368" s="104"/>
      <c r="Y368" s="104"/>
      <c r="Z368" s="104"/>
      <c r="AA368" s="112" t="e">
        <f t="shared" si="175"/>
        <v>#DIV/0!</v>
      </c>
      <c r="AB368" s="101">
        <f t="shared" si="176"/>
        <v>0</v>
      </c>
    </row>
    <row r="369" spans="1:28" s="75" customFormat="1" ht="31.5" hidden="1" customHeight="1" x14ac:dyDescent="0.25">
      <c r="A369" s="1" t="s">
        <v>436</v>
      </c>
      <c r="B369" s="1" t="s">
        <v>437</v>
      </c>
      <c r="C369" s="1" t="s">
        <v>110</v>
      </c>
      <c r="D369" s="38" t="s">
        <v>438</v>
      </c>
      <c r="E369" s="101">
        <f t="shared" si="197"/>
        <v>0</v>
      </c>
      <c r="F369" s="101"/>
      <c r="G369" s="101"/>
      <c r="H369" s="101"/>
      <c r="I369" s="101"/>
      <c r="J369" s="101"/>
      <c r="K369" s="101"/>
      <c r="L369" s="101"/>
      <c r="M369" s="112" t="e">
        <f t="shared" si="178"/>
        <v>#DIV/0!</v>
      </c>
      <c r="N369" s="101">
        <f t="shared" si="182"/>
        <v>0</v>
      </c>
      <c r="O369" s="101">
        <f>900000-900000</f>
        <v>0</v>
      </c>
      <c r="P369" s="101"/>
      <c r="Q369" s="101"/>
      <c r="R369" s="101"/>
      <c r="S369" s="101">
        <f>900000-900000</f>
        <v>0</v>
      </c>
      <c r="T369" s="101">
        <f t="shared" si="198"/>
        <v>0</v>
      </c>
      <c r="U369" s="104"/>
      <c r="V369" s="104"/>
      <c r="W369" s="104"/>
      <c r="X369" s="104"/>
      <c r="Y369" s="104"/>
      <c r="Z369" s="104"/>
      <c r="AA369" s="112" t="e">
        <f t="shared" si="175"/>
        <v>#DIV/0!</v>
      </c>
      <c r="AB369" s="101">
        <f t="shared" si="176"/>
        <v>0</v>
      </c>
    </row>
    <row r="370" spans="1:28" s="75" customFormat="1" ht="31.5" hidden="1" customHeight="1" x14ac:dyDescent="0.25">
      <c r="A370" s="1" t="s">
        <v>512</v>
      </c>
      <c r="B370" s="1" t="s">
        <v>513</v>
      </c>
      <c r="C370" s="1" t="s">
        <v>81</v>
      </c>
      <c r="D370" s="38" t="str">
        <f>'дод 5'!C223</f>
        <v>Реалізація інших заходів щодо соціально-економічного розвитку територій</v>
      </c>
      <c r="E370" s="101">
        <f t="shared" si="197"/>
        <v>0</v>
      </c>
      <c r="F370" s="101"/>
      <c r="G370" s="101"/>
      <c r="H370" s="101"/>
      <c r="I370" s="101"/>
      <c r="J370" s="101"/>
      <c r="K370" s="101"/>
      <c r="L370" s="101"/>
      <c r="M370" s="112" t="e">
        <f t="shared" si="178"/>
        <v>#DIV/0!</v>
      </c>
      <c r="N370" s="101">
        <f t="shared" ref="N370" si="199">P370+S370</f>
        <v>0</v>
      </c>
      <c r="O370" s="101"/>
      <c r="P370" s="101"/>
      <c r="Q370" s="101"/>
      <c r="R370" s="101"/>
      <c r="S370" s="101"/>
      <c r="T370" s="101">
        <f t="shared" si="198"/>
        <v>0</v>
      </c>
      <c r="U370" s="104"/>
      <c r="V370" s="104"/>
      <c r="W370" s="104"/>
      <c r="X370" s="104"/>
      <c r="Y370" s="104"/>
      <c r="Z370" s="104"/>
      <c r="AA370" s="112" t="e">
        <f t="shared" si="175"/>
        <v>#DIV/0!</v>
      </c>
      <c r="AB370" s="101">
        <f t="shared" si="176"/>
        <v>0</v>
      </c>
    </row>
    <row r="371" spans="1:28" s="75" customFormat="1" ht="123" hidden="1" customHeight="1" x14ac:dyDescent="0.25">
      <c r="A371" s="1" t="s">
        <v>293</v>
      </c>
      <c r="B371" s="3" t="str">
        <f>'дод 5'!A258</f>
        <v>7691</v>
      </c>
      <c r="C371" s="3" t="str">
        <f>'дод 5'!B258</f>
        <v>0490</v>
      </c>
      <c r="D371" s="38" t="str">
        <f>'дод 5'!C258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71" s="101">
        <f t="shared" si="197"/>
        <v>0</v>
      </c>
      <c r="F371" s="101"/>
      <c r="G371" s="101"/>
      <c r="H371" s="101"/>
      <c r="I371" s="101"/>
      <c r="J371" s="101"/>
      <c r="K371" s="101"/>
      <c r="L371" s="101"/>
      <c r="M371" s="112" t="e">
        <f t="shared" si="178"/>
        <v>#DIV/0!</v>
      </c>
      <c r="N371" s="101">
        <f t="shared" si="182"/>
        <v>0</v>
      </c>
      <c r="O371" s="101"/>
      <c r="P371" s="101"/>
      <c r="Q371" s="101"/>
      <c r="R371" s="101"/>
      <c r="S371" s="101"/>
      <c r="T371" s="101">
        <f t="shared" si="198"/>
        <v>0</v>
      </c>
      <c r="U371" s="104"/>
      <c r="V371" s="104"/>
      <c r="W371" s="104"/>
      <c r="X371" s="104"/>
      <c r="Y371" s="104"/>
      <c r="Z371" s="104"/>
      <c r="AA371" s="112" t="e">
        <f t="shared" si="175"/>
        <v>#DIV/0!</v>
      </c>
      <c r="AB371" s="101">
        <f t="shared" si="176"/>
        <v>0</v>
      </c>
    </row>
    <row r="372" spans="1:28" s="74" customFormat="1" ht="38.25" customHeight="1" x14ac:dyDescent="0.25">
      <c r="A372" s="61" t="s">
        <v>209</v>
      </c>
      <c r="B372" s="33"/>
      <c r="C372" s="33"/>
      <c r="D372" s="59" t="s">
        <v>41</v>
      </c>
      <c r="E372" s="100">
        <f>E373</f>
        <v>5495700</v>
      </c>
      <c r="F372" s="100">
        <f t="shared" ref="F372:Z373" si="200">F373</f>
        <v>5495700</v>
      </c>
      <c r="G372" s="100">
        <f t="shared" si="200"/>
        <v>4200000</v>
      </c>
      <c r="H372" s="100">
        <f t="shared" si="200"/>
        <v>106200</v>
      </c>
      <c r="I372" s="100">
        <f t="shared" si="200"/>
        <v>0</v>
      </c>
      <c r="J372" s="100">
        <f t="shared" si="200"/>
        <v>2414117.7599999998</v>
      </c>
      <c r="K372" s="100">
        <f t="shared" si="200"/>
        <v>1922079.32</v>
      </c>
      <c r="L372" s="100">
        <f t="shared" si="200"/>
        <v>52735.040000000001</v>
      </c>
      <c r="M372" s="117">
        <f t="shared" si="178"/>
        <v>43.927393416671215</v>
      </c>
      <c r="N372" s="100">
        <f t="shared" si="200"/>
        <v>0</v>
      </c>
      <c r="O372" s="100">
        <f t="shared" si="200"/>
        <v>0</v>
      </c>
      <c r="P372" s="100">
        <f t="shared" si="200"/>
        <v>0</v>
      </c>
      <c r="Q372" s="100">
        <f t="shared" si="200"/>
        <v>0</v>
      </c>
      <c r="R372" s="100">
        <f t="shared" si="200"/>
        <v>0</v>
      </c>
      <c r="S372" s="100">
        <f t="shared" si="200"/>
        <v>0</v>
      </c>
      <c r="T372" s="100">
        <f t="shared" si="200"/>
        <v>5495700</v>
      </c>
      <c r="U372" s="100">
        <f t="shared" si="200"/>
        <v>0</v>
      </c>
      <c r="V372" s="100">
        <f t="shared" si="200"/>
        <v>0</v>
      </c>
      <c r="W372" s="100">
        <f t="shared" si="200"/>
        <v>0</v>
      </c>
      <c r="X372" s="100">
        <f t="shared" si="200"/>
        <v>0</v>
      </c>
      <c r="Y372" s="100">
        <f t="shared" si="200"/>
        <v>0</v>
      </c>
      <c r="Z372" s="100">
        <f t="shared" si="200"/>
        <v>0</v>
      </c>
      <c r="AA372" s="112"/>
      <c r="AB372" s="100">
        <f t="shared" si="176"/>
        <v>2414117.7599999998</v>
      </c>
    </row>
    <row r="373" spans="1:28" s="9" customFormat="1" ht="35.25" customHeight="1" x14ac:dyDescent="0.25">
      <c r="A373" s="6" t="s">
        <v>207</v>
      </c>
      <c r="B373" s="7"/>
      <c r="C373" s="7"/>
      <c r="D373" s="8" t="s">
        <v>41</v>
      </c>
      <c r="E373" s="102">
        <f>E374</f>
        <v>5495700</v>
      </c>
      <c r="F373" s="102">
        <f t="shared" si="200"/>
        <v>5495700</v>
      </c>
      <c r="G373" s="102">
        <f t="shared" si="200"/>
        <v>4200000</v>
      </c>
      <c r="H373" s="102">
        <f t="shared" si="200"/>
        <v>106200</v>
      </c>
      <c r="I373" s="102">
        <f t="shared" si="200"/>
        <v>0</v>
      </c>
      <c r="J373" s="102">
        <f t="shared" si="200"/>
        <v>2414117.7599999998</v>
      </c>
      <c r="K373" s="102">
        <f t="shared" si="200"/>
        <v>1922079.32</v>
      </c>
      <c r="L373" s="102">
        <f t="shared" si="200"/>
        <v>52735.040000000001</v>
      </c>
      <c r="M373" s="118">
        <f t="shared" si="178"/>
        <v>43.927393416671215</v>
      </c>
      <c r="N373" s="102">
        <f t="shared" si="200"/>
        <v>0</v>
      </c>
      <c r="O373" s="102">
        <f t="shared" si="200"/>
        <v>0</v>
      </c>
      <c r="P373" s="102">
        <f t="shared" si="200"/>
        <v>0</v>
      </c>
      <c r="Q373" s="102">
        <f t="shared" si="200"/>
        <v>0</v>
      </c>
      <c r="R373" s="102">
        <f t="shared" si="200"/>
        <v>0</v>
      </c>
      <c r="S373" s="102">
        <f t="shared" si="200"/>
        <v>0</v>
      </c>
      <c r="T373" s="102">
        <f t="shared" si="200"/>
        <v>5495700</v>
      </c>
      <c r="U373" s="102">
        <f t="shared" si="200"/>
        <v>0</v>
      </c>
      <c r="V373" s="102">
        <f t="shared" si="200"/>
        <v>0</v>
      </c>
      <c r="W373" s="102">
        <f t="shared" si="200"/>
        <v>0</v>
      </c>
      <c r="X373" s="102">
        <f t="shared" si="200"/>
        <v>0</v>
      </c>
      <c r="Y373" s="102">
        <f t="shared" si="200"/>
        <v>0</v>
      </c>
      <c r="Z373" s="102">
        <f t="shared" si="200"/>
        <v>0</v>
      </c>
      <c r="AA373" s="112"/>
      <c r="AB373" s="102">
        <f t="shared" si="176"/>
        <v>2414117.7599999998</v>
      </c>
    </row>
    <row r="374" spans="1:28" s="75" customFormat="1" ht="49.5" customHeight="1" x14ac:dyDescent="0.25">
      <c r="A374" s="1" t="s">
        <v>208</v>
      </c>
      <c r="B374" s="3" t="str">
        <f>'дод 5'!A18</f>
        <v>0160</v>
      </c>
      <c r="C374" s="3" t="str">
        <f>'дод 5'!B18</f>
        <v>0111</v>
      </c>
      <c r="D374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74" s="101">
        <f>F374+I374</f>
        <v>5495700</v>
      </c>
      <c r="F374" s="101">
        <f>5078400+417300</f>
        <v>5495700</v>
      </c>
      <c r="G374" s="101">
        <f>3857700+342300</f>
        <v>4200000</v>
      </c>
      <c r="H374" s="101">
        <v>106200</v>
      </c>
      <c r="I374" s="101"/>
      <c r="J374" s="101">
        <v>2414117.7599999998</v>
      </c>
      <c r="K374" s="101">
        <v>1922079.32</v>
      </c>
      <c r="L374" s="101">
        <v>52735.040000000001</v>
      </c>
      <c r="M374" s="112">
        <f t="shared" si="178"/>
        <v>43.927393416671215</v>
      </c>
      <c r="N374" s="101">
        <f>P374+S374</f>
        <v>0</v>
      </c>
      <c r="O374" s="101"/>
      <c r="P374" s="101"/>
      <c r="Q374" s="101"/>
      <c r="R374" s="101"/>
      <c r="S374" s="101"/>
      <c r="T374" s="101">
        <f>E374+N374</f>
        <v>5495700</v>
      </c>
      <c r="U374" s="104">
        <f>W374+Z374</f>
        <v>0</v>
      </c>
      <c r="V374" s="104"/>
      <c r="W374" s="104"/>
      <c r="X374" s="104"/>
      <c r="Y374" s="104"/>
      <c r="Z374" s="104"/>
      <c r="AA374" s="112"/>
      <c r="AB374" s="101">
        <f t="shared" si="176"/>
        <v>2414117.7599999998</v>
      </c>
    </row>
    <row r="375" spans="1:28" s="74" customFormat="1" ht="33" customHeight="1" x14ac:dyDescent="0.25">
      <c r="A375" s="61" t="s">
        <v>634</v>
      </c>
      <c r="B375" s="33"/>
      <c r="C375" s="33"/>
      <c r="D375" s="59" t="s">
        <v>603</v>
      </c>
      <c r="E375" s="100">
        <f>E376</f>
        <v>16116600</v>
      </c>
      <c r="F375" s="100">
        <f t="shared" ref="F375:Z375" si="201">F376</f>
        <v>15636600</v>
      </c>
      <c r="G375" s="100">
        <f t="shared" si="201"/>
        <v>12289700</v>
      </c>
      <c r="H375" s="100">
        <f t="shared" si="201"/>
        <v>343500</v>
      </c>
      <c r="I375" s="100">
        <f t="shared" si="201"/>
        <v>480000</v>
      </c>
      <c r="J375" s="100">
        <f t="shared" si="201"/>
        <v>7347061.4400000004</v>
      </c>
      <c r="K375" s="100">
        <f t="shared" si="201"/>
        <v>5699666.46</v>
      </c>
      <c r="L375" s="100">
        <f t="shared" si="201"/>
        <v>145363.26999999999</v>
      </c>
      <c r="M375" s="117">
        <f t="shared" si="178"/>
        <v>45.586919325416034</v>
      </c>
      <c r="N375" s="100">
        <f t="shared" si="201"/>
        <v>0</v>
      </c>
      <c r="O375" s="100">
        <f t="shared" si="201"/>
        <v>0</v>
      </c>
      <c r="P375" s="100">
        <f t="shared" si="201"/>
        <v>0</v>
      </c>
      <c r="Q375" s="100">
        <f t="shared" si="201"/>
        <v>0</v>
      </c>
      <c r="R375" s="100">
        <f t="shared" si="201"/>
        <v>0</v>
      </c>
      <c r="S375" s="100">
        <f t="shared" si="201"/>
        <v>0</v>
      </c>
      <c r="T375" s="100">
        <f t="shared" si="201"/>
        <v>16116600</v>
      </c>
      <c r="U375" s="100">
        <f t="shared" si="201"/>
        <v>0</v>
      </c>
      <c r="V375" s="100">
        <f t="shared" si="201"/>
        <v>0</v>
      </c>
      <c r="W375" s="100">
        <f t="shared" si="201"/>
        <v>0</v>
      </c>
      <c r="X375" s="100">
        <f t="shared" si="201"/>
        <v>0</v>
      </c>
      <c r="Y375" s="100">
        <f t="shared" si="201"/>
        <v>0</v>
      </c>
      <c r="Z375" s="100">
        <f t="shared" si="201"/>
        <v>0</v>
      </c>
      <c r="AA375" s="112"/>
      <c r="AB375" s="100">
        <f t="shared" si="176"/>
        <v>7347061.4400000004</v>
      </c>
    </row>
    <row r="376" spans="1:28" s="9" customFormat="1" ht="30.75" customHeight="1" x14ac:dyDescent="0.25">
      <c r="A376" s="6" t="s">
        <v>636</v>
      </c>
      <c r="B376" s="7"/>
      <c r="C376" s="7"/>
      <c r="D376" s="8" t="s">
        <v>603</v>
      </c>
      <c r="E376" s="102">
        <f>E377+E378</f>
        <v>16116600</v>
      </c>
      <c r="F376" s="102">
        <f t="shared" ref="F376:Z376" si="202">F377+F378</f>
        <v>15636600</v>
      </c>
      <c r="G376" s="102">
        <f t="shared" si="202"/>
        <v>12289700</v>
      </c>
      <c r="H376" s="102">
        <f t="shared" si="202"/>
        <v>343500</v>
      </c>
      <c r="I376" s="102">
        <f t="shared" si="202"/>
        <v>480000</v>
      </c>
      <c r="J376" s="102">
        <f t="shared" si="202"/>
        <v>7347061.4400000004</v>
      </c>
      <c r="K376" s="102">
        <f t="shared" si="202"/>
        <v>5699666.46</v>
      </c>
      <c r="L376" s="102">
        <f t="shared" si="202"/>
        <v>145363.26999999999</v>
      </c>
      <c r="M376" s="117">
        <f t="shared" si="178"/>
        <v>45.586919325416034</v>
      </c>
      <c r="N376" s="102">
        <f t="shared" si="202"/>
        <v>0</v>
      </c>
      <c r="O376" s="102">
        <f t="shared" si="202"/>
        <v>0</v>
      </c>
      <c r="P376" s="102">
        <f t="shared" si="202"/>
        <v>0</v>
      </c>
      <c r="Q376" s="102">
        <f t="shared" si="202"/>
        <v>0</v>
      </c>
      <c r="R376" s="102">
        <f t="shared" si="202"/>
        <v>0</v>
      </c>
      <c r="S376" s="102">
        <f t="shared" si="202"/>
        <v>0</v>
      </c>
      <c r="T376" s="102">
        <f t="shared" si="202"/>
        <v>16116600</v>
      </c>
      <c r="U376" s="102">
        <f t="shared" si="202"/>
        <v>0</v>
      </c>
      <c r="V376" s="102">
        <f t="shared" si="202"/>
        <v>0</v>
      </c>
      <c r="W376" s="102">
        <f t="shared" si="202"/>
        <v>0</v>
      </c>
      <c r="X376" s="102">
        <f t="shared" si="202"/>
        <v>0</v>
      </c>
      <c r="Y376" s="102">
        <f t="shared" si="202"/>
        <v>0</v>
      </c>
      <c r="Z376" s="102">
        <f t="shared" si="202"/>
        <v>0</v>
      </c>
      <c r="AA376" s="112"/>
      <c r="AB376" s="102">
        <f t="shared" si="176"/>
        <v>7347061.4400000004</v>
      </c>
    </row>
    <row r="377" spans="1:28" s="75" customFormat="1" ht="47.25" x14ac:dyDescent="0.25">
      <c r="A377" s="1" t="s">
        <v>635</v>
      </c>
      <c r="B377" s="3" t="str">
        <f>'дод 5'!A18</f>
        <v>0160</v>
      </c>
      <c r="C377" s="3" t="str">
        <f>'дод 5'!B18</f>
        <v>0111</v>
      </c>
      <c r="D377" s="5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77" s="101">
        <f>F377+I377</f>
        <v>15596600</v>
      </c>
      <c r="F377" s="101">
        <f>13404100+965200+1227300</f>
        <v>15596600</v>
      </c>
      <c r="G377" s="101">
        <f>10491700+791200+1006800</f>
        <v>12289700</v>
      </c>
      <c r="H377" s="101">
        <v>343500</v>
      </c>
      <c r="I377" s="101"/>
      <c r="J377" s="101">
        <v>7217264.4400000004</v>
      </c>
      <c r="K377" s="101">
        <v>5699666.46</v>
      </c>
      <c r="L377" s="101">
        <v>145363.26999999999</v>
      </c>
      <c r="M377" s="119">
        <f t="shared" si="178"/>
        <v>46.274601131015736</v>
      </c>
      <c r="N377" s="101">
        <f>P377+S377</f>
        <v>0</v>
      </c>
      <c r="O377" s="101">
        <f>8000-8000</f>
        <v>0</v>
      </c>
      <c r="P377" s="101"/>
      <c r="Q377" s="101"/>
      <c r="R377" s="101"/>
      <c r="S377" s="101">
        <f>8000-8000</f>
        <v>0</v>
      </c>
      <c r="T377" s="101">
        <f>E377+N377</f>
        <v>15596600</v>
      </c>
      <c r="U377" s="104">
        <f>W377+Z377</f>
        <v>0</v>
      </c>
      <c r="V377" s="104"/>
      <c r="W377" s="104"/>
      <c r="X377" s="104"/>
      <c r="Y377" s="104"/>
      <c r="Z377" s="104"/>
      <c r="AA377" s="112"/>
      <c r="AB377" s="101">
        <f t="shared" si="176"/>
        <v>7217264.4400000004</v>
      </c>
    </row>
    <row r="378" spans="1:28" s="75" customFormat="1" ht="31.5" customHeight="1" x14ac:dyDescent="0.25">
      <c r="A378" s="1" t="s">
        <v>637</v>
      </c>
      <c r="B378" s="3" t="str">
        <f>'дод 5'!A248</f>
        <v>7610</v>
      </c>
      <c r="C378" s="3" t="str">
        <f>'дод 5'!B248</f>
        <v>0411</v>
      </c>
      <c r="D378" s="58" t="str">
        <f>'дод 5'!C248</f>
        <v>Сприяння розвитку малого та середнього підприємництва</v>
      </c>
      <c r="E378" s="101">
        <f>F378+I378</f>
        <v>520000</v>
      </c>
      <c r="F378" s="101">
        <f>170000-130000</f>
        <v>40000</v>
      </c>
      <c r="G378" s="101"/>
      <c r="H378" s="101"/>
      <c r="I378" s="101">
        <f>350000+130000</f>
        <v>480000</v>
      </c>
      <c r="J378" s="101">
        <v>129797</v>
      </c>
      <c r="K378" s="101"/>
      <c r="L378" s="101"/>
      <c r="M378" s="112">
        <f t="shared" si="178"/>
        <v>24.960961538461536</v>
      </c>
      <c r="N378" s="101">
        <f>P378+S378</f>
        <v>0</v>
      </c>
      <c r="O378" s="101">
        <f>8000-8000</f>
        <v>0</v>
      </c>
      <c r="P378" s="101"/>
      <c r="Q378" s="101"/>
      <c r="R378" s="101"/>
      <c r="S378" s="101">
        <f>8000-8000</f>
        <v>0</v>
      </c>
      <c r="T378" s="101">
        <f>E378+N378</f>
        <v>520000</v>
      </c>
      <c r="U378" s="104">
        <f>W378+Z378</f>
        <v>0</v>
      </c>
      <c r="V378" s="104"/>
      <c r="W378" s="104"/>
      <c r="X378" s="104"/>
      <c r="Y378" s="104"/>
      <c r="Z378" s="104"/>
      <c r="AA378" s="112"/>
      <c r="AB378" s="101">
        <f t="shared" si="176"/>
        <v>129797</v>
      </c>
    </row>
    <row r="379" spans="1:28" s="74" customFormat="1" ht="33.75" hidden="1" customHeight="1" x14ac:dyDescent="0.25">
      <c r="A379" s="61" t="s">
        <v>210</v>
      </c>
      <c r="B379" s="33"/>
      <c r="C379" s="33"/>
      <c r="D379" s="59" t="s">
        <v>38</v>
      </c>
      <c r="E379" s="100">
        <f>E380</f>
        <v>0</v>
      </c>
      <c r="F379" s="100">
        <f t="shared" ref="F379:N379" si="203">F380</f>
        <v>0</v>
      </c>
      <c r="G379" s="100">
        <f t="shared" si="203"/>
        <v>0</v>
      </c>
      <c r="H379" s="100">
        <f t="shared" si="203"/>
        <v>0</v>
      </c>
      <c r="I379" s="100">
        <f t="shared" si="203"/>
        <v>0</v>
      </c>
      <c r="J379" s="100"/>
      <c r="K379" s="100"/>
      <c r="L379" s="100"/>
      <c r="M379" s="112" t="e">
        <f t="shared" si="178"/>
        <v>#DIV/0!</v>
      </c>
      <c r="N379" s="100">
        <f t="shared" si="203"/>
        <v>0</v>
      </c>
      <c r="O379" s="100">
        <f t="shared" ref="O379" si="204">O380</f>
        <v>0</v>
      </c>
      <c r="P379" s="100">
        <f t="shared" ref="P379" si="205">P380</f>
        <v>0</v>
      </c>
      <c r="Q379" s="100">
        <f t="shared" ref="Q379" si="206">Q380</f>
        <v>0</v>
      </c>
      <c r="R379" s="100">
        <f t="shared" ref="R379" si="207">R380</f>
        <v>0</v>
      </c>
      <c r="S379" s="100">
        <f t="shared" ref="S379" si="208">S380</f>
        <v>0</v>
      </c>
      <c r="T379" s="100">
        <f>T380</f>
        <v>0</v>
      </c>
      <c r="U379" s="110"/>
      <c r="V379" s="110"/>
      <c r="W379" s="110"/>
      <c r="X379" s="110"/>
      <c r="Y379" s="110"/>
      <c r="Z379" s="110"/>
      <c r="AA379" s="112" t="e">
        <f t="shared" si="175"/>
        <v>#DIV/0!</v>
      </c>
      <c r="AB379" s="101">
        <f t="shared" si="176"/>
        <v>0</v>
      </c>
    </row>
    <row r="380" spans="1:28" s="9" customFormat="1" ht="32.25" hidden="1" customHeight="1" x14ac:dyDescent="0.25">
      <c r="A380" s="6" t="s">
        <v>211</v>
      </c>
      <c r="B380" s="7"/>
      <c r="C380" s="7"/>
      <c r="D380" s="8" t="s">
        <v>38</v>
      </c>
      <c r="E380" s="102">
        <f>E381+E382++E383+E384+E385+E386</f>
        <v>0</v>
      </c>
      <c r="F380" s="102">
        <f t="shared" ref="F380:T380" si="209">F381+F382++F383+F384+F385+F386</f>
        <v>0</v>
      </c>
      <c r="G380" s="102">
        <f t="shared" si="209"/>
        <v>0</v>
      </c>
      <c r="H380" s="102">
        <f t="shared" si="209"/>
        <v>0</v>
      </c>
      <c r="I380" s="102">
        <f t="shared" si="209"/>
        <v>0</v>
      </c>
      <c r="J380" s="102"/>
      <c r="K380" s="102"/>
      <c r="L380" s="102"/>
      <c r="M380" s="112" t="e">
        <f t="shared" si="178"/>
        <v>#DIV/0!</v>
      </c>
      <c r="N380" s="102">
        <f t="shared" si="209"/>
        <v>0</v>
      </c>
      <c r="O380" s="102">
        <f>O381+O382++O383+O384+O385+O386</f>
        <v>0</v>
      </c>
      <c r="P380" s="102">
        <f t="shared" si="209"/>
        <v>0</v>
      </c>
      <c r="Q380" s="102">
        <f t="shared" si="209"/>
        <v>0</v>
      </c>
      <c r="R380" s="102">
        <f t="shared" si="209"/>
        <v>0</v>
      </c>
      <c r="S380" s="102">
        <f t="shared" si="209"/>
        <v>0</v>
      </c>
      <c r="T380" s="102">
        <f t="shared" si="209"/>
        <v>0</v>
      </c>
      <c r="U380" s="103"/>
      <c r="V380" s="103"/>
      <c r="W380" s="103"/>
      <c r="X380" s="103"/>
      <c r="Y380" s="103"/>
      <c r="Z380" s="103"/>
      <c r="AA380" s="112" t="e">
        <f t="shared" si="175"/>
        <v>#DIV/0!</v>
      </c>
      <c r="AB380" s="101">
        <f t="shared" si="176"/>
        <v>0</v>
      </c>
    </row>
    <row r="381" spans="1:28" s="75" customFormat="1" ht="50.25" hidden="1" customHeight="1" x14ac:dyDescent="0.25">
      <c r="A381" s="1" t="s">
        <v>212</v>
      </c>
      <c r="B381" s="3" t="str">
        <f>'дод 5'!A18</f>
        <v>0160</v>
      </c>
      <c r="C381" s="3" t="str">
        <f>'дод 5'!B18</f>
        <v>0111</v>
      </c>
      <c r="D381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81" s="101">
        <f t="shared" ref="E381:E386" si="210">F381+I381</f>
        <v>0</v>
      </c>
      <c r="F381" s="101">
        <f>2935400-2935400</f>
        <v>0</v>
      </c>
      <c r="G381" s="101">
        <f>2161900-2161900</f>
        <v>0</v>
      </c>
      <c r="H381" s="101">
        <f>209200-209200</f>
        <v>0</v>
      </c>
      <c r="I381" s="101"/>
      <c r="J381" s="101"/>
      <c r="K381" s="101"/>
      <c r="L381" s="101"/>
      <c r="M381" s="112" t="e">
        <f t="shared" si="178"/>
        <v>#DIV/0!</v>
      </c>
      <c r="N381" s="101">
        <f>P381+S381</f>
        <v>0</v>
      </c>
      <c r="O381" s="101"/>
      <c r="P381" s="101"/>
      <c r="Q381" s="101"/>
      <c r="R381" s="101"/>
      <c r="S381" s="101"/>
      <c r="T381" s="101">
        <f t="shared" ref="T381:T386" si="211">E381+N381</f>
        <v>0</v>
      </c>
      <c r="U381" s="104"/>
      <c r="V381" s="104"/>
      <c r="W381" s="104"/>
      <c r="X381" s="104"/>
      <c r="Y381" s="104"/>
      <c r="Z381" s="104"/>
      <c r="AA381" s="112" t="e">
        <f t="shared" si="175"/>
        <v>#DIV/0!</v>
      </c>
      <c r="AB381" s="101">
        <f t="shared" si="176"/>
        <v>0</v>
      </c>
    </row>
    <row r="382" spans="1:28" s="81" customFormat="1" ht="21" hidden="1" customHeight="1" x14ac:dyDescent="0.25">
      <c r="A382" s="1" t="s">
        <v>213</v>
      </c>
      <c r="B382" s="3" t="str">
        <f>'дод 5'!A201</f>
        <v>7130</v>
      </c>
      <c r="C382" s="3" t="str">
        <f>'дод 5'!B201</f>
        <v>0421</v>
      </c>
      <c r="D382" s="38" t="str">
        <f>'дод 5'!C201</f>
        <v>Здійснення заходів із землеустрою</v>
      </c>
      <c r="E382" s="101">
        <f t="shared" si="210"/>
        <v>0</v>
      </c>
      <c r="F382" s="101"/>
      <c r="G382" s="101"/>
      <c r="H382" s="101"/>
      <c r="I382" s="101"/>
      <c r="J382" s="101"/>
      <c r="K382" s="101"/>
      <c r="L382" s="101"/>
      <c r="M382" s="112" t="e">
        <f t="shared" si="178"/>
        <v>#DIV/0!</v>
      </c>
      <c r="N382" s="101">
        <f t="shared" ref="N382:N386" si="212">P382+S382</f>
        <v>0</v>
      </c>
      <c r="O382" s="101"/>
      <c r="P382" s="101"/>
      <c r="Q382" s="101"/>
      <c r="R382" s="101"/>
      <c r="S382" s="101"/>
      <c r="T382" s="101">
        <f t="shared" si="211"/>
        <v>0</v>
      </c>
      <c r="U382" s="104"/>
      <c r="V382" s="104"/>
      <c r="W382" s="104"/>
      <c r="X382" s="104"/>
      <c r="Y382" s="104"/>
      <c r="Z382" s="104"/>
      <c r="AA382" s="112" t="e">
        <f t="shared" si="175"/>
        <v>#DIV/0!</v>
      </c>
      <c r="AB382" s="101">
        <f t="shared" si="176"/>
        <v>0</v>
      </c>
    </row>
    <row r="383" spans="1:28" s="75" customFormat="1" ht="36" hidden="1" customHeight="1" x14ac:dyDescent="0.25">
      <c r="A383" s="1" t="s">
        <v>214</v>
      </c>
      <c r="B383" s="3" t="str">
        <f>'дод 5'!A248</f>
        <v>7610</v>
      </c>
      <c r="C383" s="3" t="str">
        <f>'дод 5'!B248</f>
        <v>0411</v>
      </c>
      <c r="D383" s="38" t="str">
        <f>'дод 5'!C248</f>
        <v>Сприяння розвитку малого та середнього підприємництва</v>
      </c>
      <c r="E383" s="101">
        <f t="shared" si="210"/>
        <v>0</v>
      </c>
      <c r="F383" s="101"/>
      <c r="G383" s="101"/>
      <c r="H383" s="101"/>
      <c r="I383" s="101"/>
      <c r="J383" s="101"/>
      <c r="K383" s="101"/>
      <c r="L383" s="101"/>
      <c r="M383" s="112" t="e">
        <f t="shared" si="178"/>
        <v>#DIV/0!</v>
      </c>
      <c r="N383" s="101">
        <f t="shared" si="212"/>
        <v>0</v>
      </c>
      <c r="O383" s="101"/>
      <c r="P383" s="101"/>
      <c r="Q383" s="101"/>
      <c r="R383" s="101"/>
      <c r="S383" s="101"/>
      <c r="T383" s="101">
        <f t="shared" si="211"/>
        <v>0</v>
      </c>
      <c r="U383" s="104"/>
      <c r="V383" s="104"/>
      <c r="W383" s="104"/>
      <c r="X383" s="104"/>
      <c r="Y383" s="104"/>
      <c r="Z383" s="104"/>
      <c r="AA383" s="112" t="e">
        <f t="shared" si="175"/>
        <v>#DIV/0!</v>
      </c>
      <c r="AB383" s="101">
        <f t="shared" si="176"/>
        <v>0</v>
      </c>
    </row>
    <row r="384" spans="1:28" s="75" customFormat="1" ht="32.25" hidden="1" customHeight="1" x14ac:dyDescent="0.25">
      <c r="A384" s="1" t="s">
        <v>263</v>
      </c>
      <c r="B384" s="3" t="str">
        <f>'дод 5'!A253</f>
        <v>7650</v>
      </c>
      <c r="C384" s="3" t="str">
        <f>'дод 5'!B253</f>
        <v>0490</v>
      </c>
      <c r="D384" s="38" t="str">
        <f>'дод 5'!C253</f>
        <v>Проведення експертної грошової оцінки земельної ділянки чи права на неї</v>
      </c>
      <c r="E384" s="101">
        <f t="shared" si="210"/>
        <v>0</v>
      </c>
      <c r="F384" s="101"/>
      <c r="G384" s="101"/>
      <c r="H384" s="101"/>
      <c r="I384" s="101"/>
      <c r="J384" s="101"/>
      <c r="K384" s="101"/>
      <c r="L384" s="101"/>
      <c r="M384" s="112" t="e">
        <f t="shared" si="178"/>
        <v>#DIV/0!</v>
      </c>
      <c r="N384" s="101">
        <f t="shared" si="212"/>
        <v>0</v>
      </c>
      <c r="O384" s="101"/>
      <c r="P384" s="101"/>
      <c r="Q384" s="101"/>
      <c r="R384" s="101"/>
      <c r="S384" s="101"/>
      <c r="T384" s="101">
        <f t="shared" si="211"/>
        <v>0</v>
      </c>
      <c r="U384" s="104"/>
      <c r="V384" s="104"/>
      <c r="W384" s="104"/>
      <c r="X384" s="104"/>
      <c r="Y384" s="104"/>
      <c r="Z384" s="104"/>
      <c r="AA384" s="112" t="e">
        <f t="shared" si="175"/>
        <v>#DIV/0!</v>
      </c>
      <c r="AB384" s="101">
        <f t="shared" si="176"/>
        <v>0</v>
      </c>
    </row>
    <row r="385" spans="1:28" s="75" customFormat="1" ht="63" hidden="1" customHeight="1" x14ac:dyDescent="0.25">
      <c r="A385" s="1" t="s">
        <v>265</v>
      </c>
      <c r="B385" s="3" t="str">
        <f>'дод 5'!A254</f>
        <v>7660</v>
      </c>
      <c r="C385" s="3" t="str">
        <f>'дод 5'!B254</f>
        <v>0490</v>
      </c>
      <c r="D385" s="38" t="str">
        <f>'дод 5'!C254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385" s="101">
        <f t="shared" si="210"/>
        <v>0</v>
      </c>
      <c r="F385" s="101"/>
      <c r="G385" s="101"/>
      <c r="H385" s="101"/>
      <c r="I385" s="101"/>
      <c r="J385" s="101"/>
      <c r="K385" s="101"/>
      <c r="L385" s="101"/>
      <c r="M385" s="112" t="e">
        <f t="shared" si="178"/>
        <v>#DIV/0!</v>
      </c>
      <c r="N385" s="101">
        <f t="shared" si="212"/>
        <v>0</v>
      </c>
      <c r="O385" s="101"/>
      <c r="P385" s="101"/>
      <c r="Q385" s="101"/>
      <c r="R385" s="101"/>
      <c r="S385" s="101"/>
      <c r="T385" s="101">
        <f t="shared" si="211"/>
        <v>0</v>
      </c>
      <c r="U385" s="104"/>
      <c r="V385" s="104"/>
      <c r="W385" s="104"/>
      <c r="X385" s="104"/>
      <c r="Y385" s="104"/>
      <c r="Z385" s="104"/>
      <c r="AA385" s="112" t="e">
        <f t="shared" si="175"/>
        <v>#DIV/0!</v>
      </c>
      <c r="AB385" s="101">
        <f t="shared" si="176"/>
        <v>0</v>
      </c>
    </row>
    <row r="386" spans="1:28" s="75" customFormat="1" ht="22.5" hidden="1" customHeight="1" x14ac:dyDescent="0.25">
      <c r="A386" s="1" t="s">
        <v>261</v>
      </c>
      <c r="B386" s="3" t="str">
        <f>'дод 5'!A259</f>
        <v>7693</v>
      </c>
      <c r="C386" s="3" t="str">
        <f>'дод 5'!B259</f>
        <v>0490</v>
      </c>
      <c r="D386" s="38" t="str">
        <f>'дод 5'!C259</f>
        <v>Інші заходи, пов'язані з економічною діяльністю</v>
      </c>
      <c r="E386" s="101">
        <f t="shared" si="210"/>
        <v>0</v>
      </c>
      <c r="F386" s="101"/>
      <c r="G386" s="101"/>
      <c r="H386" s="101"/>
      <c r="I386" s="101"/>
      <c r="J386" s="101"/>
      <c r="K386" s="101"/>
      <c r="L386" s="101"/>
      <c r="M386" s="112" t="e">
        <f t="shared" si="178"/>
        <v>#DIV/0!</v>
      </c>
      <c r="N386" s="101">
        <f t="shared" si="212"/>
        <v>0</v>
      </c>
      <c r="O386" s="101"/>
      <c r="P386" s="101"/>
      <c r="Q386" s="101"/>
      <c r="R386" s="101"/>
      <c r="S386" s="101"/>
      <c r="T386" s="101">
        <f t="shared" si="211"/>
        <v>0</v>
      </c>
      <c r="U386" s="104"/>
      <c r="V386" s="104"/>
      <c r="W386" s="104"/>
      <c r="X386" s="104"/>
      <c r="Y386" s="104"/>
      <c r="Z386" s="104"/>
      <c r="AA386" s="112" t="e">
        <f t="shared" si="175"/>
        <v>#DIV/0!</v>
      </c>
      <c r="AB386" s="101">
        <f t="shared" si="176"/>
        <v>0</v>
      </c>
    </row>
    <row r="387" spans="1:28" s="74" customFormat="1" ht="36.75" customHeight="1" x14ac:dyDescent="0.25">
      <c r="A387" s="61" t="s">
        <v>210</v>
      </c>
      <c r="B387" s="33"/>
      <c r="C387" s="33"/>
      <c r="D387" s="59" t="s">
        <v>607</v>
      </c>
      <c r="E387" s="100">
        <f>E388</f>
        <v>13594280</v>
      </c>
      <c r="F387" s="100">
        <f t="shared" ref="F387:Z387" si="213">F388</f>
        <v>13594280</v>
      </c>
      <c r="G387" s="100">
        <f t="shared" si="213"/>
        <v>10103100</v>
      </c>
      <c r="H387" s="100">
        <f t="shared" si="213"/>
        <v>209100</v>
      </c>
      <c r="I387" s="100">
        <f t="shared" si="213"/>
        <v>0</v>
      </c>
      <c r="J387" s="100">
        <f t="shared" si="213"/>
        <v>5749788.2600000007</v>
      </c>
      <c r="K387" s="100">
        <f t="shared" si="213"/>
        <v>4453979.91</v>
      </c>
      <c r="L387" s="100">
        <f t="shared" si="213"/>
        <v>100672.68</v>
      </c>
      <c r="M387" s="117">
        <f t="shared" si="178"/>
        <v>42.29564390317104</v>
      </c>
      <c r="N387" s="100">
        <f t="shared" si="213"/>
        <v>0</v>
      </c>
      <c r="O387" s="100">
        <f t="shared" si="213"/>
        <v>0</v>
      </c>
      <c r="P387" s="100">
        <f t="shared" si="213"/>
        <v>0</v>
      </c>
      <c r="Q387" s="100">
        <f t="shared" si="213"/>
        <v>0</v>
      </c>
      <c r="R387" s="100">
        <f t="shared" si="213"/>
        <v>0</v>
      </c>
      <c r="S387" s="100">
        <f t="shared" si="213"/>
        <v>0</v>
      </c>
      <c r="T387" s="100">
        <f t="shared" si="213"/>
        <v>13594280</v>
      </c>
      <c r="U387" s="100">
        <f t="shared" si="213"/>
        <v>0</v>
      </c>
      <c r="V387" s="100">
        <f t="shared" si="213"/>
        <v>0</v>
      </c>
      <c r="W387" s="100">
        <f t="shared" si="213"/>
        <v>0</v>
      </c>
      <c r="X387" s="100">
        <f t="shared" si="213"/>
        <v>0</v>
      </c>
      <c r="Y387" s="100">
        <f t="shared" si="213"/>
        <v>0</v>
      </c>
      <c r="Z387" s="100">
        <f t="shared" si="213"/>
        <v>0</v>
      </c>
      <c r="AA387" s="112"/>
      <c r="AB387" s="100">
        <f t="shared" si="176"/>
        <v>5749788.2600000007</v>
      </c>
    </row>
    <row r="388" spans="1:28" s="9" customFormat="1" ht="32.25" customHeight="1" x14ac:dyDescent="0.25">
      <c r="A388" s="6" t="s">
        <v>211</v>
      </c>
      <c r="B388" s="7"/>
      <c r="C388" s="7"/>
      <c r="D388" s="8" t="s">
        <v>607</v>
      </c>
      <c r="E388" s="102">
        <f>E389+E390++E391+E392+E393+E394</f>
        <v>13594280</v>
      </c>
      <c r="F388" s="102">
        <f t="shared" ref="F388:Z388" si="214">F389+F390++F391+F392+F393+F394</f>
        <v>13594280</v>
      </c>
      <c r="G388" s="102">
        <f t="shared" si="214"/>
        <v>10103100</v>
      </c>
      <c r="H388" s="102">
        <f t="shared" si="214"/>
        <v>209100</v>
      </c>
      <c r="I388" s="102">
        <f t="shared" si="214"/>
        <v>0</v>
      </c>
      <c r="J388" s="102">
        <f t="shared" si="214"/>
        <v>5749788.2600000007</v>
      </c>
      <c r="K388" s="102">
        <f t="shared" si="214"/>
        <v>4453979.91</v>
      </c>
      <c r="L388" s="102">
        <f t="shared" si="214"/>
        <v>100672.68</v>
      </c>
      <c r="M388" s="118">
        <f t="shared" si="178"/>
        <v>42.29564390317104</v>
      </c>
      <c r="N388" s="102">
        <f t="shared" si="214"/>
        <v>0</v>
      </c>
      <c r="O388" s="102">
        <f t="shared" si="214"/>
        <v>0</v>
      </c>
      <c r="P388" s="102">
        <f t="shared" si="214"/>
        <v>0</v>
      </c>
      <c r="Q388" s="102">
        <f t="shared" si="214"/>
        <v>0</v>
      </c>
      <c r="R388" s="102">
        <f t="shared" si="214"/>
        <v>0</v>
      </c>
      <c r="S388" s="102">
        <f t="shared" si="214"/>
        <v>0</v>
      </c>
      <c r="T388" s="102">
        <f t="shared" si="214"/>
        <v>13594280</v>
      </c>
      <c r="U388" s="102">
        <f t="shared" si="214"/>
        <v>0</v>
      </c>
      <c r="V388" s="102">
        <f t="shared" si="214"/>
        <v>0</v>
      </c>
      <c r="W388" s="102">
        <f t="shared" si="214"/>
        <v>0</v>
      </c>
      <c r="X388" s="102">
        <f t="shared" si="214"/>
        <v>0</v>
      </c>
      <c r="Y388" s="102">
        <f t="shared" si="214"/>
        <v>0</v>
      </c>
      <c r="Z388" s="102">
        <f t="shared" si="214"/>
        <v>0</v>
      </c>
      <c r="AA388" s="112"/>
      <c r="AB388" s="102">
        <f t="shared" si="176"/>
        <v>5749788.2600000007</v>
      </c>
    </row>
    <row r="389" spans="1:28" s="75" customFormat="1" ht="50.25" customHeight="1" x14ac:dyDescent="0.25">
      <c r="A389" s="1" t="s">
        <v>212</v>
      </c>
      <c r="B389" s="3" t="str">
        <f>'дод 5'!A18</f>
        <v>0160</v>
      </c>
      <c r="C389" s="3" t="str">
        <f>'дод 5'!B18</f>
        <v>0111</v>
      </c>
      <c r="D389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89" s="101">
        <f t="shared" ref="E389:E394" si="215">F389+I389</f>
        <v>13184280</v>
      </c>
      <c r="F389" s="101">
        <f>11868200+145200+980700+190180</f>
        <v>13184280</v>
      </c>
      <c r="G389" s="101">
        <f>9298600+804500</f>
        <v>10103100</v>
      </c>
      <c r="H389" s="101">
        <v>209100</v>
      </c>
      <c r="I389" s="101"/>
      <c r="J389" s="101">
        <v>5696174.4800000004</v>
      </c>
      <c r="K389" s="101">
        <v>4453979.91</v>
      </c>
      <c r="L389" s="101">
        <v>100672.68</v>
      </c>
      <c r="M389" s="112">
        <f t="shared" si="178"/>
        <v>43.204289350650932</v>
      </c>
      <c r="N389" s="101">
        <f>P389+S389</f>
        <v>0</v>
      </c>
      <c r="O389" s="101"/>
      <c r="P389" s="101"/>
      <c r="Q389" s="101"/>
      <c r="R389" s="101"/>
      <c r="S389" s="101"/>
      <c r="T389" s="101">
        <f t="shared" ref="T389:T394" si="216">E389+N389</f>
        <v>13184280</v>
      </c>
      <c r="U389" s="104">
        <f>W389+Z389</f>
        <v>0</v>
      </c>
      <c r="V389" s="104"/>
      <c r="W389" s="104"/>
      <c r="X389" s="104"/>
      <c r="Y389" s="104"/>
      <c r="Z389" s="104"/>
      <c r="AA389" s="112"/>
      <c r="AB389" s="101">
        <f t="shared" si="176"/>
        <v>5696174.4800000004</v>
      </c>
    </row>
    <row r="390" spans="1:28" s="81" customFormat="1" ht="21" hidden="1" customHeight="1" x14ac:dyDescent="0.25">
      <c r="A390" s="1" t="s">
        <v>213</v>
      </c>
      <c r="B390" s="3" t="str">
        <f>'дод 5'!A201</f>
        <v>7130</v>
      </c>
      <c r="C390" s="3" t="str">
        <f>'дод 5'!B201</f>
        <v>0421</v>
      </c>
      <c r="D390" s="38" t="str">
        <f>'дод 5'!C201</f>
        <v>Здійснення заходів із землеустрою</v>
      </c>
      <c r="E390" s="101">
        <f t="shared" si="215"/>
        <v>0</v>
      </c>
      <c r="F390" s="101"/>
      <c r="G390" s="101"/>
      <c r="H390" s="101"/>
      <c r="I390" s="101"/>
      <c r="J390" s="101"/>
      <c r="K390" s="101"/>
      <c r="L390" s="101"/>
      <c r="M390" s="112" t="e">
        <f t="shared" si="178"/>
        <v>#DIV/0!</v>
      </c>
      <c r="N390" s="101">
        <f t="shared" ref="N390:N394" si="217">P390+S390</f>
        <v>0</v>
      </c>
      <c r="O390" s="101"/>
      <c r="P390" s="101"/>
      <c r="Q390" s="101"/>
      <c r="R390" s="101"/>
      <c r="S390" s="101"/>
      <c r="T390" s="101">
        <f t="shared" si="216"/>
        <v>0</v>
      </c>
      <c r="U390" s="104">
        <f t="shared" ref="U390:U394" si="218">W390+Z390</f>
        <v>0</v>
      </c>
      <c r="V390" s="104"/>
      <c r="W390" s="104"/>
      <c r="X390" s="104"/>
      <c r="Y390" s="104"/>
      <c r="Z390" s="104"/>
      <c r="AA390" s="112"/>
      <c r="AB390" s="101">
        <f t="shared" si="176"/>
        <v>0</v>
      </c>
    </row>
    <row r="391" spans="1:28" s="75" customFormat="1" ht="33.75" hidden="1" customHeight="1" x14ac:dyDescent="0.25">
      <c r="A391" s="1" t="s">
        <v>214</v>
      </c>
      <c r="B391" s="3" t="str">
        <f>'дод 5'!A248</f>
        <v>7610</v>
      </c>
      <c r="C391" s="3" t="str">
        <f>'дод 5'!B248</f>
        <v>0411</v>
      </c>
      <c r="D391" s="38" t="str">
        <f>'дод 5'!C248</f>
        <v>Сприяння розвитку малого та середнього підприємництва</v>
      </c>
      <c r="E391" s="101">
        <f t="shared" si="215"/>
        <v>0</v>
      </c>
      <c r="F391" s="101"/>
      <c r="G391" s="101"/>
      <c r="H391" s="101"/>
      <c r="I391" s="101"/>
      <c r="J391" s="101"/>
      <c r="K391" s="101"/>
      <c r="L391" s="101"/>
      <c r="M391" s="112" t="e">
        <f t="shared" si="178"/>
        <v>#DIV/0!</v>
      </c>
      <c r="N391" s="101">
        <f t="shared" si="217"/>
        <v>0</v>
      </c>
      <c r="O391" s="101"/>
      <c r="P391" s="101"/>
      <c r="Q391" s="101"/>
      <c r="R391" s="101"/>
      <c r="S391" s="101"/>
      <c r="T391" s="101">
        <f t="shared" si="216"/>
        <v>0</v>
      </c>
      <c r="U391" s="104">
        <f t="shared" si="218"/>
        <v>0</v>
      </c>
      <c r="V391" s="104"/>
      <c r="W391" s="104"/>
      <c r="X391" s="104"/>
      <c r="Y391" s="104"/>
      <c r="Z391" s="104"/>
      <c r="AA391" s="112"/>
      <c r="AB391" s="101">
        <f t="shared" si="176"/>
        <v>0</v>
      </c>
    </row>
    <row r="392" spans="1:28" s="75" customFormat="1" ht="32.25" hidden="1" customHeight="1" x14ac:dyDescent="0.25">
      <c r="A392" s="1" t="s">
        <v>263</v>
      </c>
      <c r="B392" s="3" t="str">
        <f>'дод 5'!A253</f>
        <v>7650</v>
      </c>
      <c r="C392" s="3" t="str">
        <f>'дод 5'!B253</f>
        <v>0490</v>
      </c>
      <c r="D392" s="38" t="str">
        <f>'дод 5'!C253</f>
        <v>Проведення експертної грошової оцінки земельної ділянки чи права на неї</v>
      </c>
      <c r="E392" s="101">
        <f t="shared" si="215"/>
        <v>0</v>
      </c>
      <c r="F392" s="101"/>
      <c r="G392" s="101"/>
      <c r="H392" s="101"/>
      <c r="I392" s="101"/>
      <c r="J392" s="101"/>
      <c r="K392" s="101"/>
      <c r="L392" s="101"/>
      <c r="M392" s="112" t="e">
        <f t="shared" si="178"/>
        <v>#DIV/0!</v>
      </c>
      <c r="N392" s="101">
        <f t="shared" si="217"/>
        <v>0</v>
      </c>
      <c r="O392" s="101"/>
      <c r="P392" s="101"/>
      <c r="Q392" s="101"/>
      <c r="R392" s="101"/>
      <c r="S392" s="101"/>
      <c r="T392" s="101">
        <f t="shared" si="216"/>
        <v>0</v>
      </c>
      <c r="U392" s="104">
        <f t="shared" si="218"/>
        <v>0</v>
      </c>
      <c r="V392" s="104"/>
      <c r="W392" s="104"/>
      <c r="X392" s="104"/>
      <c r="Y392" s="104"/>
      <c r="Z392" s="104"/>
      <c r="AA392" s="112"/>
      <c r="AB392" s="101">
        <f t="shared" si="176"/>
        <v>0</v>
      </c>
    </row>
    <row r="393" spans="1:28" s="75" customFormat="1" ht="63" hidden="1" customHeight="1" x14ac:dyDescent="0.25">
      <c r="A393" s="1" t="s">
        <v>265</v>
      </c>
      <c r="B393" s="3" t="str">
        <f>'дод 5'!A254</f>
        <v>7660</v>
      </c>
      <c r="C393" s="3" t="str">
        <f>'дод 5'!B254</f>
        <v>0490</v>
      </c>
      <c r="D393" s="38" t="str">
        <f>'дод 5'!C254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393" s="101">
        <f t="shared" si="215"/>
        <v>0</v>
      </c>
      <c r="F393" s="101"/>
      <c r="G393" s="101"/>
      <c r="H393" s="101"/>
      <c r="I393" s="101"/>
      <c r="J393" s="101"/>
      <c r="K393" s="101"/>
      <c r="L393" s="101"/>
      <c r="M393" s="112" t="e">
        <f t="shared" si="178"/>
        <v>#DIV/0!</v>
      </c>
      <c r="N393" s="101">
        <f t="shared" si="217"/>
        <v>0</v>
      </c>
      <c r="O393" s="101"/>
      <c r="P393" s="101"/>
      <c r="Q393" s="101"/>
      <c r="R393" s="101"/>
      <c r="S393" s="101"/>
      <c r="T393" s="101">
        <f t="shared" si="216"/>
        <v>0</v>
      </c>
      <c r="U393" s="104">
        <f t="shared" si="218"/>
        <v>0</v>
      </c>
      <c r="V393" s="104"/>
      <c r="W393" s="104"/>
      <c r="X393" s="104"/>
      <c r="Y393" s="104"/>
      <c r="Z393" s="104"/>
      <c r="AA393" s="112"/>
      <c r="AB393" s="101">
        <f t="shared" si="176"/>
        <v>0</v>
      </c>
    </row>
    <row r="394" spans="1:28" s="75" customFormat="1" ht="22.5" customHeight="1" x14ac:dyDescent="0.25">
      <c r="A394" s="1" t="s">
        <v>261</v>
      </c>
      <c r="B394" s="3" t="str">
        <f>'дод 5'!A259</f>
        <v>7693</v>
      </c>
      <c r="C394" s="3" t="str">
        <f>'дод 5'!B259</f>
        <v>0490</v>
      </c>
      <c r="D394" s="38" t="str">
        <f>'дод 5'!C259</f>
        <v>Інші заходи, пов'язані з економічною діяльністю</v>
      </c>
      <c r="E394" s="101">
        <f t="shared" si="215"/>
        <v>410000</v>
      </c>
      <c r="F394" s="101">
        <v>410000</v>
      </c>
      <c r="G394" s="101"/>
      <c r="H394" s="101"/>
      <c r="I394" s="101"/>
      <c r="J394" s="101">
        <v>53613.78</v>
      </c>
      <c r="K394" s="101"/>
      <c r="L394" s="101"/>
      <c r="M394" s="112">
        <f t="shared" si="178"/>
        <v>13.076531707317073</v>
      </c>
      <c r="N394" s="101">
        <f t="shared" si="217"/>
        <v>0</v>
      </c>
      <c r="O394" s="101"/>
      <c r="P394" s="101"/>
      <c r="Q394" s="101"/>
      <c r="R394" s="101"/>
      <c r="S394" s="101"/>
      <c r="T394" s="101">
        <f t="shared" si="216"/>
        <v>410000</v>
      </c>
      <c r="U394" s="104">
        <f t="shared" si="218"/>
        <v>0</v>
      </c>
      <c r="V394" s="104"/>
      <c r="W394" s="104"/>
      <c r="X394" s="104"/>
      <c r="Y394" s="104"/>
      <c r="Z394" s="104"/>
      <c r="AA394" s="112"/>
      <c r="AB394" s="101">
        <f t="shared" si="176"/>
        <v>53613.78</v>
      </c>
    </row>
    <row r="395" spans="1:28" s="74" customFormat="1" ht="33.75" customHeight="1" x14ac:dyDescent="0.25">
      <c r="A395" s="61" t="s">
        <v>604</v>
      </c>
      <c r="B395" s="33"/>
      <c r="C395" s="33"/>
      <c r="D395" s="59" t="s">
        <v>38</v>
      </c>
      <c r="E395" s="100">
        <f>E396</f>
        <v>26759450</v>
      </c>
      <c r="F395" s="100">
        <f t="shared" ref="F395:Z395" si="219">F396</f>
        <v>26759450</v>
      </c>
      <c r="G395" s="100">
        <f t="shared" si="219"/>
        <v>18767750</v>
      </c>
      <c r="H395" s="100">
        <f t="shared" si="219"/>
        <v>968000</v>
      </c>
      <c r="I395" s="100">
        <f t="shared" si="219"/>
        <v>0</v>
      </c>
      <c r="J395" s="100">
        <f t="shared" si="219"/>
        <v>11319013.529999999</v>
      </c>
      <c r="K395" s="100">
        <f t="shared" si="219"/>
        <v>8686400.5299999993</v>
      </c>
      <c r="L395" s="100">
        <f t="shared" si="219"/>
        <v>305988.5</v>
      </c>
      <c r="M395" s="117">
        <f t="shared" si="178"/>
        <v>42.299126215224895</v>
      </c>
      <c r="N395" s="100">
        <f t="shared" si="219"/>
        <v>330000</v>
      </c>
      <c r="O395" s="100">
        <f t="shared" si="219"/>
        <v>330000</v>
      </c>
      <c r="P395" s="100">
        <f t="shared" si="219"/>
        <v>0</v>
      </c>
      <c r="Q395" s="100">
        <f t="shared" si="219"/>
        <v>0</v>
      </c>
      <c r="R395" s="100">
        <f t="shared" si="219"/>
        <v>0</v>
      </c>
      <c r="S395" s="100">
        <f t="shared" si="219"/>
        <v>330000</v>
      </c>
      <c r="T395" s="100">
        <f t="shared" si="219"/>
        <v>27089450</v>
      </c>
      <c r="U395" s="100">
        <f t="shared" si="219"/>
        <v>18499</v>
      </c>
      <c r="V395" s="100">
        <f t="shared" si="219"/>
        <v>18499</v>
      </c>
      <c r="W395" s="100">
        <f t="shared" si="219"/>
        <v>0</v>
      </c>
      <c r="X395" s="100">
        <f t="shared" si="219"/>
        <v>0</v>
      </c>
      <c r="Y395" s="100">
        <f t="shared" si="219"/>
        <v>0</v>
      </c>
      <c r="Z395" s="100">
        <f t="shared" si="219"/>
        <v>18499</v>
      </c>
      <c r="AA395" s="117">
        <f t="shared" si="175"/>
        <v>5.6057575757575755</v>
      </c>
      <c r="AB395" s="100">
        <f t="shared" si="176"/>
        <v>11337512.529999999</v>
      </c>
    </row>
    <row r="396" spans="1:28" s="9" customFormat="1" ht="36.75" customHeight="1" x14ac:dyDescent="0.25">
      <c r="A396" s="6" t="s">
        <v>605</v>
      </c>
      <c r="B396" s="7"/>
      <c r="C396" s="7"/>
      <c r="D396" s="8" t="s">
        <v>38</v>
      </c>
      <c r="E396" s="102">
        <f>E397+E398+E399+E400+E401+E402+E403+E404+E405</f>
        <v>26759450</v>
      </c>
      <c r="F396" s="102">
        <f t="shared" ref="F396:Z396" si="220">F397+F398+F399+F400+F401+F402+F403+F404+F405</f>
        <v>26759450</v>
      </c>
      <c r="G396" s="102">
        <f t="shared" si="220"/>
        <v>18767750</v>
      </c>
      <c r="H396" s="102">
        <f t="shared" si="220"/>
        <v>968000</v>
      </c>
      <c r="I396" s="102">
        <f t="shared" si="220"/>
        <v>0</v>
      </c>
      <c r="J396" s="102">
        <f t="shared" si="220"/>
        <v>11319013.529999999</v>
      </c>
      <c r="K396" s="102">
        <f t="shared" si="220"/>
        <v>8686400.5299999993</v>
      </c>
      <c r="L396" s="102">
        <f t="shared" si="220"/>
        <v>305988.5</v>
      </c>
      <c r="M396" s="118">
        <f t="shared" si="178"/>
        <v>42.299126215224895</v>
      </c>
      <c r="N396" s="102">
        <f t="shared" si="220"/>
        <v>330000</v>
      </c>
      <c r="O396" s="102">
        <f t="shared" si="220"/>
        <v>330000</v>
      </c>
      <c r="P396" s="102">
        <f t="shared" si="220"/>
        <v>0</v>
      </c>
      <c r="Q396" s="102">
        <f t="shared" si="220"/>
        <v>0</v>
      </c>
      <c r="R396" s="102">
        <f t="shared" si="220"/>
        <v>0</v>
      </c>
      <c r="S396" s="102">
        <f t="shared" si="220"/>
        <v>330000</v>
      </c>
      <c r="T396" s="102">
        <f t="shared" si="220"/>
        <v>27089450</v>
      </c>
      <c r="U396" s="102">
        <f t="shared" si="220"/>
        <v>18499</v>
      </c>
      <c r="V396" s="102">
        <f t="shared" si="220"/>
        <v>18499</v>
      </c>
      <c r="W396" s="102">
        <f t="shared" si="220"/>
        <v>0</v>
      </c>
      <c r="X396" s="102">
        <f t="shared" si="220"/>
        <v>0</v>
      </c>
      <c r="Y396" s="102">
        <f t="shared" si="220"/>
        <v>0</v>
      </c>
      <c r="Z396" s="102">
        <f t="shared" si="220"/>
        <v>18499</v>
      </c>
      <c r="AA396" s="118">
        <f t="shared" si="175"/>
        <v>5.6057575757575755</v>
      </c>
      <c r="AB396" s="102">
        <f t="shared" si="176"/>
        <v>11337512.529999999</v>
      </c>
    </row>
    <row r="397" spans="1:28" s="75" customFormat="1" ht="51.75" customHeight="1" x14ac:dyDescent="0.25">
      <c r="A397" s="1" t="s">
        <v>606</v>
      </c>
      <c r="B397" s="3" t="str">
        <f>'дод 5'!A18</f>
        <v>0160</v>
      </c>
      <c r="C397" s="3" t="str">
        <f>'дод 5'!B18</f>
        <v>0111</v>
      </c>
      <c r="D397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397" s="101">
        <f>F397+I397</f>
        <v>25054450</v>
      </c>
      <c r="F397" s="101">
        <f>23520400-318850+1852900</f>
        <v>25054450</v>
      </c>
      <c r="G397" s="101">
        <f>17509100-261350+1520000</f>
        <v>18767750</v>
      </c>
      <c r="H397" s="101">
        <v>968000</v>
      </c>
      <c r="I397" s="101"/>
      <c r="J397" s="101">
        <v>11224565.539999999</v>
      </c>
      <c r="K397" s="101">
        <v>8686400.5299999993</v>
      </c>
      <c r="L397" s="101">
        <v>305988.5</v>
      </c>
      <c r="M397" s="112">
        <f t="shared" si="178"/>
        <v>44.800686265314141</v>
      </c>
      <c r="N397" s="101">
        <f>P397+S397</f>
        <v>0</v>
      </c>
      <c r="O397" s="101"/>
      <c r="P397" s="101"/>
      <c r="Q397" s="101"/>
      <c r="R397" s="101"/>
      <c r="S397" s="101"/>
      <c r="T397" s="101">
        <f>E397+N397</f>
        <v>25054450</v>
      </c>
      <c r="U397" s="104">
        <f>W397+Z397</f>
        <v>0</v>
      </c>
      <c r="V397" s="104"/>
      <c r="W397" s="104"/>
      <c r="X397" s="104"/>
      <c r="Y397" s="104"/>
      <c r="Z397" s="104"/>
      <c r="AA397" s="112"/>
      <c r="AB397" s="101">
        <f t="shared" si="176"/>
        <v>11224565.539999999</v>
      </c>
    </row>
    <row r="398" spans="1:28" s="75" customFormat="1" ht="30" customHeight="1" x14ac:dyDescent="0.25">
      <c r="A398" s="1" t="s">
        <v>608</v>
      </c>
      <c r="B398" s="3" t="str">
        <f>'дод 5'!A189</f>
        <v>6090</v>
      </c>
      <c r="C398" s="3" t="str">
        <f>'дод 5'!B189</f>
        <v>0640</v>
      </c>
      <c r="D398" s="58" t="str">
        <f>'дод 5'!C189</f>
        <v>Інша діяльність у сфері житлово-комунального господарства</v>
      </c>
      <c r="E398" s="101">
        <f t="shared" ref="E398:E405" si="221">F398+I398</f>
        <v>200000</v>
      </c>
      <c r="F398" s="101">
        <v>200000</v>
      </c>
      <c r="G398" s="101"/>
      <c r="H398" s="101"/>
      <c r="I398" s="101"/>
      <c r="J398" s="101"/>
      <c r="K398" s="101"/>
      <c r="L398" s="101"/>
      <c r="M398" s="112">
        <f t="shared" si="178"/>
        <v>0</v>
      </c>
      <c r="N398" s="101">
        <f t="shared" ref="N398:N405" si="222">P398+S398</f>
        <v>0</v>
      </c>
      <c r="O398" s="101"/>
      <c r="P398" s="101"/>
      <c r="Q398" s="101"/>
      <c r="R398" s="101"/>
      <c r="S398" s="101"/>
      <c r="T398" s="101">
        <f t="shared" ref="T398:T405" si="223">E398+N398</f>
        <v>200000</v>
      </c>
      <c r="U398" s="104">
        <f t="shared" ref="U398:U405" si="224">W398+Z398</f>
        <v>0</v>
      </c>
      <c r="V398" s="104"/>
      <c r="W398" s="104"/>
      <c r="X398" s="104"/>
      <c r="Y398" s="104"/>
      <c r="Z398" s="104"/>
      <c r="AA398" s="112"/>
      <c r="AB398" s="101">
        <f t="shared" si="176"/>
        <v>0</v>
      </c>
    </row>
    <row r="399" spans="1:28" s="75" customFormat="1" ht="27.75" customHeight="1" x14ac:dyDescent="0.25">
      <c r="A399" s="1" t="s">
        <v>611</v>
      </c>
      <c r="B399" s="3" t="str">
        <f>'дод 5'!A201</f>
        <v>7130</v>
      </c>
      <c r="C399" s="3" t="str">
        <f>'дод 5'!B201</f>
        <v>0421</v>
      </c>
      <c r="D399" s="58" t="str">
        <f>'дод 5'!C201</f>
        <v>Здійснення заходів із землеустрою</v>
      </c>
      <c r="E399" s="101">
        <f t="shared" si="221"/>
        <v>600000</v>
      </c>
      <c r="F399" s="101">
        <f>200000+400000</f>
        <v>600000</v>
      </c>
      <c r="G399" s="101"/>
      <c r="H399" s="101"/>
      <c r="I399" s="101"/>
      <c r="J399" s="101">
        <v>4600</v>
      </c>
      <c r="K399" s="101"/>
      <c r="L399" s="101"/>
      <c r="M399" s="112">
        <f t="shared" si="178"/>
        <v>0.76666666666666661</v>
      </c>
      <c r="N399" s="101">
        <f t="shared" si="222"/>
        <v>0</v>
      </c>
      <c r="O399" s="101"/>
      <c r="P399" s="101"/>
      <c r="Q399" s="101"/>
      <c r="R399" s="101"/>
      <c r="S399" s="101"/>
      <c r="T399" s="101">
        <f t="shared" si="223"/>
        <v>600000</v>
      </c>
      <c r="U399" s="104">
        <f t="shared" si="224"/>
        <v>0</v>
      </c>
      <c r="V399" s="104"/>
      <c r="W399" s="104"/>
      <c r="X399" s="104"/>
      <c r="Y399" s="104"/>
      <c r="Z399" s="104"/>
      <c r="AA399" s="112"/>
      <c r="AB399" s="101">
        <f t="shared" si="176"/>
        <v>4600</v>
      </c>
    </row>
    <row r="400" spans="1:28" s="75" customFormat="1" ht="31.5" hidden="1" customHeight="1" x14ac:dyDescent="0.25">
      <c r="A400" s="1" t="s">
        <v>609</v>
      </c>
      <c r="B400" s="3" t="str">
        <f>'дод 5'!A215</f>
        <v>7340</v>
      </c>
      <c r="C400" s="3" t="str">
        <f>'дод 5'!B215</f>
        <v>0443</v>
      </c>
      <c r="D400" s="58" t="str">
        <f>'дод 5'!C215</f>
        <v>Проектування, реставрація та охорона пам'яток архітектури</v>
      </c>
      <c r="E400" s="101">
        <f t="shared" si="221"/>
        <v>0</v>
      </c>
      <c r="F400" s="101"/>
      <c r="G400" s="101"/>
      <c r="H400" s="101"/>
      <c r="I400" s="101"/>
      <c r="J400" s="101"/>
      <c r="K400" s="101"/>
      <c r="L400" s="101"/>
      <c r="M400" s="112" t="e">
        <f t="shared" si="178"/>
        <v>#DIV/0!</v>
      </c>
      <c r="N400" s="101">
        <f t="shared" si="222"/>
        <v>0</v>
      </c>
      <c r="O400" s="101"/>
      <c r="P400" s="101"/>
      <c r="Q400" s="101"/>
      <c r="R400" s="101"/>
      <c r="S400" s="101"/>
      <c r="T400" s="101">
        <f t="shared" si="223"/>
        <v>0</v>
      </c>
      <c r="U400" s="104">
        <f t="shared" si="224"/>
        <v>0</v>
      </c>
      <c r="V400" s="104"/>
      <c r="W400" s="104"/>
      <c r="X400" s="104"/>
      <c r="Y400" s="104"/>
      <c r="Z400" s="104"/>
      <c r="AA400" s="112" t="e">
        <f t="shared" si="175"/>
        <v>#DIV/0!</v>
      </c>
      <c r="AB400" s="101">
        <f t="shared" si="176"/>
        <v>0</v>
      </c>
    </row>
    <row r="401" spans="1:28" s="75" customFormat="1" ht="30" customHeight="1" x14ac:dyDescent="0.25">
      <c r="A401" s="1" t="s">
        <v>610</v>
      </c>
      <c r="B401" s="3">
        <f>'дод 5'!A223</f>
        <v>7370</v>
      </c>
      <c r="C401" s="3" t="str">
        <f>'дод 5'!B223</f>
        <v>0490</v>
      </c>
      <c r="D401" s="58" t="str">
        <f>'дод 5'!C223</f>
        <v>Реалізація інших заходів щодо соціально-економічного розвитку територій</v>
      </c>
      <c r="E401" s="101">
        <f t="shared" si="221"/>
        <v>245000</v>
      </c>
      <c r="F401" s="101">
        <f>45000+200000</f>
        <v>245000</v>
      </c>
      <c r="G401" s="101"/>
      <c r="H401" s="101"/>
      <c r="I401" s="101"/>
      <c r="J401" s="101"/>
      <c r="K401" s="101"/>
      <c r="L401" s="101"/>
      <c r="M401" s="112">
        <f t="shared" ref="M401:M423" si="225">J401/E401*100</f>
        <v>0</v>
      </c>
      <c r="N401" s="101">
        <f t="shared" si="222"/>
        <v>250000</v>
      </c>
      <c r="O401" s="101">
        <f>150000+100000</f>
        <v>250000</v>
      </c>
      <c r="P401" s="101"/>
      <c r="Q401" s="101"/>
      <c r="R401" s="101"/>
      <c r="S401" s="101">
        <f>150000+100000</f>
        <v>250000</v>
      </c>
      <c r="T401" s="101">
        <f t="shared" si="223"/>
        <v>495000</v>
      </c>
      <c r="U401" s="104">
        <f t="shared" si="224"/>
        <v>0</v>
      </c>
      <c r="V401" s="104"/>
      <c r="W401" s="104"/>
      <c r="X401" s="104"/>
      <c r="Y401" s="104"/>
      <c r="Z401" s="104"/>
      <c r="AA401" s="112">
        <f t="shared" ref="AA401:AA425" si="226">U401/N401*100</f>
        <v>0</v>
      </c>
      <c r="AB401" s="101">
        <f t="shared" ref="AB401:AB425" si="227">U401+J401</f>
        <v>0</v>
      </c>
    </row>
    <row r="402" spans="1:28" s="75" customFormat="1" ht="33" hidden="1" customHeight="1" x14ac:dyDescent="0.25">
      <c r="A402" s="1" t="s">
        <v>612</v>
      </c>
      <c r="B402" s="3" t="str">
        <f>'дод 5'!A248</f>
        <v>7610</v>
      </c>
      <c r="C402" s="3" t="str">
        <f>'дод 5'!B248</f>
        <v>0411</v>
      </c>
      <c r="D402" s="58" t="str">
        <f>'дод 5'!C248</f>
        <v>Сприяння розвитку малого та середнього підприємництва</v>
      </c>
      <c r="E402" s="101">
        <f t="shared" si="221"/>
        <v>0</v>
      </c>
      <c r="F402" s="101"/>
      <c r="G402" s="101"/>
      <c r="H402" s="101"/>
      <c r="I402" s="101"/>
      <c r="J402" s="101"/>
      <c r="K402" s="101"/>
      <c r="L402" s="101"/>
      <c r="M402" s="112" t="e">
        <f t="shared" si="225"/>
        <v>#DIV/0!</v>
      </c>
      <c r="N402" s="101">
        <f t="shared" si="222"/>
        <v>0</v>
      </c>
      <c r="O402" s="101"/>
      <c r="P402" s="101"/>
      <c r="Q402" s="101"/>
      <c r="R402" s="101"/>
      <c r="S402" s="101"/>
      <c r="T402" s="101">
        <f t="shared" si="223"/>
        <v>0</v>
      </c>
      <c r="U402" s="104">
        <f t="shared" si="224"/>
        <v>0</v>
      </c>
      <c r="V402" s="104"/>
      <c r="W402" s="104"/>
      <c r="X402" s="104"/>
      <c r="Y402" s="104"/>
      <c r="Z402" s="104"/>
      <c r="AA402" s="112" t="e">
        <f t="shared" si="226"/>
        <v>#DIV/0!</v>
      </c>
      <c r="AB402" s="101">
        <f t="shared" si="227"/>
        <v>0</v>
      </c>
    </row>
    <row r="403" spans="1:28" s="75" customFormat="1" ht="37.5" customHeight="1" x14ac:dyDescent="0.25">
      <c r="A403" s="1" t="s">
        <v>613</v>
      </c>
      <c r="B403" s="3" t="str">
        <f>'дод 5'!A253</f>
        <v>7650</v>
      </c>
      <c r="C403" s="3" t="str">
        <f>'дод 5'!B253</f>
        <v>0490</v>
      </c>
      <c r="D403" s="58" t="str">
        <f>'дод 5'!C253</f>
        <v>Проведення експертної грошової оцінки земельної ділянки чи права на неї</v>
      </c>
      <c r="E403" s="101">
        <f t="shared" si="221"/>
        <v>0</v>
      </c>
      <c r="F403" s="101"/>
      <c r="G403" s="101"/>
      <c r="H403" s="101"/>
      <c r="I403" s="101"/>
      <c r="J403" s="101"/>
      <c r="K403" s="101"/>
      <c r="L403" s="101"/>
      <c r="M403" s="112"/>
      <c r="N403" s="101">
        <f t="shared" si="222"/>
        <v>30000</v>
      </c>
      <c r="O403" s="101">
        <v>30000</v>
      </c>
      <c r="P403" s="101"/>
      <c r="Q403" s="101"/>
      <c r="R403" s="101"/>
      <c r="S403" s="101">
        <v>30000</v>
      </c>
      <c r="T403" s="101">
        <f t="shared" si="223"/>
        <v>30000</v>
      </c>
      <c r="U403" s="104">
        <f t="shared" si="224"/>
        <v>0</v>
      </c>
      <c r="V403" s="104"/>
      <c r="W403" s="104"/>
      <c r="X403" s="104"/>
      <c r="Y403" s="104"/>
      <c r="Z403" s="104"/>
      <c r="AA403" s="112">
        <f t="shared" si="226"/>
        <v>0</v>
      </c>
      <c r="AB403" s="101">
        <f t="shared" si="227"/>
        <v>0</v>
      </c>
    </row>
    <row r="404" spans="1:28" s="75" customFormat="1" ht="63" x14ac:dyDescent="0.25">
      <c r="A404" s="1" t="s">
        <v>614</v>
      </c>
      <c r="B404" s="3" t="str">
        <f>'дод 5'!A254</f>
        <v>7660</v>
      </c>
      <c r="C404" s="3" t="str">
        <f>'дод 5'!B254</f>
        <v>0490</v>
      </c>
      <c r="D404" s="58" t="str">
        <f>'дод 5'!C254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04" s="101">
        <f t="shared" si="221"/>
        <v>0</v>
      </c>
      <c r="F404" s="101"/>
      <c r="G404" s="101"/>
      <c r="H404" s="101"/>
      <c r="I404" s="101"/>
      <c r="J404" s="101"/>
      <c r="K404" s="101"/>
      <c r="L404" s="101"/>
      <c r="M404" s="112"/>
      <c r="N404" s="101">
        <f t="shared" si="222"/>
        <v>50000</v>
      </c>
      <c r="O404" s="101">
        <v>50000</v>
      </c>
      <c r="P404" s="101"/>
      <c r="Q404" s="101"/>
      <c r="R404" s="101"/>
      <c r="S404" s="101">
        <v>50000</v>
      </c>
      <c r="T404" s="101">
        <f t="shared" si="223"/>
        <v>50000</v>
      </c>
      <c r="U404" s="104">
        <f t="shared" si="224"/>
        <v>18499</v>
      </c>
      <c r="V404" s="104">
        <v>18499</v>
      </c>
      <c r="W404" s="104"/>
      <c r="X404" s="104"/>
      <c r="Y404" s="104"/>
      <c r="Z404" s="104">
        <v>18499</v>
      </c>
      <c r="AA404" s="112">
        <f t="shared" si="226"/>
        <v>36.997999999999998</v>
      </c>
      <c r="AB404" s="101">
        <f t="shared" si="227"/>
        <v>18499</v>
      </c>
    </row>
    <row r="405" spans="1:28" s="75" customFormat="1" ht="27.75" customHeight="1" x14ac:dyDescent="0.25">
      <c r="A405" s="1" t="s">
        <v>615</v>
      </c>
      <c r="B405" s="3" t="str">
        <f>'дод 5'!A259</f>
        <v>7693</v>
      </c>
      <c r="C405" s="3" t="str">
        <f>'дод 5'!B259</f>
        <v>0490</v>
      </c>
      <c r="D405" s="58" t="str">
        <f>'дод 5'!C259</f>
        <v>Інші заходи, пов'язані з економічною діяльністю</v>
      </c>
      <c r="E405" s="101">
        <f t="shared" si="221"/>
        <v>660000</v>
      </c>
      <c r="F405" s="101">
        <v>660000</v>
      </c>
      <c r="G405" s="101"/>
      <c r="H405" s="101"/>
      <c r="I405" s="101"/>
      <c r="J405" s="101">
        <v>89847.99</v>
      </c>
      <c r="K405" s="101"/>
      <c r="L405" s="101"/>
      <c r="M405" s="112">
        <f t="shared" si="225"/>
        <v>13.61333181818182</v>
      </c>
      <c r="N405" s="101">
        <f t="shared" si="222"/>
        <v>0</v>
      </c>
      <c r="O405" s="101"/>
      <c r="P405" s="101"/>
      <c r="Q405" s="101"/>
      <c r="R405" s="101"/>
      <c r="S405" s="101"/>
      <c r="T405" s="101">
        <f t="shared" si="223"/>
        <v>660000</v>
      </c>
      <c r="U405" s="104">
        <f t="shared" si="224"/>
        <v>0</v>
      </c>
      <c r="V405" s="104"/>
      <c r="W405" s="104"/>
      <c r="X405" s="104"/>
      <c r="Y405" s="104"/>
      <c r="Z405" s="104"/>
      <c r="AA405" s="112"/>
      <c r="AB405" s="101">
        <f t="shared" si="227"/>
        <v>89847.99</v>
      </c>
    </row>
    <row r="406" spans="1:28" s="74" customFormat="1" ht="38.25" customHeight="1" x14ac:dyDescent="0.25">
      <c r="A406" s="61" t="s">
        <v>215</v>
      </c>
      <c r="B406" s="33"/>
      <c r="C406" s="33"/>
      <c r="D406" s="59" t="s">
        <v>40</v>
      </c>
      <c r="E406" s="100">
        <f>E407</f>
        <v>44021246.120000005</v>
      </c>
      <c r="F406" s="100">
        <f t="shared" ref="F406:Z406" si="228">F407</f>
        <v>28908564</v>
      </c>
      <c r="G406" s="100">
        <f t="shared" si="228"/>
        <v>19367870</v>
      </c>
      <c r="H406" s="100">
        <f t="shared" si="228"/>
        <v>578400</v>
      </c>
      <c r="I406" s="100">
        <f t="shared" si="228"/>
        <v>0</v>
      </c>
      <c r="J406" s="100">
        <f t="shared" si="228"/>
        <v>13710897.24</v>
      </c>
      <c r="K406" s="100">
        <f t="shared" si="228"/>
        <v>10104555.1</v>
      </c>
      <c r="L406" s="100">
        <f t="shared" si="228"/>
        <v>243905.67</v>
      </c>
      <c r="M406" s="117">
        <f t="shared" si="225"/>
        <v>31.146090691355464</v>
      </c>
      <c r="N406" s="100">
        <f t="shared" si="228"/>
        <v>289600</v>
      </c>
      <c r="O406" s="100">
        <f t="shared" si="228"/>
        <v>0</v>
      </c>
      <c r="P406" s="100">
        <f t="shared" si="228"/>
        <v>289600</v>
      </c>
      <c r="Q406" s="100">
        <f t="shared" si="228"/>
        <v>0</v>
      </c>
      <c r="R406" s="100">
        <f t="shared" si="228"/>
        <v>0</v>
      </c>
      <c r="S406" s="100">
        <f t="shared" si="228"/>
        <v>0</v>
      </c>
      <c r="T406" s="100">
        <f t="shared" si="228"/>
        <v>44310846.120000005</v>
      </c>
      <c r="U406" s="100">
        <f t="shared" si="228"/>
        <v>72202.899999999994</v>
      </c>
      <c r="V406" s="100">
        <f t="shared" si="228"/>
        <v>0</v>
      </c>
      <c r="W406" s="100">
        <f t="shared" si="228"/>
        <v>12554.4</v>
      </c>
      <c r="X406" s="100">
        <f t="shared" si="228"/>
        <v>0</v>
      </c>
      <c r="Y406" s="100">
        <f t="shared" si="228"/>
        <v>0</v>
      </c>
      <c r="Z406" s="100">
        <f t="shared" si="228"/>
        <v>59648.5</v>
      </c>
      <c r="AA406" s="117">
        <f t="shared" si="226"/>
        <v>24.931940607734802</v>
      </c>
      <c r="AB406" s="100">
        <f t="shared" si="227"/>
        <v>13783100.140000001</v>
      </c>
    </row>
    <row r="407" spans="1:28" s="9" customFormat="1" ht="34.5" customHeight="1" x14ac:dyDescent="0.25">
      <c r="A407" s="6" t="s">
        <v>216</v>
      </c>
      <c r="B407" s="7"/>
      <c r="C407" s="7"/>
      <c r="D407" s="8" t="s">
        <v>40</v>
      </c>
      <c r="E407" s="102">
        <f>SUM(E408+E409+E410+E413+E414+E415+E416+E412+E411)</f>
        <v>44021246.120000005</v>
      </c>
      <c r="F407" s="102">
        <f t="shared" ref="F407:Z407" si="229">SUM(F408+F409+F410+F413+F414+F415+F416+F412+F411)</f>
        <v>28908564</v>
      </c>
      <c r="G407" s="102">
        <f t="shared" si="229"/>
        <v>19367870</v>
      </c>
      <c r="H407" s="102">
        <f t="shared" si="229"/>
        <v>578400</v>
      </c>
      <c r="I407" s="102">
        <f t="shared" si="229"/>
        <v>0</v>
      </c>
      <c r="J407" s="102">
        <f t="shared" si="229"/>
        <v>13710897.24</v>
      </c>
      <c r="K407" s="102">
        <f t="shared" si="229"/>
        <v>10104555.1</v>
      </c>
      <c r="L407" s="102">
        <f t="shared" si="229"/>
        <v>243905.67</v>
      </c>
      <c r="M407" s="118">
        <f t="shared" si="225"/>
        <v>31.146090691355464</v>
      </c>
      <c r="N407" s="102">
        <f t="shared" si="229"/>
        <v>289600</v>
      </c>
      <c r="O407" s="102">
        <f t="shared" si="229"/>
        <v>0</v>
      </c>
      <c r="P407" s="102">
        <f t="shared" si="229"/>
        <v>289600</v>
      </c>
      <c r="Q407" s="102">
        <f t="shared" si="229"/>
        <v>0</v>
      </c>
      <c r="R407" s="102">
        <f t="shared" si="229"/>
        <v>0</v>
      </c>
      <c r="S407" s="102">
        <f t="shared" si="229"/>
        <v>0</v>
      </c>
      <c r="T407" s="102">
        <f t="shared" si="229"/>
        <v>44310846.120000005</v>
      </c>
      <c r="U407" s="102">
        <f t="shared" si="229"/>
        <v>72202.899999999994</v>
      </c>
      <c r="V407" s="102">
        <f t="shared" si="229"/>
        <v>0</v>
      </c>
      <c r="W407" s="102">
        <f t="shared" si="229"/>
        <v>12554.4</v>
      </c>
      <c r="X407" s="102">
        <f t="shared" si="229"/>
        <v>0</v>
      </c>
      <c r="Y407" s="102">
        <f t="shared" si="229"/>
        <v>0</v>
      </c>
      <c r="Z407" s="102">
        <f t="shared" si="229"/>
        <v>59648.5</v>
      </c>
      <c r="AA407" s="118">
        <f t="shared" si="226"/>
        <v>24.931940607734802</v>
      </c>
      <c r="AB407" s="102">
        <f t="shared" si="227"/>
        <v>13783100.140000001</v>
      </c>
    </row>
    <row r="408" spans="1:28" s="75" customFormat="1" ht="45.75" customHeight="1" x14ac:dyDescent="0.25">
      <c r="A408" s="1" t="s">
        <v>217</v>
      </c>
      <c r="B408" s="3" t="str">
        <f>'дод 5'!A18</f>
        <v>0160</v>
      </c>
      <c r="C408" s="3" t="str">
        <f>'дод 5'!B18</f>
        <v>0111</v>
      </c>
      <c r="D408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408" s="101">
        <f t="shared" ref="E408:E414" si="230">F408+I408</f>
        <v>25111295</v>
      </c>
      <c r="F408" s="101">
        <f>23032500-73200+2170930-1930935+1912000</f>
        <v>25111295</v>
      </c>
      <c r="G408" s="101">
        <f>17662800-60000+1779450-1582880+1568500</f>
        <v>19367870</v>
      </c>
      <c r="H408" s="101">
        <v>578400</v>
      </c>
      <c r="I408" s="101"/>
      <c r="J408" s="101">
        <v>12900177.52</v>
      </c>
      <c r="K408" s="101">
        <v>10104555.1</v>
      </c>
      <c r="L408" s="101">
        <v>243905.67</v>
      </c>
      <c r="M408" s="112">
        <f t="shared" si="225"/>
        <v>51.372012156282651</v>
      </c>
      <c r="N408" s="101">
        <f>P408+S408</f>
        <v>0</v>
      </c>
      <c r="O408" s="101"/>
      <c r="P408" s="101"/>
      <c r="Q408" s="101"/>
      <c r="R408" s="101"/>
      <c r="S408" s="101"/>
      <c r="T408" s="101">
        <f t="shared" ref="T408:T415" si="231">E408+N408</f>
        <v>25111295</v>
      </c>
      <c r="U408" s="104">
        <f>W408+Z408</f>
        <v>65002.9</v>
      </c>
      <c r="V408" s="104"/>
      <c r="W408" s="104">
        <v>5354.4</v>
      </c>
      <c r="X408" s="104"/>
      <c r="Y408" s="104"/>
      <c r="Z408" s="104">
        <v>59648.5</v>
      </c>
      <c r="AA408" s="112"/>
      <c r="AB408" s="101">
        <f t="shared" si="227"/>
        <v>12965180.42</v>
      </c>
    </row>
    <row r="409" spans="1:28" s="75" customFormat="1" ht="30.75" customHeight="1" x14ac:dyDescent="0.25">
      <c r="A409" s="1" t="s">
        <v>255</v>
      </c>
      <c r="B409" s="3" t="str">
        <f>'дод 5'!A249</f>
        <v>7640</v>
      </c>
      <c r="C409" s="3" t="str">
        <f>'дод 5'!B249</f>
        <v>0470</v>
      </c>
      <c r="D409" s="38" t="s">
        <v>410</v>
      </c>
      <c r="E409" s="101">
        <f t="shared" si="230"/>
        <v>654400</v>
      </c>
      <c r="F409" s="101">
        <f>665000+14400-40000+15000</f>
        <v>654400</v>
      </c>
      <c r="G409" s="101"/>
      <c r="H409" s="101"/>
      <c r="I409" s="101"/>
      <c r="J409" s="101">
        <v>27543.11</v>
      </c>
      <c r="K409" s="101"/>
      <c r="L409" s="101"/>
      <c r="M409" s="112">
        <f t="shared" si="225"/>
        <v>4.2089104523227387</v>
      </c>
      <c r="N409" s="101">
        <f t="shared" ref="N409:N416" si="232">P409+S409</f>
        <v>0</v>
      </c>
      <c r="O409" s="101"/>
      <c r="P409" s="101"/>
      <c r="Q409" s="101"/>
      <c r="R409" s="101"/>
      <c r="S409" s="101"/>
      <c r="T409" s="101">
        <f t="shared" si="231"/>
        <v>654400</v>
      </c>
      <c r="U409" s="104">
        <f t="shared" ref="U409:U416" si="233">W409+Z409</f>
        <v>0</v>
      </c>
      <c r="V409" s="104"/>
      <c r="W409" s="104"/>
      <c r="X409" s="104"/>
      <c r="Y409" s="104"/>
      <c r="Z409" s="104"/>
      <c r="AA409" s="112"/>
      <c r="AB409" s="101">
        <f t="shared" si="227"/>
        <v>27543.11</v>
      </c>
    </row>
    <row r="410" spans="1:28" s="75" customFormat="1" ht="42.75" customHeight="1" x14ac:dyDescent="0.25">
      <c r="A410" s="1" t="s">
        <v>324</v>
      </c>
      <c r="B410" s="3" t="str">
        <f>'дод 5'!A259</f>
        <v>7693</v>
      </c>
      <c r="C410" s="3" t="str">
        <f>'дод 5'!B259</f>
        <v>0490</v>
      </c>
      <c r="D410" s="38" t="str">
        <f>'дод 5'!C259</f>
        <v>Інші заходи, пов'язані з економічною діяльністю</v>
      </c>
      <c r="E410" s="101">
        <f>F410+I410</f>
        <v>50800</v>
      </c>
      <c r="F410" s="101">
        <f>177700-126900</f>
        <v>50800</v>
      </c>
      <c r="G410" s="101"/>
      <c r="H410" s="101"/>
      <c r="I410" s="101"/>
      <c r="J410" s="101">
        <v>299.06</v>
      </c>
      <c r="K410" s="101"/>
      <c r="L410" s="101"/>
      <c r="M410" s="112">
        <f t="shared" si="225"/>
        <v>0.58870078740157483</v>
      </c>
      <c r="N410" s="101">
        <f t="shared" si="232"/>
        <v>0</v>
      </c>
      <c r="O410" s="101"/>
      <c r="P410" s="101"/>
      <c r="Q410" s="101"/>
      <c r="R410" s="101"/>
      <c r="S410" s="101"/>
      <c r="T410" s="101">
        <f t="shared" si="231"/>
        <v>50800</v>
      </c>
      <c r="U410" s="104">
        <f t="shared" si="233"/>
        <v>0</v>
      </c>
      <c r="V410" s="104"/>
      <c r="W410" s="104"/>
      <c r="X410" s="104"/>
      <c r="Y410" s="104"/>
      <c r="Z410" s="104"/>
      <c r="AA410" s="112"/>
      <c r="AB410" s="101">
        <f t="shared" si="227"/>
        <v>299.06</v>
      </c>
    </row>
    <row r="411" spans="1:28" s="75" customFormat="1" ht="48.75" hidden="1" customHeight="1" x14ac:dyDescent="0.25">
      <c r="A411" s="1" t="s">
        <v>616</v>
      </c>
      <c r="B411" s="3">
        <v>7700</v>
      </c>
      <c r="C411" s="1" t="s">
        <v>92</v>
      </c>
      <c r="D411" s="38" t="s">
        <v>356</v>
      </c>
      <c r="E411" s="101">
        <f t="shared" si="230"/>
        <v>0</v>
      </c>
      <c r="F411" s="101"/>
      <c r="G411" s="101"/>
      <c r="H411" s="101"/>
      <c r="I411" s="101"/>
      <c r="J411" s="101"/>
      <c r="K411" s="101"/>
      <c r="L411" s="101"/>
      <c r="M411" s="112" t="e">
        <f t="shared" si="225"/>
        <v>#DIV/0!</v>
      </c>
      <c r="N411" s="101">
        <f t="shared" si="232"/>
        <v>0</v>
      </c>
      <c r="O411" s="101"/>
      <c r="P411" s="101"/>
      <c r="Q411" s="101"/>
      <c r="R411" s="101"/>
      <c r="S411" s="101"/>
      <c r="T411" s="101">
        <f t="shared" si="231"/>
        <v>0</v>
      </c>
      <c r="U411" s="104">
        <f t="shared" si="233"/>
        <v>0</v>
      </c>
      <c r="V411" s="104"/>
      <c r="W411" s="104"/>
      <c r="X411" s="104"/>
      <c r="Y411" s="104"/>
      <c r="Z411" s="104"/>
      <c r="AA411" s="112"/>
      <c r="AB411" s="101">
        <f t="shared" si="227"/>
        <v>0</v>
      </c>
    </row>
    <row r="412" spans="1:28" s="75" customFormat="1" ht="31.5" customHeight="1" x14ac:dyDescent="0.25">
      <c r="A412" s="1">
        <v>3718330</v>
      </c>
      <c r="B412" s="3">
        <f>'дод 5'!A274</f>
        <v>8330</v>
      </c>
      <c r="C412" s="1" t="s">
        <v>91</v>
      </c>
      <c r="D412" s="38" t="str">
        <f>'дод 5'!C274</f>
        <v xml:space="preserve">Інша діяльність у сфері екології та охорони природних ресурсів </v>
      </c>
      <c r="E412" s="101">
        <f t="shared" si="230"/>
        <v>75000</v>
      </c>
      <c r="F412" s="101">
        <v>75000</v>
      </c>
      <c r="G412" s="101"/>
      <c r="H412" s="101"/>
      <c r="I412" s="101"/>
      <c r="J412" s="101"/>
      <c r="K412" s="101"/>
      <c r="L412" s="101"/>
      <c r="M412" s="112">
        <f t="shared" si="225"/>
        <v>0</v>
      </c>
      <c r="N412" s="101">
        <f t="shared" si="232"/>
        <v>0</v>
      </c>
      <c r="O412" s="101"/>
      <c r="P412" s="101"/>
      <c r="Q412" s="101"/>
      <c r="R412" s="101"/>
      <c r="S412" s="101"/>
      <c r="T412" s="101">
        <f t="shared" si="231"/>
        <v>75000</v>
      </c>
      <c r="U412" s="104">
        <f t="shared" si="233"/>
        <v>0</v>
      </c>
      <c r="V412" s="104"/>
      <c r="W412" s="104"/>
      <c r="X412" s="104"/>
      <c r="Y412" s="104"/>
      <c r="Z412" s="104"/>
      <c r="AA412" s="112"/>
      <c r="AB412" s="101">
        <f t="shared" si="227"/>
        <v>0</v>
      </c>
    </row>
    <row r="413" spans="1:28" s="75" customFormat="1" ht="30" customHeight="1" x14ac:dyDescent="0.25">
      <c r="A413" s="1" t="s">
        <v>218</v>
      </c>
      <c r="B413" s="3" t="str">
        <f>'дод 5'!A275</f>
        <v>8340</v>
      </c>
      <c r="C413" s="1" t="str">
        <f>'дод 5'!B275</f>
        <v>0540</v>
      </c>
      <c r="D413" s="38" t="str">
        <f>'дод 5'!C275</f>
        <v>Природоохоронні заходи за рахунок цільових фондів</v>
      </c>
      <c r="E413" s="101">
        <f t="shared" si="230"/>
        <v>0</v>
      </c>
      <c r="F413" s="101"/>
      <c r="G413" s="101"/>
      <c r="H413" s="101"/>
      <c r="I413" s="101"/>
      <c r="J413" s="101"/>
      <c r="K413" s="101"/>
      <c r="L413" s="101"/>
      <c r="M413" s="112"/>
      <c r="N413" s="101">
        <f t="shared" si="232"/>
        <v>289600</v>
      </c>
      <c r="O413" s="101"/>
      <c r="P413" s="101">
        <v>289600</v>
      </c>
      <c r="Q413" s="101"/>
      <c r="R413" s="101"/>
      <c r="S413" s="101"/>
      <c r="T413" s="101">
        <f t="shared" si="231"/>
        <v>289600</v>
      </c>
      <c r="U413" s="104">
        <f t="shared" si="233"/>
        <v>7200</v>
      </c>
      <c r="V413" s="104"/>
      <c r="W413" s="104">
        <v>7200</v>
      </c>
      <c r="X413" s="104"/>
      <c r="Y413" s="104"/>
      <c r="Z413" s="104"/>
      <c r="AA413" s="112">
        <f t="shared" si="226"/>
        <v>2.4861878453038675</v>
      </c>
      <c r="AB413" s="101">
        <f t="shared" si="227"/>
        <v>7200</v>
      </c>
    </row>
    <row r="414" spans="1:28" s="75" customFormat="1" ht="21.75" customHeight="1" x14ac:dyDescent="0.25">
      <c r="A414" s="1" t="s">
        <v>219</v>
      </c>
      <c r="B414" s="3" t="str">
        <f>'дод 5'!A278</f>
        <v>8600</v>
      </c>
      <c r="C414" s="3" t="str">
        <f>'дод 5'!B278</f>
        <v>0170</v>
      </c>
      <c r="D414" s="38" t="str">
        <f>'дод 5'!C278</f>
        <v>Обслуговування місцевого боргу</v>
      </c>
      <c r="E414" s="101">
        <f t="shared" si="230"/>
        <v>3017069</v>
      </c>
      <c r="F414" s="101">
        <v>3017069</v>
      </c>
      <c r="G414" s="101"/>
      <c r="H414" s="101"/>
      <c r="I414" s="101"/>
      <c r="J414" s="101">
        <v>782877.55</v>
      </c>
      <c r="K414" s="101"/>
      <c r="L414" s="101"/>
      <c r="M414" s="112">
        <f t="shared" si="225"/>
        <v>25.948281262377492</v>
      </c>
      <c r="N414" s="101">
        <f t="shared" si="232"/>
        <v>0</v>
      </c>
      <c r="O414" s="101"/>
      <c r="P414" s="101"/>
      <c r="Q414" s="101"/>
      <c r="R414" s="101"/>
      <c r="S414" s="101"/>
      <c r="T414" s="101">
        <f t="shared" si="231"/>
        <v>3017069</v>
      </c>
      <c r="U414" s="104">
        <f t="shared" si="233"/>
        <v>0</v>
      </c>
      <c r="V414" s="104"/>
      <c r="W414" s="104"/>
      <c r="X414" s="104"/>
      <c r="Y414" s="104"/>
      <c r="Z414" s="104"/>
      <c r="AA414" s="112"/>
      <c r="AB414" s="101">
        <f t="shared" si="227"/>
        <v>782877.55</v>
      </c>
    </row>
    <row r="415" spans="1:28" s="75" customFormat="1" ht="24.75" customHeight="1" x14ac:dyDescent="0.25">
      <c r="A415" s="1" t="s">
        <v>484</v>
      </c>
      <c r="B415" s="3">
        <v>8710</v>
      </c>
      <c r="C415" s="3" t="str">
        <f>'дод 5'!B280</f>
        <v>0133</v>
      </c>
      <c r="D415" s="38" t="str">
        <f>'дод 5'!C280</f>
        <v>Резервний фонд місцевого бюджету</v>
      </c>
      <c r="E415" s="101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</f>
        <v>15112682.120000001</v>
      </c>
      <c r="F415" s="101"/>
      <c r="G415" s="101"/>
      <c r="H415" s="101"/>
      <c r="I415" s="101"/>
      <c r="J415" s="101"/>
      <c r="K415" s="101"/>
      <c r="L415" s="101"/>
      <c r="M415" s="112">
        <f t="shared" si="225"/>
        <v>0</v>
      </c>
      <c r="N415" s="101">
        <f t="shared" si="232"/>
        <v>0</v>
      </c>
      <c r="O415" s="101"/>
      <c r="P415" s="101"/>
      <c r="Q415" s="101"/>
      <c r="R415" s="101"/>
      <c r="S415" s="101"/>
      <c r="T415" s="101">
        <f t="shared" si="231"/>
        <v>15112682.120000001</v>
      </c>
      <c r="U415" s="104">
        <f t="shared" si="233"/>
        <v>0</v>
      </c>
      <c r="V415" s="104"/>
      <c r="W415" s="104"/>
      <c r="X415" s="104"/>
      <c r="Y415" s="104"/>
      <c r="Z415" s="104"/>
      <c r="AA415" s="112"/>
      <c r="AB415" s="101">
        <f t="shared" si="227"/>
        <v>0</v>
      </c>
    </row>
    <row r="416" spans="1:28" s="75" customFormat="1" ht="24.75" hidden="1" customHeight="1" x14ac:dyDescent="0.25">
      <c r="A416" s="1" t="s">
        <v>229</v>
      </c>
      <c r="B416" s="3" t="str">
        <f>'дод 5'!A288</f>
        <v>9110</v>
      </c>
      <c r="C416" s="3" t="str">
        <f>'дод 5'!B288</f>
        <v>0180</v>
      </c>
      <c r="D416" s="38" t="str">
        <f>'дод 5'!C288</f>
        <v>Реверсна дотація</v>
      </c>
      <c r="E416" s="101">
        <f>F416+I416</f>
        <v>0</v>
      </c>
      <c r="F416" s="101"/>
      <c r="G416" s="101"/>
      <c r="H416" s="101"/>
      <c r="I416" s="101"/>
      <c r="J416" s="101"/>
      <c r="K416" s="101"/>
      <c r="L416" s="101"/>
      <c r="M416" s="112" t="e">
        <f t="shared" si="225"/>
        <v>#DIV/0!</v>
      </c>
      <c r="N416" s="101">
        <f t="shared" si="232"/>
        <v>0</v>
      </c>
      <c r="O416" s="101"/>
      <c r="P416" s="101"/>
      <c r="Q416" s="101"/>
      <c r="R416" s="101"/>
      <c r="S416" s="101"/>
      <c r="T416" s="101">
        <f>E416+N416</f>
        <v>0</v>
      </c>
      <c r="U416" s="104">
        <f t="shared" si="233"/>
        <v>0</v>
      </c>
      <c r="V416" s="104"/>
      <c r="W416" s="104"/>
      <c r="X416" s="104"/>
      <c r="Y416" s="104"/>
      <c r="Z416" s="104"/>
      <c r="AA416" s="112" t="e">
        <f t="shared" si="226"/>
        <v>#DIV/0!</v>
      </c>
      <c r="AB416" s="101">
        <f t="shared" si="227"/>
        <v>0</v>
      </c>
    </row>
    <row r="417" spans="1:28" s="74" customFormat="1" ht="36.75" customHeight="1" x14ac:dyDescent="0.25">
      <c r="A417" s="61" t="s">
        <v>667</v>
      </c>
      <c r="B417" s="33"/>
      <c r="C417" s="33"/>
      <c r="D417" s="59" t="s">
        <v>673</v>
      </c>
      <c r="E417" s="100">
        <f>E418</f>
        <v>8046100</v>
      </c>
      <c r="F417" s="100">
        <f t="shared" ref="F417:Z418" si="234">F418</f>
        <v>8046100</v>
      </c>
      <c r="G417" s="100">
        <f t="shared" si="234"/>
        <v>5983000</v>
      </c>
      <c r="H417" s="100">
        <f t="shared" si="234"/>
        <v>92800</v>
      </c>
      <c r="I417" s="100">
        <f t="shared" si="234"/>
        <v>0</v>
      </c>
      <c r="J417" s="100">
        <f t="shared" si="234"/>
        <v>3159377.05</v>
      </c>
      <c r="K417" s="100">
        <f t="shared" si="234"/>
        <v>2355262.35</v>
      </c>
      <c r="L417" s="100">
        <f t="shared" si="234"/>
        <v>35221.279999999999</v>
      </c>
      <c r="M417" s="117">
        <f t="shared" si="225"/>
        <v>39.265943127726473</v>
      </c>
      <c r="N417" s="100">
        <f t="shared" si="234"/>
        <v>350000</v>
      </c>
      <c r="O417" s="100">
        <f t="shared" si="234"/>
        <v>350000</v>
      </c>
      <c r="P417" s="100">
        <f t="shared" si="234"/>
        <v>0</v>
      </c>
      <c r="Q417" s="100">
        <f t="shared" si="234"/>
        <v>0</v>
      </c>
      <c r="R417" s="100">
        <f t="shared" si="234"/>
        <v>0</v>
      </c>
      <c r="S417" s="100">
        <f t="shared" si="234"/>
        <v>350000</v>
      </c>
      <c r="T417" s="100">
        <f t="shared" si="234"/>
        <v>8396100</v>
      </c>
      <c r="U417" s="100">
        <f t="shared" si="234"/>
        <v>342030</v>
      </c>
      <c r="V417" s="100">
        <f t="shared" si="234"/>
        <v>342030</v>
      </c>
      <c r="W417" s="100">
        <f t="shared" si="234"/>
        <v>0</v>
      </c>
      <c r="X417" s="100">
        <f t="shared" si="234"/>
        <v>0</v>
      </c>
      <c r="Y417" s="100">
        <f t="shared" si="234"/>
        <v>0</v>
      </c>
      <c r="Z417" s="100">
        <f t="shared" si="234"/>
        <v>342030</v>
      </c>
      <c r="AA417" s="117">
        <f t="shared" si="226"/>
        <v>97.722857142857151</v>
      </c>
      <c r="AB417" s="100">
        <f t="shared" si="227"/>
        <v>3501407.05</v>
      </c>
    </row>
    <row r="418" spans="1:28" s="9" customFormat="1" ht="38.25" customHeight="1" x14ac:dyDescent="0.25">
      <c r="A418" s="6" t="s">
        <v>667</v>
      </c>
      <c r="B418" s="7"/>
      <c r="C418" s="7"/>
      <c r="D418" s="8" t="s">
        <v>673</v>
      </c>
      <c r="E418" s="102">
        <f>E419</f>
        <v>8046100</v>
      </c>
      <c r="F418" s="102">
        <f t="shared" si="234"/>
        <v>8046100</v>
      </c>
      <c r="G418" s="102">
        <f t="shared" si="234"/>
        <v>5983000</v>
      </c>
      <c r="H418" s="102">
        <f t="shared" si="234"/>
        <v>92800</v>
      </c>
      <c r="I418" s="102">
        <f t="shared" si="234"/>
        <v>0</v>
      </c>
      <c r="J418" s="102">
        <f t="shared" si="234"/>
        <v>3159377.05</v>
      </c>
      <c r="K418" s="102">
        <f t="shared" si="234"/>
        <v>2355262.35</v>
      </c>
      <c r="L418" s="102">
        <f t="shared" si="234"/>
        <v>35221.279999999999</v>
      </c>
      <c r="M418" s="118">
        <f t="shared" si="225"/>
        <v>39.265943127726473</v>
      </c>
      <c r="N418" s="102">
        <f t="shared" si="234"/>
        <v>350000</v>
      </c>
      <c r="O418" s="102">
        <f t="shared" si="234"/>
        <v>350000</v>
      </c>
      <c r="P418" s="102">
        <f t="shared" si="234"/>
        <v>0</v>
      </c>
      <c r="Q418" s="102">
        <f t="shared" si="234"/>
        <v>0</v>
      </c>
      <c r="R418" s="102">
        <f t="shared" si="234"/>
        <v>0</v>
      </c>
      <c r="S418" s="102">
        <f t="shared" si="234"/>
        <v>350000</v>
      </c>
      <c r="T418" s="102">
        <f t="shared" si="234"/>
        <v>8396100</v>
      </c>
      <c r="U418" s="102">
        <f t="shared" si="234"/>
        <v>342030</v>
      </c>
      <c r="V418" s="102">
        <f t="shared" si="234"/>
        <v>342030</v>
      </c>
      <c r="W418" s="102">
        <f t="shared" si="234"/>
        <v>0</v>
      </c>
      <c r="X418" s="102">
        <f t="shared" si="234"/>
        <v>0</v>
      </c>
      <c r="Y418" s="102">
        <f t="shared" si="234"/>
        <v>0</v>
      </c>
      <c r="Z418" s="102">
        <f t="shared" si="234"/>
        <v>342030</v>
      </c>
      <c r="AA418" s="118">
        <f t="shared" si="226"/>
        <v>97.722857142857151</v>
      </c>
      <c r="AB418" s="102">
        <f t="shared" si="227"/>
        <v>3501407.05</v>
      </c>
    </row>
    <row r="419" spans="1:28" s="75" customFormat="1" ht="47.25" x14ac:dyDescent="0.25">
      <c r="A419" s="1" t="s">
        <v>668</v>
      </c>
      <c r="B419" s="1" t="s">
        <v>117</v>
      </c>
      <c r="C419" s="3" t="s">
        <v>45</v>
      </c>
      <c r="D419" s="38" t="s">
        <v>469</v>
      </c>
      <c r="E419" s="101">
        <f t="shared" ref="E419" si="235">F419+I419</f>
        <v>8046100</v>
      </c>
      <c r="F419" s="101">
        <f>7421100+5000+620000</f>
        <v>8046100</v>
      </c>
      <c r="G419" s="101">
        <f>5470600+4100+508300</f>
        <v>5983000</v>
      </c>
      <c r="H419" s="101">
        <v>92800</v>
      </c>
      <c r="I419" s="101"/>
      <c r="J419" s="101">
        <v>3159377.05</v>
      </c>
      <c r="K419" s="101">
        <v>2355262.35</v>
      </c>
      <c r="L419" s="101">
        <v>35221.279999999999</v>
      </c>
      <c r="M419" s="112">
        <f t="shared" si="225"/>
        <v>39.265943127726473</v>
      </c>
      <c r="N419" s="101">
        <f t="shared" ref="N419" si="236">P419+S419</f>
        <v>350000</v>
      </c>
      <c r="O419" s="101">
        <v>350000</v>
      </c>
      <c r="P419" s="101"/>
      <c r="Q419" s="101"/>
      <c r="R419" s="101"/>
      <c r="S419" s="101">
        <v>350000</v>
      </c>
      <c r="T419" s="101">
        <f t="shared" ref="T419" si="237">E419+N419</f>
        <v>8396100</v>
      </c>
      <c r="U419" s="104">
        <f>W419+Z419</f>
        <v>342030</v>
      </c>
      <c r="V419" s="104">
        <v>342030</v>
      </c>
      <c r="W419" s="104"/>
      <c r="X419" s="104"/>
      <c r="Y419" s="104"/>
      <c r="Z419" s="104">
        <v>342030</v>
      </c>
      <c r="AA419" s="112">
        <f t="shared" si="226"/>
        <v>97.722857142857151</v>
      </c>
      <c r="AB419" s="101">
        <f t="shared" si="227"/>
        <v>3501407.05</v>
      </c>
    </row>
    <row r="420" spans="1:28" s="74" customFormat="1" ht="22.5" customHeight="1" x14ac:dyDescent="0.25">
      <c r="A420" s="61"/>
      <c r="B420" s="33"/>
      <c r="C420" s="127"/>
      <c r="D420" s="59" t="s">
        <v>396</v>
      </c>
      <c r="E420" s="100">
        <f t="shared" ref="E420:S420" si="238">E16+E68+E152+E193+E241+E250+E261+E325+E332+E364+E372+E379+E406+E328+E395+E387+E375+E417</f>
        <v>3054256629.9400001</v>
      </c>
      <c r="F420" s="100">
        <f t="shared" si="238"/>
        <v>2868958443.2000003</v>
      </c>
      <c r="G420" s="100">
        <f t="shared" si="238"/>
        <v>1426478552</v>
      </c>
      <c r="H420" s="100">
        <f t="shared" si="238"/>
        <v>214932400</v>
      </c>
      <c r="I420" s="100">
        <f t="shared" ref="I420:L420" si="239">I16+I68+I152+I193+I241+I250+I261+I325+I332+I364+I372+I379+I406+I328+I395+I387+I375+I417</f>
        <v>170185504.62</v>
      </c>
      <c r="J420" s="100">
        <f t="shared" si="239"/>
        <v>1461629109.1100001</v>
      </c>
      <c r="K420" s="100">
        <f t="shared" si="239"/>
        <v>714898540.73999989</v>
      </c>
      <c r="L420" s="100">
        <f t="shared" si="239"/>
        <v>98121111.830000028</v>
      </c>
      <c r="M420" s="117">
        <f t="shared" si="225"/>
        <v>47.855477983810204</v>
      </c>
      <c r="N420" s="100">
        <f t="shared" si="238"/>
        <v>872413583.00999999</v>
      </c>
      <c r="O420" s="100">
        <f t="shared" si="238"/>
        <v>681348799.64999998</v>
      </c>
      <c r="P420" s="100">
        <f t="shared" si="238"/>
        <v>114458049.34999999</v>
      </c>
      <c r="Q420" s="100">
        <f t="shared" si="238"/>
        <v>10161379</v>
      </c>
      <c r="R420" s="100">
        <f t="shared" ca="1" si="238"/>
        <v>5905712</v>
      </c>
      <c r="S420" s="100">
        <f t="shared" si="238"/>
        <v>757955533.65999997</v>
      </c>
      <c r="T420" s="100">
        <f t="shared" ref="T420:Z420" si="240">T16+T68+T152+T193+T241+T250+T261+T325+T332+T364+T372+T379+T406+T328+T395+T387+T375+T417</f>
        <v>3926670212.9499998</v>
      </c>
      <c r="U420" s="100">
        <f t="shared" si="240"/>
        <v>251956235.72</v>
      </c>
      <c r="V420" s="100">
        <f t="shared" si="240"/>
        <v>174998530.68000001</v>
      </c>
      <c r="W420" s="100">
        <f t="shared" si="240"/>
        <v>52720287.300000004</v>
      </c>
      <c r="X420" s="100">
        <f t="shared" si="240"/>
        <v>8637942.4499999993</v>
      </c>
      <c r="Y420" s="100">
        <f t="shared" si="240"/>
        <v>2556554.2299999995</v>
      </c>
      <c r="Z420" s="100">
        <f t="shared" si="240"/>
        <v>199235948.42000002</v>
      </c>
      <c r="AA420" s="117">
        <f t="shared" si="226"/>
        <v>28.880365990027457</v>
      </c>
      <c r="AB420" s="100">
        <f t="shared" si="227"/>
        <v>1713585344.8300002</v>
      </c>
    </row>
    <row r="421" spans="1:28" s="9" customFormat="1" ht="26.45" customHeight="1" x14ac:dyDescent="0.25">
      <c r="A421" s="6"/>
      <c r="B421" s="7"/>
      <c r="C421" s="55"/>
      <c r="D421" s="8" t="s">
        <v>675</v>
      </c>
      <c r="E421" s="102">
        <f>E70+E71+E334+E270+E195+E198+E72+E199+E335</f>
        <v>627072024.88999999</v>
      </c>
      <c r="F421" s="102">
        <f t="shared" ref="F421:S421" si="241">F70+F71+F334+F270+F195+F198+F72+F199+F335</f>
        <v>627072024.88999999</v>
      </c>
      <c r="G421" s="102">
        <f t="shared" si="241"/>
        <v>452674600</v>
      </c>
      <c r="H421" s="102">
        <f t="shared" si="241"/>
        <v>0</v>
      </c>
      <c r="I421" s="102">
        <f t="shared" ref="I421:L421" si="242">I70+I71+I334+I270+I195+I198+I72+I199+I335</f>
        <v>0</v>
      </c>
      <c r="J421" s="102">
        <f t="shared" si="242"/>
        <v>333454009.88999999</v>
      </c>
      <c r="K421" s="102">
        <f t="shared" si="242"/>
        <v>255465308.95000002</v>
      </c>
      <c r="L421" s="102">
        <f t="shared" si="242"/>
        <v>0</v>
      </c>
      <c r="M421" s="118">
        <f t="shared" si="225"/>
        <v>53.176349231732033</v>
      </c>
      <c r="N421" s="102">
        <f t="shared" si="241"/>
        <v>22767712</v>
      </c>
      <c r="O421" s="102">
        <f t="shared" si="241"/>
        <v>22767712</v>
      </c>
      <c r="P421" s="102">
        <f t="shared" si="241"/>
        <v>0</v>
      </c>
      <c r="Q421" s="102">
        <f t="shared" si="241"/>
        <v>0</v>
      </c>
      <c r="R421" s="102">
        <f t="shared" si="241"/>
        <v>0</v>
      </c>
      <c r="S421" s="102">
        <f t="shared" si="241"/>
        <v>22767712</v>
      </c>
      <c r="T421" s="102">
        <f t="shared" ref="T421:Z421" si="243">T70+T71+T334+T270+T195+T198+T72+T199+T335</f>
        <v>649839736.88999999</v>
      </c>
      <c r="U421" s="102">
        <f t="shared" si="243"/>
        <v>4732732</v>
      </c>
      <c r="V421" s="102">
        <f t="shared" si="243"/>
        <v>4732732</v>
      </c>
      <c r="W421" s="102">
        <f t="shared" si="243"/>
        <v>0</v>
      </c>
      <c r="X421" s="102">
        <f t="shared" si="243"/>
        <v>0</v>
      </c>
      <c r="Y421" s="102">
        <f t="shared" si="243"/>
        <v>0</v>
      </c>
      <c r="Z421" s="102">
        <f t="shared" si="243"/>
        <v>4732732</v>
      </c>
      <c r="AA421" s="118">
        <f t="shared" si="226"/>
        <v>20.787033848636174</v>
      </c>
      <c r="AB421" s="102">
        <f t="shared" si="227"/>
        <v>338186741.88999999</v>
      </c>
    </row>
    <row r="422" spans="1:28" s="9" customFormat="1" ht="44.65" customHeight="1" x14ac:dyDescent="0.25">
      <c r="A422" s="6"/>
      <c r="B422" s="7"/>
      <c r="C422" s="55"/>
      <c r="D422" s="8" t="s">
        <v>676</v>
      </c>
      <c r="E422" s="102">
        <f>E73+E80+E271+E74+E75+E76</f>
        <v>6365400.2400000002</v>
      </c>
      <c r="F422" s="102">
        <f t="shared" ref="F422:S422" si="244">F73+F80+F271+F74+F75+F76</f>
        <v>6365400.2400000002</v>
      </c>
      <c r="G422" s="102">
        <f t="shared" si="244"/>
        <v>3390984</v>
      </c>
      <c r="H422" s="102">
        <f t="shared" si="244"/>
        <v>0</v>
      </c>
      <c r="I422" s="102">
        <f t="shared" ref="I422:L422" si="245">I73+I80+I271+I74+I75+I76</f>
        <v>0</v>
      </c>
      <c r="J422" s="102">
        <f t="shared" si="245"/>
        <v>3308356.49</v>
      </c>
      <c r="K422" s="102">
        <f t="shared" si="245"/>
        <v>2219328.04</v>
      </c>
      <c r="L422" s="102">
        <f t="shared" si="245"/>
        <v>0</v>
      </c>
      <c r="M422" s="118">
        <f t="shared" si="225"/>
        <v>51.974052930880589</v>
      </c>
      <c r="N422" s="102">
        <f t="shared" si="244"/>
        <v>74641056.659999996</v>
      </c>
      <c r="O422" s="102">
        <f t="shared" si="244"/>
        <v>0</v>
      </c>
      <c r="P422" s="102">
        <f t="shared" si="244"/>
        <v>262064</v>
      </c>
      <c r="Q422" s="102">
        <f t="shared" si="244"/>
        <v>0</v>
      </c>
      <c r="R422" s="102">
        <f t="shared" si="244"/>
        <v>0</v>
      </c>
      <c r="S422" s="102">
        <f t="shared" si="244"/>
        <v>74378992.659999996</v>
      </c>
      <c r="T422" s="102">
        <f t="shared" ref="T422:Z422" si="246">T73+T80+T271+T74+T75+T76</f>
        <v>81006456.899999991</v>
      </c>
      <c r="U422" s="102">
        <f t="shared" si="246"/>
        <v>11116585.039999999</v>
      </c>
      <c r="V422" s="102">
        <f t="shared" si="246"/>
        <v>0</v>
      </c>
      <c r="W422" s="102">
        <f t="shared" si="246"/>
        <v>0</v>
      </c>
      <c r="X422" s="102">
        <f t="shared" si="246"/>
        <v>0</v>
      </c>
      <c r="Y422" s="102">
        <f t="shared" si="246"/>
        <v>0</v>
      </c>
      <c r="Z422" s="102">
        <f t="shared" si="246"/>
        <v>11116585.039999999</v>
      </c>
      <c r="AA422" s="118">
        <f t="shared" si="226"/>
        <v>14.89339183746759</v>
      </c>
      <c r="AB422" s="102">
        <f t="shared" si="227"/>
        <v>14424941.529999999</v>
      </c>
    </row>
    <row r="423" spans="1:28" s="9" customFormat="1" ht="22.35" customHeight="1" x14ac:dyDescent="0.25">
      <c r="A423" s="6"/>
      <c r="B423" s="7"/>
      <c r="C423" s="55"/>
      <c r="D423" s="8" t="s">
        <v>677</v>
      </c>
      <c r="E423" s="102">
        <f>E197+E18+E79</f>
        <v>3533408.81</v>
      </c>
      <c r="F423" s="102">
        <f t="shared" ref="F423:S423" si="247">F197+F18+F79</f>
        <v>3533408.81</v>
      </c>
      <c r="G423" s="102">
        <f t="shared" si="247"/>
        <v>336800</v>
      </c>
      <c r="H423" s="102">
        <f t="shared" si="247"/>
        <v>0</v>
      </c>
      <c r="I423" s="102">
        <f t="shared" ref="I423:L423" si="248">I197+I18+I79</f>
        <v>0</v>
      </c>
      <c r="J423" s="102">
        <f t="shared" si="248"/>
        <v>959167.97</v>
      </c>
      <c r="K423" s="102">
        <f t="shared" si="248"/>
        <v>178350</v>
      </c>
      <c r="L423" s="102">
        <f t="shared" si="248"/>
        <v>0</v>
      </c>
      <c r="M423" s="118">
        <f t="shared" si="225"/>
        <v>27.145683434235846</v>
      </c>
      <c r="N423" s="102">
        <f t="shared" si="247"/>
        <v>6564196</v>
      </c>
      <c r="O423" s="102">
        <f t="shared" si="247"/>
        <v>0</v>
      </c>
      <c r="P423" s="102">
        <f t="shared" si="247"/>
        <v>6564196</v>
      </c>
      <c r="Q423" s="102">
        <f t="shared" si="247"/>
        <v>0</v>
      </c>
      <c r="R423" s="102">
        <f t="shared" si="247"/>
        <v>0</v>
      </c>
      <c r="S423" s="102">
        <f t="shared" si="247"/>
        <v>0</v>
      </c>
      <c r="T423" s="102">
        <f t="shared" ref="T423:Z423" si="249">T197+T18+T79</f>
        <v>10097604.810000001</v>
      </c>
      <c r="U423" s="102">
        <f t="shared" si="249"/>
        <v>762440.66</v>
      </c>
      <c r="V423" s="102">
        <f t="shared" si="249"/>
        <v>0</v>
      </c>
      <c r="W423" s="102">
        <f t="shared" si="249"/>
        <v>762440.66</v>
      </c>
      <c r="X423" s="102">
        <f t="shared" si="249"/>
        <v>0</v>
      </c>
      <c r="Y423" s="102">
        <f t="shared" si="249"/>
        <v>0</v>
      </c>
      <c r="Z423" s="102">
        <f t="shared" si="249"/>
        <v>0</v>
      </c>
      <c r="AA423" s="118">
        <f t="shared" si="226"/>
        <v>11.615141595406353</v>
      </c>
      <c r="AB423" s="102">
        <f t="shared" si="227"/>
        <v>1721608.63</v>
      </c>
    </row>
    <row r="424" spans="1:28" s="9" customFormat="1" ht="20.25" customHeight="1" x14ac:dyDescent="0.25">
      <c r="A424" s="6"/>
      <c r="B424" s="7"/>
      <c r="C424" s="7"/>
      <c r="D424" s="8" t="s">
        <v>407</v>
      </c>
      <c r="E424" s="102">
        <f>E161+E336+E268+E337</f>
        <v>0</v>
      </c>
      <c r="F424" s="102">
        <f t="shared" ref="F424:S424" si="250">F161+F336+F268+F337</f>
        <v>0</v>
      </c>
      <c r="G424" s="102">
        <f t="shared" si="250"/>
        <v>0</v>
      </c>
      <c r="H424" s="102">
        <f t="shared" si="250"/>
        <v>0</v>
      </c>
      <c r="I424" s="102">
        <f t="shared" ref="I424:L424" si="251">I161+I336+I268+I337</f>
        <v>0</v>
      </c>
      <c r="J424" s="102">
        <f t="shared" si="251"/>
        <v>0</v>
      </c>
      <c r="K424" s="102">
        <f t="shared" si="251"/>
        <v>0</v>
      </c>
      <c r="L424" s="102">
        <f t="shared" si="251"/>
        <v>0</v>
      </c>
      <c r="M424" s="118"/>
      <c r="N424" s="102">
        <f t="shared" si="250"/>
        <v>104076609</v>
      </c>
      <c r="O424" s="102">
        <f t="shared" si="250"/>
        <v>104076609</v>
      </c>
      <c r="P424" s="102">
        <f t="shared" si="250"/>
        <v>0</v>
      </c>
      <c r="Q424" s="102">
        <f t="shared" si="250"/>
        <v>0</v>
      </c>
      <c r="R424" s="102">
        <f t="shared" si="250"/>
        <v>0</v>
      </c>
      <c r="S424" s="102">
        <f t="shared" si="250"/>
        <v>104076609</v>
      </c>
      <c r="T424" s="102">
        <f t="shared" ref="T424:Z424" si="252">T161+T336+T268+T337</f>
        <v>104076609</v>
      </c>
      <c r="U424" s="102">
        <f t="shared" si="252"/>
        <v>0</v>
      </c>
      <c r="V424" s="102">
        <f t="shared" si="252"/>
        <v>0</v>
      </c>
      <c r="W424" s="102">
        <f t="shared" si="252"/>
        <v>0</v>
      </c>
      <c r="X424" s="102">
        <f t="shared" si="252"/>
        <v>0</v>
      </c>
      <c r="Y424" s="102">
        <f t="shared" si="252"/>
        <v>0</v>
      </c>
      <c r="Z424" s="102">
        <f t="shared" si="252"/>
        <v>0</v>
      </c>
      <c r="AA424" s="118">
        <f t="shared" si="226"/>
        <v>0</v>
      </c>
      <c r="AB424" s="102">
        <f t="shared" si="227"/>
        <v>0</v>
      </c>
    </row>
    <row r="425" spans="1:28" s="9" customFormat="1" ht="20.25" customHeight="1" x14ac:dyDescent="0.25">
      <c r="A425" s="6"/>
      <c r="B425" s="7"/>
      <c r="C425" s="7"/>
      <c r="D425" s="8" t="s">
        <v>621</v>
      </c>
      <c r="E425" s="102">
        <f>E162</f>
        <v>0</v>
      </c>
      <c r="F425" s="102">
        <f t="shared" ref="F425:S425" si="253">F162</f>
        <v>0</v>
      </c>
      <c r="G425" s="102">
        <f t="shared" si="253"/>
        <v>0</v>
      </c>
      <c r="H425" s="102">
        <f t="shared" si="253"/>
        <v>0</v>
      </c>
      <c r="I425" s="102">
        <f t="shared" ref="I425:L425" si="254">I162</f>
        <v>0</v>
      </c>
      <c r="J425" s="102">
        <f t="shared" si="254"/>
        <v>0</v>
      </c>
      <c r="K425" s="102">
        <f t="shared" si="254"/>
        <v>0</v>
      </c>
      <c r="L425" s="102">
        <f t="shared" si="254"/>
        <v>0</v>
      </c>
      <c r="M425" s="118"/>
      <c r="N425" s="102">
        <f t="shared" si="253"/>
        <v>299189.34999999998</v>
      </c>
      <c r="O425" s="102">
        <f t="shared" si="253"/>
        <v>0</v>
      </c>
      <c r="P425" s="102">
        <f t="shared" si="253"/>
        <v>61189.35</v>
      </c>
      <c r="Q425" s="102">
        <f t="shared" si="253"/>
        <v>0</v>
      </c>
      <c r="R425" s="102">
        <f t="shared" si="253"/>
        <v>0</v>
      </c>
      <c r="S425" s="102">
        <f t="shared" si="253"/>
        <v>238000</v>
      </c>
      <c r="T425" s="102">
        <f t="shared" ref="T425:Z425" si="255">T162</f>
        <v>299189.34999999998</v>
      </c>
      <c r="U425" s="102">
        <f t="shared" si="255"/>
        <v>0</v>
      </c>
      <c r="V425" s="102">
        <f t="shared" si="255"/>
        <v>0</v>
      </c>
      <c r="W425" s="102">
        <f t="shared" si="255"/>
        <v>0</v>
      </c>
      <c r="X425" s="102">
        <f t="shared" si="255"/>
        <v>0</v>
      </c>
      <c r="Y425" s="102">
        <f t="shared" si="255"/>
        <v>0</v>
      </c>
      <c r="Z425" s="102">
        <f t="shared" si="255"/>
        <v>0</v>
      </c>
      <c r="AA425" s="118">
        <f t="shared" si="226"/>
        <v>0</v>
      </c>
      <c r="AB425" s="102">
        <f t="shared" si="227"/>
        <v>0</v>
      </c>
    </row>
    <row r="426" spans="1:28" s="9" customFormat="1" ht="25.5" customHeight="1" x14ac:dyDescent="0.25">
      <c r="A426" s="83"/>
      <c r="B426" s="84"/>
      <c r="C426" s="84"/>
      <c r="D426" s="85"/>
      <c r="E426" s="116"/>
      <c r="F426" s="86"/>
      <c r="G426" s="86"/>
      <c r="H426" s="86"/>
      <c r="I426" s="86"/>
      <c r="J426" s="86"/>
      <c r="K426" s="86"/>
      <c r="L426" s="86"/>
      <c r="M426" s="115"/>
      <c r="N426" s="86"/>
      <c r="O426" s="86"/>
      <c r="P426" s="86"/>
      <c r="Q426" s="86"/>
      <c r="R426" s="86"/>
      <c r="S426" s="86"/>
      <c r="T426" s="86"/>
      <c r="AA426" s="113"/>
    </row>
    <row r="427" spans="1:28" s="9" customFormat="1" ht="32.25" customHeight="1" x14ac:dyDescent="0.25">
      <c r="A427" s="83"/>
      <c r="B427" s="84"/>
      <c r="C427" s="84"/>
      <c r="D427" s="85"/>
      <c r="E427" s="116"/>
      <c r="F427" s="86"/>
      <c r="G427" s="86"/>
      <c r="H427" s="86"/>
      <c r="I427" s="86"/>
      <c r="J427" s="86"/>
      <c r="K427" s="86"/>
      <c r="L427" s="86"/>
      <c r="M427" s="115"/>
      <c r="N427" s="86"/>
      <c r="O427" s="86"/>
      <c r="P427" s="86"/>
      <c r="Q427" s="86"/>
      <c r="R427" s="86"/>
      <c r="S427" s="86"/>
      <c r="T427" s="86"/>
      <c r="AA427" s="113"/>
    </row>
    <row r="428" spans="1:28" ht="46.9" customHeight="1" x14ac:dyDescent="0.25">
      <c r="A428" s="148" t="s">
        <v>726</v>
      </c>
      <c r="B428" s="148"/>
      <c r="C428" s="148"/>
      <c r="D428" s="148"/>
      <c r="E428" s="148"/>
      <c r="F428" s="148"/>
      <c r="G428" s="133"/>
      <c r="H428" s="133"/>
      <c r="I428" s="134"/>
      <c r="J428" s="133"/>
      <c r="K428" s="133"/>
      <c r="L428" s="133"/>
      <c r="M428" s="135"/>
      <c r="N428" s="133"/>
      <c r="O428" s="133"/>
      <c r="P428" s="133"/>
      <c r="Q428" s="133"/>
      <c r="R428" s="133"/>
      <c r="S428" s="133"/>
      <c r="T428" s="136"/>
      <c r="U428" s="136"/>
      <c r="V428" s="136"/>
      <c r="W428" s="136"/>
      <c r="X428" s="149" t="s">
        <v>727</v>
      </c>
      <c r="Y428" s="149"/>
      <c r="Z428" s="149"/>
      <c r="AA428" s="149"/>
    </row>
    <row r="429" spans="1:28" ht="46.5" customHeight="1" x14ac:dyDescent="0.25">
      <c r="A429" s="139"/>
      <c r="B429" s="139"/>
      <c r="C429" s="139"/>
      <c r="D429" s="139"/>
      <c r="E429" s="139"/>
      <c r="F429" s="139"/>
      <c r="G429" s="133"/>
      <c r="H429" s="133"/>
      <c r="I429" s="134"/>
      <c r="J429" s="133"/>
      <c r="K429" s="133"/>
      <c r="L429" s="133"/>
      <c r="M429" s="135"/>
      <c r="N429" s="133"/>
      <c r="O429" s="133"/>
      <c r="P429" s="133"/>
      <c r="Q429" s="133"/>
      <c r="R429" s="133"/>
      <c r="S429" s="133"/>
      <c r="T429" s="136"/>
      <c r="U429" s="136"/>
      <c r="V429" s="136"/>
      <c r="W429" s="136"/>
      <c r="X429" s="140"/>
      <c r="Y429" s="140"/>
      <c r="Z429" s="140"/>
      <c r="AA429" s="140"/>
    </row>
    <row r="430" spans="1:28" ht="36.75" customHeight="1" x14ac:dyDescent="0.25">
      <c r="A430" s="142" t="s">
        <v>728</v>
      </c>
      <c r="B430" s="131"/>
      <c r="C430" s="131"/>
      <c r="D430" s="132"/>
      <c r="E430" s="133"/>
      <c r="F430" s="134"/>
      <c r="G430" s="133"/>
      <c r="H430" s="133"/>
      <c r="I430" s="134"/>
      <c r="J430" s="133"/>
      <c r="K430" s="133"/>
      <c r="L430" s="133"/>
      <c r="M430" s="135"/>
      <c r="N430" s="133"/>
      <c r="O430" s="141"/>
      <c r="P430" s="133"/>
      <c r="Q430" s="133"/>
      <c r="R430" s="133"/>
      <c r="S430" s="133"/>
      <c r="T430" s="136"/>
      <c r="U430" s="136"/>
      <c r="V430" s="136"/>
      <c r="W430" s="136"/>
      <c r="X430" s="136"/>
      <c r="Y430" s="136"/>
      <c r="Z430" s="137"/>
      <c r="AA430" s="138"/>
    </row>
    <row r="431" spans="1:28" x14ac:dyDescent="0.25">
      <c r="T431" s="10"/>
    </row>
    <row r="432" spans="1:28" x14ac:dyDescent="0.25">
      <c r="T432" s="10"/>
    </row>
    <row r="433" spans="20:20" x14ac:dyDescent="0.25">
      <c r="T433" s="10"/>
    </row>
    <row r="434" spans="20:20" x14ac:dyDescent="0.25">
      <c r="T434" s="10"/>
    </row>
    <row r="435" spans="20:20" x14ac:dyDescent="0.25">
      <c r="T435" s="10"/>
    </row>
    <row r="436" spans="20:20" x14ac:dyDescent="0.25">
      <c r="T436" s="10"/>
    </row>
    <row r="437" spans="20:20" x14ac:dyDescent="0.25">
      <c r="T437" s="10"/>
    </row>
    <row r="438" spans="20:20" x14ac:dyDescent="0.25">
      <c r="T438" s="10"/>
    </row>
    <row r="439" spans="20:20" x14ac:dyDescent="0.25">
      <c r="T439" s="10"/>
    </row>
    <row r="440" spans="20:20" x14ac:dyDescent="0.25">
      <c r="T440" s="10"/>
    </row>
    <row r="441" spans="20:20" x14ac:dyDescent="0.25">
      <c r="T441" s="10"/>
    </row>
    <row r="442" spans="20:20" x14ac:dyDescent="0.25">
      <c r="T442" s="10"/>
    </row>
    <row r="443" spans="20:20" x14ac:dyDescent="0.25">
      <c r="T443" s="10"/>
    </row>
    <row r="444" spans="20:20" x14ac:dyDescent="0.25">
      <c r="T444" s="10"/>
    </row>
    <row r="445" spans="20:20" x14ac:dyDescent="0.25">
      <c r="T445" s="10"/>
    </row>
    <row r="446" spans="20:20" x14ac:dyDescent="0.25">
      <c r="T446" s="10"/>
    </row>
    <row r="447" spans="20:20" x14ac:dyDescent="0.25">
      <c r="T447" s="10"/>
    </row>
    <row r="448" spans="20:20" x14ac:dyDescent="0.25">
      <c r="T448" s="10"/>
    </row>
    <row r="449" spans="20:20" x14ac:dyDescent="0.25">
      <c r="T449" s="10"/>
    </row>
    <row r="450" spans="20:20" x14ac:dyDescent="0.25">
      <c r="T450" s="10"/>
    </row>
    <row r="451" spans="20:20" x14ac:dyDescent="0.25">
      <c r="T451" s="10"/>
    </row>
    <row r="452" spans="20:20" x14ac:dyDescent="0.25">
      <c r="T452" s="10"/>
    </row>
    <row r="453" spans="20:20" x14ac:dyDescent="0.25">
      <c r="T453" s="10"/>
    </row>
    <row r="454" spans="20:20" x14ac:dyDescent="0.25">
      <c r="T454" s="10"/>
    </row>
    <row r="455" spans="20:20" x14ac:dyDescent="0.25">
      <c r="T455" s="10"/>
    </row>
    <row r="456" spans="20:20" x14ac:dyDescent="0.25">
      <c r="T456" s="10"/>
    </row>
    <row r="457" spans="20:20" x14ac:dyDescent="0.25">
      <c r="T457" s="10"/>
    </row>
    <row r="458" spans="20:20" x14ac:dyDescent="0.25">
      <c r="T458" s="10"/>
    </row>
    <row r="459" spans="20:20" x14ac:dyDescent="0.25">
      <c r="T459" s="10"/>
    </row>
    <row r="460" spans="20:20" x14ac:dyDescent="0.25">
      <c r="T460" s="10"/>
    </row>
    <row r="461" spans="20:20" x14ac:dyDescent="0.25">
      <c r="T461" s="10"/>
    </row>
    <row r="462" spans="20:20" x14ac:dyDescent="0.25">
      <c r="T462" s="10"/>
    </row>
    <row r="463" spans="20:20" x14ac:dyDescent="0.25">
      <c r="T463" s="10"/>
    </row>
    <row r="464" spans="20:20" x14ac:dyDescent="0.25">
      <c r="T464" s="10"/>
    </row>
    <row r="465" spans="20:20" x14ac:dyDescent="0.25">
      <c r="T465" s="10"/>
    </row>
    <row r="466" spans="20:20" x14ac:dyDescent="0.25">
      <c r="T466" s="10"/>
    </row>
    <row r="467" spans="20:20" x14ac:dyDescent="0.25">
      <c r="T467" s="10"/>
    </row>
    <row r="468" spans="20:20" x14ac:dyDescent="0.25">
      <c r="T468" s="10"/>
    </row>
    <row r="469" spans="20:20" x14ac:dyDescent="0.25">
      <c r="T469" s="10"/>
    </row>
    <row r="470" spans="20:20" x14ac:dyDescent="0.25">
      <c r="T470" s="10"/>
    </row>
    <row r="471" spans="20:20" x14ac:dyDescent="0.25">
      <c r="T471" s="10"/>
    </row>
    <row r="472" spans="20:20" x14ac:dyDescent="0.25">
      <c r="T472" s="10"/>
    </row>
    <row r="473" spans="20:20" x14ac:dyDescent="0.25">
      <c r="T473" s="10"/>
    </row>
    <row r="474" spans="20:20" x14ac:dyDescent="0.25">
      <c r="T474" s="10"/>
    </row>
    <row r="475" spans="20:20" x14ac:dyDescent="0.25">
      <c r="T475" s="10"/>
    </row>
    <row r="476" spans="20:20" x14ac:dyDescent="0.25">
      <c r="T476" s="10"/>
    </row>
    <row r="477" spans="20:20" x14ac:dyDescent="0.25">
      <c r="T477" s="10"/>
    </row>
    <row r="478" spans="20:20" x14ac:dyDescent="0.25">
      <c r="T478" s="10"/>
    </row>
    <row r="479" spans="20:20" x14ac:dyDescent="0.25">
      <c r="T479" s="10"/>
    </row>
    <row r="480" spans="20:20" x14ac:dyDescent="0.25">
      <c r="T480" s="10"/>
    </row>
    <row r="481" spans="20:20" x14ac:dyDescent="0.25">
      <c r="T481" s="10"/>
    </row>
    <row r="482" spans="20:20" x14ac:dyDescent="0.25">
      <c r="T482" s="10"/>
    </row>
    <row r="483" spans="20:20" x14ac:dyDescent="0.25">
      <c r="T483" s="10"/>
    </row>
    <row r="484" spans="20:20" x14ac:dyDescent="0.25">
      <c r="T484" s="10"/>
    </row>
    <row r="485" spans="20:20" x14ac:dyDescent="0.25">
      <c r="T485" s="10"/>
    </row>
    <row r="486" spans="20:20" x14ac:dyDescent="0.25">
      <c r="T486" s="10"/>
    </row>
    <row r="487" spans="20:20" x14ac:dyDescent="0.25">
      <c r="T487" s="10"/>
    </row>
    <row r="488" spans="20:20" x14ac:dyDescent="0.25">
      <c r="T488" s="10"/>
    </row>
    <row r="489" spans="20:20" x14ac:dyDescent="0.25">
      <c r="T489" s="10"/>
    </row>
    <row r="490" spans="20:20" x14ac:dyDescent="0.25">
      <c r="T490" s="10"/>
    </row>
    <row r="491" spans="20:20" x14ac:dyDescent="0.25">
      <c r="T491" s="10"/>
    </row>
    <row r="492" spans="20:20" x14ac:dyDescent="0.25">
      <c r="T492" s="10"/>
    </row>
    <row r="493" spans="20:20" x14ac:dyDescent="0.25">
      <c r="T493" s="10"/>
    </row>
    <row r="494" spans="20:20" x14ac:dyDescent="0.25">
      <c r="T494" s="10"/>
    </row>
    <row r="495" spans="20:20" x14ac:dyDescent="0.25">
      <c r="T495" s="10"/>
    </row>
    <row r="496" spans="20:20" x14ac:dyDescent="0.25">
      <c r="T496" s="10"/>
    </row>
    <row r="497" spans="20:20" x14ac:dyDescent="0.25">
      <c r="T497" s="10"/>
    </row>
    <row r="498" spans="20:20" x14ac:dyDescent="0.25">
      <c r="T498" s="10"/>
    </row>
    <row r="499" spans="20:20" x14ac:dyDescent="0.25">
      <c r="T499" s="10"/>
    </row>
    <row r="500" spans="20:20" x14ac:dyDescent="0.25">
      <c r="T500" s="10"/>
    </row>
    <row r="501" spans="20:20" x14ac:dyDescent="0.25">
      <c r="T501" s="10"/>
    </row>
    <row r="502" spans="20:20" x14ac:dyDescent="0.25">
      <c r="T502" s="10"/>
    </row>
    <row r="503" spans="20:20" x14ac:dyDescent="0.25">
      <c r="T503" s="10"/>
    </row>
    <row r="504" spans="20:20" x14ac:dyDescent="0.25">
      <c r="T504" s="10"/>
    </row>
    <row r="505" spans="20:20" x14ac:dyDescent="0.25">
      <c r="T505" s="10"/>
    </row>
    <row r="506" spans="20:20" x14ac:dyDescent="0.25">
      <c r="T506" s="10"/>
    </row>
    <row r="507" spans="20:20" x14ac:dyDescent="0.25">
      <c r="T507" s="10"/>
    </row>
    <row r="508" spans="20:20" x14ac:dyDescent="0.25">
      <c r="T508" s="10"/>
    </row>
    <row r="509" spans="20:20" x14ac:dyDescent="0.25">
      <c r="T509" s="10"/>
    </row>
    <row r="510" spans="20:20" x14ac:dyDescent="0.25">
      <c r="T510" s="10"/>
    </row>
    <row r="511" spans="20:20" x14ac:dyDescent="0.25">
      <c r="T511" s="10"/>
    </row>
    <row r="512" spans="20:20" x14ac:dyDescent="0.25">
      <c r="T512" s="10"/>
    </row>
    <row r="513" spans="20:20" x14ac:dyDescent="0.25">
      <c r="T513" s="10"/>
    </row>
    <row r="514" spans="20:20" x14ac:dyDescent="0.25">
      <c r="T514" s="10"/>
    </row>
    <row r="515" spans="20:20" x14ac:dyDescent="0.25">
      <c r="T515" s="10"/>
    </row>
    <row r="516" spans="20:20" x14ac:dyDescent="0.25">
      <c r="T516" s="10"/>
    </row>
    <row r="517" spans="20:20" x14ac:dyDescent="0.25">
      <c r="T517" s="10"/>
    </row>
    <row r="518" spans="20:20" x14ac:dyDescent="0.25">
      <c r="T518" s="10"/>
    </row>
    <row r="519" spans="20:20" x14ac:dyDescent="0.25">
      <c r="T519" s="10"/>
    </row>
    <row r="520" spans="20:20" x14ac:dyDescent="0.25">
      <c r="T520" s="10"/>
    </row>
    <row r="521" spans="20:20" x14ac:dyDescent="0.25">
      <c r="T521" s="10"/>
    </row>
    <row r="522" spans="20:20" x14ac:dyDescent="0.25">
      <c r="T522" s="10"/>
    </row>
    <row r="523" spans="20:20" x14ac:dyDescent="0.25">
      <c r="T523" s="10"/>
    </row>
    <row r="524" spans="20:20" x14ac:dyDescent="0.25">
      <c r="T524" s="10"/>
    </row>
    <row r="525" spans="20:20" x14ac:dyDescent="0.25">
      <c r="T525" s="10"/>
    </row>
    <row r="526" spans="20:20" x14ac:dyDescent="0.25">
      <c r="T526" s="10"/>
    </row>
    <row r="527" spans="20:20" x14ac:dyDescent="0.25">
      <c r="T527" s="10"/>
    </row>
    <row r="528" spans="20:20" x14ac:dyDescent="0.25">
      <c r="T528" s="10"/>
    </row>
    <row r="529" spans="20:20" x14ac:dyDescent="0.25">
      <c r="T529" s="10"/>
    </row>
    <row r="530" spans="20:20" x14ac:dyDescent="0.25">
      <c r="T530" s="10"/>
    </row>
    <row r="531" spans="20:20" x14ac:dyDescent="0.25">
      <c r="T531" s="10"/>
    </row>
    <row r="532" spans="20:20" x14ac:dyDescent="0.25">
      <c r="T532" s="10"/>
    </row>
    <row r="533" spans="20:20" x14ac:dyDescent="0.25">
      <c r="T533" s="10"/>
    </row>
    <row r="534" spans="20:20" x14ac:dyDescent="0.25">
      <c r="T534" s="10"/>
    </row>
    <row r="535" spans="20:20" x14ac:dyDescent="0.25">
      <c r="T535" s="10"/>
    </row>
    <row r="536" spans="20:20" x14ac:dyDescent="0.25">
      <c r="T536" s="10"/>
    </row>
    <row r="537" spans="20:20" x14ac:dyDescent="0.25">
      <c r="T537" s="10"/>
    </row>
    <row r="538" spans="20:20" x14ac:dyDescent="0.25">
      <c r="T538" s="10"/>
    </row>
    <row r="539" spans="20:20" x14ac:dyDescent="0.25">
      <c r="T539" s="10"/>
    </row>
    <row r="540" spans="20:20" x14ac:dyDescent="0.25">
      <c r="T540" s="10"/>
    </row>
    <row r="541" spans="20:20" x14ac:dyDescent="0.25">
      <c r="T541" s="10"/>
    </row>
    <row r="542" spans="20:20" x14ac:dyDescent="0.25">
      <c r="T542" s="10"/>
    </row>
    <row r="543" spans="20:20" x14ac:dyDescent="0.25">
      <c r="T543" s="10"/>
    </row>
    <row r="544" spans="20:20" x14ac:dyDescent="0.25">
      <c r="T544" s="10"/>
    </row>
    <row r="545" spans="20:20" x14ac:dyDescent="0.25">
      <c r="T545" s="10"/>
    </row>
    <row r="546" spans="20:20" x14ac:dyDescent="0.25">
      <c r="T546" s="10"/>
    </row>
    <row r="547" spans="20:20" x14ac:dyDescent="0.25">
      <c r="T547" s="10"/>
    </row>
    <row r="548" spans="20:20" x14ac:dyDescent="0.25">
      <c r="T548" s="10"/>
    </row>
    <row r="549" spans="20:20" x14ac:dyDescent="0.25">
      <c r="T549" s="10"/>
    </row>
    <row r="550" spans="20:20" x14ac:dyDescent="0.25">
      <c r="T550" s="10"/>
    </row>
    <row r="551" spans="20:20" x14ac:dyDescent="0.25">
      <c r="T551" s="10"/>
    </row>
    <row r="552" spans="20:20" x14ac:dyDescent="0.25">
      <c r="T552" s="10"/>
    </row>
    <row r="553" spans="20:20" x14ac:dyDescent="0.25">
      <c r="T553" s="10"/>
    </row>
    <row r="554" spans="20:20" x14ac:dyDescent="0.25">
      <c r="T554" s="10"/>
    </row>
    <row r="555" spans="20:20" x14ac:dyDescent="0.25">
      <c r="T555" s="10"/>
    </row>
    <row r="556" spans="20:20" x14ac:dyDescent="0.25">
      <c r="T556" s="10"/>
    </row>
    <row r="557" spans="20:20" x14ac:dyDescent="0.25">
      <c r="T557" s="10"/>
    </row>
    <row r="558" spans="20:20" x14ac:dyDescent="0.25">
      <c r="T558" s="10"/>
    </row>
    <row r="559" spans="20:20" x14ac:dyDescent="0.25">
      <c r="T559" s="10"/>
    </row>
    <row r="560" spans="20:20" x14ac:dyDescent="0.25">
      <c r="T560" s="10"/>
    </row>
    <row r="561" spans="20:20" x14ac:dyDescent="0.25">
      <c r="T561" s="10"/>
    </row>
    <row r="562" spans="20:20" x14ac:dyDescent="0.25">
      <c r="T562" s="10"/>
    </row>
    <row r="563" spans="20:20" x14ac:dyDescent="0.25">
      <c r="T563" s="10"/>
    </row>
    <row r="564" spans="20:20" x14ac:dyDescent="0.25">
      <c r="T564" s="10"/>
    </row>
    <row r="565" spans="20:20" x14ac:dyDescent="0.25">
      <c r="T565" s="10"/>
    </row>
    <row r="566" spans="20:20" x14ac:dyDescent="0.25">
      <c r="T566" s="10"/>
    </row>
    <row r="567" spans="20:20" x14ac:dyDescent="0.25">
      <c r="T567" s="10"/>
    </row>
    <row r="568" spans="20:20" x14ac:dyDescent="0.25">
      <c r="T568" s="10"/>
    </row>
    <row r="569" spans="20:20" x14ac:dyDescent="0.25">
      <c r="T569" s="10"/>
    </row>
    <row r="570" spans="20:20" x14ac:dyDescent="0.25">
      <c r="T570" s="10"/>
    </row>
    <row r="571" spans="20:20" x14ac:dyDescent="0.25">
      <c r="T571" s="10"/>
    </row>
    <row r="572" spans="20:20" x14ac:dyDescent="0.25">
      <c r="T572" s="10"/>
    </row>
    <row r="573" spans="20:20" x14ac:dyDescent="0.25">
      <c r="T573" s="10"/>
    </row>
    <row r="574" spans="20:20" x14ac:dyDescent="0.25">
      <c r="T574" s="10"/>
    </row>
    <row r="575" spans="20:20" x14ac:dyDescent="0.25">
      <c r="T575" s="10"/>
    </row>
    <row r="576" spans="20:20" x14ac:dyDescent="0.25">
      <c r="T576" s="10"/>
    </row>
    <row r="577" spans="20:20" x14ac:dyDescent="0.25">
      <c r="T577" s="10"/>
    </row>
    <row r="578" spans="20:20" x14ac:dyDescent="0.25">
      <c r="T578" s="10"/>
    </row>
    <row r="579" spans="20:20" x14ac:dyDescent="0.25">
      <c r="T579" s="10"/>
    </row>
    <row r="580" spans="20:20" x14ac:dyDescent="0.25">
      <c r="T580" s="10"/>
    </row>
    <row r="581" spans="20:20" x14ac:dyDescent="0.25">
      <c r="T581" s="10"/>
    </row>
    <row r="582" spans="20:20" x14ac:dyDescent="0.25">
      <c r="T582" s="10"/>
    </row>
    <row r="583" spans="20:20" x14ac:dyDescent="0.25">
      <c r="T583" s="10"/>
    </row>
    <row r="584" spans="20:20" x14ac:dyDescent="0.25">
      <c r="T584" s="10"/>
    </row>
    <row r="585" spans="20:20" x14ac:dyDescent="0.25">
      <c r="T585" s="10"/>
    </row>
    <row r="586" spans="20:20" x14ac:dyDescent="0.25">
      <c r="T586" s="10"/>
    </row>
    <row r="587" spans="20:20" x14ac:dyDescent="0.25">
      <c r="T587" s="10"/>
    </row>
    <row r="588" spans="20:20" x14ac:dyDescent="0.25">
      <c r="T588" s="10"/>
    </row>
    <row r="589" spans="20:20" x14ac:dyDescent="0.25">
      <c r="T589" s="10"/>
    </row>
    <row r="590" spans="20:20" x14ac:dyDescent="0.25">
      <c r="T590" s="10"/>
    </row>
    <row r="591" spans="20:20" x14ac:dyDescent="0.25">
      <c r="T591" s="10"/>
    </row>
    <row r="592" spans="20:20" x14ac:dyDescent="0.25">
      <c r="T592" s="10"/>
    </row>
    <row r="593" spans="20:20" x14ac:dyDescent="0.25">
      <c r="T593" s="10"/>
    </row>
    <row r="594" spans="20:20" x14ac:dyDescent="0.25">
      <c r="T594" s="10"/>
    </row>
    <row r="595" spans="20:20" x14ac:dyDescent="0.25">
      <c r="T595" s="10"/>
    </row>
    <row r="596" spans="20:20" x14ac:dyDescent="0.25">
      <c r="T596" s="10"/>
    </row>
    <row r="597" spans="20:20" x14ac:dyDescent="0.25">
      <c r="T597" s="10"/>
    </row>
    <row r="598" spans="20:20" x14ac:dyDescent="0.25">
      <c r="T598" s="10"/>
    </row>
    <row r="599" spans="20:20" x14ac:dyDescent="0.25">
      <c r="T599" s="10"/>
    </row>
    <row r="600" spans="20:20" x14ac:dyDescent="0.25">
      <c r="T600" s="10"/>
    </row>
    <row r="601" spans="20:20" x14ac:dyDescent="0.25">
      <c r="T601" s="10"/>
    </row>
    <row r="602" spans="20:20" x14ac:dyDescent="0.25">
      <c r="T602" s="10"/>
    </row>
    <row r="603" spans="20:20" x14ac:dyDescent="0.25">
      <c r="T603" s="10"/>
    </row>
    <row r="604" spans="20:20" x14ac:dyDescent="0.25">
      <c r="T604" s="10"/>
    </row>
    <row r="605" spans="20:20" x14ac:dyDescent="0.25">
      <c r="T605" s="10"/>
    </row>
    <row r="606" spans="20:20" x14ac:dyDescent="0.25">
      <c r="T606" s="10"/>
    </row>
    <row r="607" spans="20:20" x14ac:dyDescent="0.25">
      <c r="T607" s="10"/>
    </row>
    <row r="608" spans="20:20" x14ac:dyDescent="0.25">
      <c r="T608" s="10"/>
    </row>
    <row r="609" spans="20:20" x14ac:dyDescent="0.25">
      <c r="T609" s="10"/>
    </row>
    <row r="610" spans="20:20" x14ac:dyDescent="0.25">
      <c r="T610" s="10"/>
    </row>
    <row r="611" spans="20:20" x14ac:dyDescent="0.25">
      <c r="T611" s="10"/>
    </row>
    <row r="612" spans="20:20" x14ac:dyDescent="0.25">
      <c r="T612" s="10"/>
    </row>
    <row r="613" spans="20:20" x14ac:dyDescent="0.25">
      <c r="T613" s="10"/>
    </row>
    <row r="614" spans="20:20" x14ac:dyDescent="0.25">
      <c r="T614" s="10"/>
    </row>
    <row r="615" spans="20:20" x14ac:dyDescent="0.25">
      <c r="T615" s="10"/>
    </row>
    <row r="616" spans="20:20" x14ac:dyDescent="0.25">
      <c r="T616" s="10"/>
    </row>
    <row r="617" spans="20:20" x14ac:dyDescent="0.25">
      <c r="T617" s="10"/>
    </row>
    <row r="618" spans="20:20" x14ac:dyDescent="0.25">
      <c r="T618" s="10"/>
    </row>
    <row r="619" spans="20:20" x14ac:dyDescent="0.25">
      <c r="T619" s="10"/>
    </row>
    <row r="620" spans="20:20" x14ac:dyDescent="0.25">
      <c r="T620" s="10"/>
    </row>
    <row r="621" spans="20:20" x14ac:dyDescent="0.25">
      <c r="T621" s="10"/>
    </row>
    <row r="622" spans="20:20" x14ac:dyDescent="0.25">
      <c r="T622" s="10"/>
    </row>
    <row r="623" spans="20:20" x14ac:dyDescent="0.25">
      <c r="T623" s="10"/>
    </row>
    <row r="624" spans="20:20" x14ac:dyDescent="0.25">
      <c r="T624" s="10"/>
    </row>
    <row r="625" spans="20:20" x14ac:dyDescent="0.25">
      <c r="T625" s="10"/>
    </row>
    <row r="626" spans="20:20" x14ac:dyDescent="0.25">
      <c r="T626" s="10"/>
    </row>
    <row r="627" spans="20:20" x14ac:dyDescent="0.25">
      <c r="T627" s="10"/>
    </row>
    <row r="628" spans="20:20" x14ac:dyDescent="0.25">
      <c r="T628" s="10"/>
    </row>
    <row r="629" spans="20:20" x14ac:dyDescent="0.25">
      <c r="T629" s="10"/>
    </row>
    <row r="630" spans="20:20" x14ac:dyDescent="0.25">
      <c r="T630" s="10"/>
    </row>
    <row r="631" spans="20:20" x14ac:dyDescent="0.25">
      <c r="T631" s="10"/>
    </row>
    <row r="632" spans="20:20" x14ac:dyDescent="0.25">
      <c r="T632" s="10"/>
    </row>
    <row r="633" spans="20:20" x14ac:dyDescent="0.25">
      <c r="T633" s="10"/>
    </row>
    <row r="634" spans="20:20" x14ac:dyDescent="0.25">
      <c r="T634" s="10"/>
    </row>
    <row r="635" spans="20:20" x14ac:dyDescent="0.25">
      <c r="T635" s="10"/>
    </row>
    <row r="636" spans="20:20" x14ac:dyDescent="0.25">
      <c r="T636" s="10"/>
    </row>
    <row r="637" spans="20:20" x14ac:dyDescent="0.25">
      <c r="T637" s="10"/>
    </row>
    <row r="638" spans="20:20" x14ac:dyDescent="0.25">
      <c r="T638" s="10"/>
    </row>
    <row r="639" spans="20:20" x14ac:dyDescent="0.25">
      <c r="T639" s="10"/>
    </row>
    <row r="640" spans="20:20" x14ac:dyDescent="0.25">
      <c r="T640" s="10"/>
    </row>
    <row r="641" spans="20:20" x14ac:dyDescent="0.25">
      <c r="T641" s="10"/>
    </row>
    <row r="642" spans="20:20" x14ac:dyDescent="0.25">
      <c r="T642" s="10"/>
    </row>
    <row r="643" spans="20:20" x14ac:dyDescent="0.25">
      <c r="T643" s="10"/>
    </row>
    <row r="644" spans="20:20" x14ac:dyDescent="0.25">
      <c r="T644" s="10"/>
    </row>
    <row r="645" spans="20:20" x14ac:dyDescent="0.25">
      <c r="T645" s="10"/>
    </row>
    <row r="646" spans="20:20" x14ac:dyDescent="0.25">
      <c r="T646" s="10"/>
    </row>
    <row r="647" spans="20:20" x14ac:dyDescent="0.25">
      <c r="T647" s="10"/>
    </row>
    <row r="648" spans="20:20" x14ac:dyDescent="0.25">
      <c r="T648" s="10"/>
    </row>
    <row r="649" spans="20:20" x14ac:dyDescent="0.25">
      <c r="T649" s="10"/>
    </row>
    <row r="650" spans="20:20" x14ac:dyDescent="0.25">
      <c r="T650" s="10"/>
    </row>
    <row r="651" spans="20:20" x14ac:dyDescent="0.25">
      <c r="T651" s="10"/>
    </row>
    <row r="652" spans="20:20" x14ac:dyDescent="0.25">
      <c r="T652" s="10"/>
    </row>
    <row r="653" spans="20:20" x14ac:dyDescent="0.25">
      <c r="T653" s="10"/>
    </row>
    <row r="654" spans="20:20" x14ac:dyDescent="0.25">
      <c r="T654" s="10"/>
    </row>
    <row r="655" spans="20:20" x14ac:dyDescent="0.25">
      <c r="T655" s="10"/>
    </row>
    <row r="656" spans="20:20" x14ac:dyDescent="0.25">
      <c r="T656" s="10"/>
    </row>
    <row r="657" spans="20:20" x14ac:dyDescent="0.25">
      <c r="T657" s="10"/>
    </row>
    <row r="658" spans="20:20" x14ac:dyDescent="0.25">
      <c r="T658" s="10"/>
    </row>
    <row r="659" spans="20:20" x14ac:dyDescent="0.25">
      <c r="T659" s="10"/>
    </row>
    <row r="660" spans="20:20" x14ac:dyDescent="0.25">
      <c r="T660" s="10"/>
    </row>
    <row r="661" spans="20:20" x14ac:dyDescent="0.25">
      <c r="T661" s="10"/>
    </row>
    <row r="662" spans="20:20" x14ac:dyDescent="0.25">
      <c r="T662" s="10"/>
    </row>
    <row r="663" spans="20:20" x14ac:dyDescent="0.25">
      <c r="T663" s="10"/>
    </row>
    <row r="664" spans="20:20" x14ac:dyDescent="0.25">
      <c r="T664" s="10"/>
    </row>
    <row r="665" spans="20:20" x14ac:dyDescent="0.25">
      <c r="T665" s="10"/>
    </row>
    <row r="666" spans="20:20" x14ac:dyDescent="0.25">
      <c r="T666" s="10"/>
    </row>
    <row r="667" spans="20:20" x14ac:dyDescent="0.25">
      <c r="T667" s="10"/>
    </row>
    <row r="668" spans="20:20" x14ac:dyDescent="0.25">
      <c r="T668" s="10"/>
    </row>
    <row r="669" spans="20:20" x14ac:dyDescent="0.25">
      <c r="T669" s="10"/>
    </row>
    <row r="670" spans="20:20" x14ac:dyDescent="0.25">
      <c r="T670" s="10"/>
    </row>
    <row r="671" spans="20:20" x14ac:dyDescent="0.25">
      <c r="T671" s="10"/>
    </row>
    <row r="672" spans="20:20" x14ac:dyDescent="0.25">
      <c r="T672" s="10"/>
    </row>
    <row r="673" spans="20:20" x14ac:dyDescent="0.25">
      <c r="T673" s="10"/>
    </row>
    <row r="674" spans="20:20" x14ac:dyDescent="0.25">
      <c r="T674" s="10"/>
    </row>
    <row r="675" spans="20:20" x14ac:dyDescent="0.25">
      <c r="T675" s="10"/>
    </row>
    <row r="676" spans="20:20" x14ac:dyDescent="0.25">
      <c r="T676" s="10"/>
    </row>
    <row r="677" spans="20:20" x14ac:dyDescent="0.25">
      <c r="T677" s="10"/>
    </row>
    <row r="678" spans="20:20" x14ac:dyDescent="0.25">
      <c r="T678" s="10"/>
    </row>
    <row r="679" spans="20:20" x14ac:dyDescent="0.25">
      <c r="T679" s="10"/>
    </row>
    <row r="680" spans="20:20" x14ac:dyDescent="0.25">
      <c r="T680" s="10"/>
    </row>
    <row r="681" spans="20:20" x14ac:dyDescent="0.25">
      <c r="T681" s="10"/>
    </row>
    <row r="682" spans="20:20" x14ac:dyDescent="0.25">
      <c r="T682" s="10"/>
    </row>
    <row r="683" spans="20:20" x14ac:dyDescent="0.25">
      <c r="T683" s="10"/>
    </row>
    <row r="684" spans="20:20" x14ac:dyDescent="0.25">
      <c r="T684" s="10"/>
    </row>
    <row r="685" spans="20:20" x14ac:dyDescent="0.25">
      <c r="T685" s="10"/>
    </row>
    <row r="686" spans="20:20" x14ac:dyDescent="0.25">
      <c r="T686" s="10"/>
    </row>
    <row r="687" spans="20:20" x14ac:dyDescent="0.25">
      <c r="T687" s="10"/>
    </row>
    <row r="688" spans="20:20" x14ac:dyDescent="0.25">
      <c r="T688" s="10"/>
    </row>
    <row r="689" spans="20:20" x14ac:dyDescent="0.25">
      <c r="T689" s="10"/>
    </row>
    <row r="690" spans="20:20" x14ac:dyDescent="0.25">
      <c r="T690" s="10"/>
    </row>
    <row r="691" spans="20:20" x14ac:dyDescent="0.25">
      <c r="T691" s="10"/>
    </row>
    <row r="692" spans="20:20" x14ac:dyDescent="0.25">
      <c r="T692" s="10"/>
    </row>
    <row r="693" spans="20:20" x14ac:dyDescent="0.25">
      <c r="T693" s="10"/>
    </row>
    <row r="694" spans="20:20" x14ac:dyDescent="0.25">
      <c r="T694" s="10"/>
    </row>
    <row r="695" spans="20:20" x14ac:dyDescent="0.25">
      <c r="T695" s="10"/>
    </row>
    <row r="696" spans="20:20" x14ac:dyDescent="0.25">
      <c r="T696" s="10"/>
    </row>
    <row r="697" spans="20:20" x14ac:dyDescent="0.25">
      <c r="T697" s="10"/>
    </row>
    <row r="698" spans="20:20" x14ac:dyDescent="0.25">
      <c r="T698" s="10"/>
    </row>
    <row r="699" spans="20:20" x14ac:dyDescent="0.25">
      <c r="T699" s="10"/>
    </row>
    <row r="700" spans="20:20" x14ac:dyDescent="0.25">
      <c r="T700" s="10"/>
    </row>
    <row r="701" spans="20:20" x14ac:dyDescent="0.25">
      <c r="T701" s="10"/>
    </row>
    <row r="702" spans="20:20" x14ac:dyDescent="0.25">
      <c r="T702" s="10"/>
    </row>
    <row r="703" spans="20:20" x14ac:dyDescent="0.25">
      <c r="T703" s="10"/>
    </row>
    <row r="704" spans="20:20" x14ac:dyDescent="0.25">
      <c r="T704" s="10"/>
    </row>
    <row r="705" spans="20:20" x14ac:dyDescent="0.25">
      <c r="T705" s="10"/>
    </row>
    <row r="706" spans="20:20" x14ac:dyDescent="0.25">
      <c r="T706" s="10"/>
    </row>
    <row r="707" spans="20:20" x14ac:dyDescent="0.25">
      <c r="T707" s="10"/>
    </row>
    <row r="708" spans="20:20" x14ac:dyDescent="0.25">
      <c r="T708" s="10"/>
    </row>
    <row r="709" spans="20:20" x14ac:dyDescent="0.25">
      <c r="T709" s="10"/>
    </row>
    <row r="710" spans="20:20" x14ac:dyDescent="0.25">
      <c r="T710" s="10"/>
    </row>
    <row r="711" spans="20:20" x14ac:dyDescent="0.25">
      <c r="T711" s="10"/>
    </row>
    <row r="712" spans="20:20" x14ac:dyDescent="0.25">
      <c r="T712" s="10"/>
    </row>
    <row r="713" spans="20:20" x14ac:dyDescent="0.25">
      <c r="T713" s="10"/>
    </row>
    <row r="714" spans="20:20" x14ac:dyDescent="0.25">
      <c r="T714" s="10"/>
    </row>
    <row r="715" spans="20:20" x14ac:dyDescent="0.25">
      <c r="T715" s="10"/>
    </row>
    <row r="716" spans="20:20" x14ac:dyDescent="0.25">
      <c r="T716" s="10"/>
    </row>
    <row r="717" spans="20:20" x14ac:dyDescent="0.25">
      <c r="T717" s="10"/>
    </row>
    <row r="718" spans="20:20" x14ac:dyDescent="0.25">
      <c r="T718" s="10"/>
    </row>
    <row r="719" spans="20:20" x14ac:dyDescent="0.25">
      <c r="T719" s="10"/>
    </row>
    <row r="720" spans="20:20" x14ac:dyDescent="0.25">
      <c r="T720" s="10"/>
    </row>
    <row r="721" spans="20:20" x14ac:dyDescent="0.25">
      <c r="T721" s="10"/>
    </row>
    <row r="722" spans="20:20" x14ac:dyDescent="0.25">
      <c r="T722" s="10"/>
    </row>
    <row r="723" spans="20:20" x14ac:dyDescent="0.25">
      <c r="T723" s="10"/>
    </row>
    <row r="724" spans="20:20" x14ac:dyDescent="0.25">
      <c r="T724" s="10"/>
    </row>
    <row r="725" spans="20:20" x14ac:dyDescent="0.25">
      <c r="T725" s="10"/>
    </row>
    <row r="726" spans="20:20" x14ac:dyDescent="0.25">
      <c r="T726" s="10"/>
    </row>
    <row r="727" spans="20:20" x14ac:dyDescent="0.25">
      <c r="T727" s="10"/>
    </row>
    <row r="728" spans="20:20" x14ac:dyDescent="0.25">
      <c r="T728" s="10"/>
    </row>
    <row r="729" spans="20:20" x14ac:dyDescent="0.25">
      <c r="T729" s="10"/>
    </row>
    <row r="730" spans="20:20" x14ac:dyDescent="0.25">
      <c r="T730" s="10"/>
    </row>
    <row r="731" spans="20:20" x14ac:dyDescent="0.25">
      <c r="T731" s="10"/>
    </row>
    <row r="732" spans="20:20" x14ac:dyDescent="0.25">
      <c r="T732" s="10"/>
    </row>
    <row r="733" spans="20:20" x14ac:dyDescent="0.25">
      <c r="T733" s="10"/>
    </row>
    <row r="734" spans="20:20" x14ac:dyDescent="0.25">
      <c r="T734" s="10"/>
    </row>
    <row r="735" spans="20:20" x14ac:dyDescent="0.25">
      <c r="T735" s="10"/>
    </row>
    <row r="736" spans="20:20" x14ac:dyDescent="0.25">
      <c r="T736" s="10"/>
    </row>
    <row r="737" spans="20:20" x14ac:dyDescent="0.25">
      <c r="T737" s="10"/>
    </row>
    <row r="738" spans="20:20" x14ac:dyDescent="0.25">
      <c r="T738" s="10"/>
    </row>
    <row r="739" spans="20:20" x14ac:dyDescent="0.25">
      <c r="T739" s="10"/>
    </row>
    <row r="740" spans="20:20" x14ac:dyDescent="0.25">
      <c r="T740" s="10"/>
    </row>
    <row r="741" spans="20:20" x14ac:dyDescent="0.25">
      <c r="T741" s="10"/>
    </row>
    <row r="742" spans="20:20" x14ac:dyDescent="0.25">
      <c r="T742" s="10"/>
    </row>
    <row r="743" spans="20:20" x14ac:dyDescent="0.25">
      <c r="T743" s="10"/>
    </row>
    <row r="744" spans="20:20" x14ac:dyDescent="0.25">
      <c r="T744" s="10"/>
    </row>
    <row r="745" spans="20:20" x14ac:dyDescent="0.25">
      <c r="T745" s="10"/>
    </row>
    <row r="746" spans="20:20" x14ac:dyDescent="0.25">
      <c r="T746" s="10"/>
    </row>
    <row r="747" spans="20:20" x14ac:dyDescent="0.25">
      <c r="T747" s="10"/>
    </row>
    <row r="748" spans="20:20" x14ac:dyDescent="0.25">
      <c r="T748" s="10"/>
    </row>
    <row r="749" spans="20:20" x14ac:dyDescent="0.25">
      <c r="T749" s="10"/>
    </row>
    <row r="750" spans="20:20" x14ac:dyDescent="0.25">
      <c r="T750" s="10"/>
    </row>
    <row r="751" spans="20:20" x14ac:dyDescent="0.25">
      <c r="T751" s="10"/>
    </row>
    <row r="752" spans="20:20" x14ac:dyDescent="0.25">
      <c r="T752" s="10"/>
    </row>
    <row r="753" spans="20:20" x14ac:dyDescent="0.25">
      <c r="T753" s="10"/>
    </row>
    <row r="754" spans="20:20" x14ac:dyDescent="0.25">
      <c r="T754" s="10"/>
    </row>
    <row r="755" spans="20:20" x14ac:dyDescent="0.25">
      <c r="T755" s="10"/>
    </row>
    <row r="756" spans="20:20" x14ac:dyDescent="0.25">
      <c r="T756" s="10"/>
    </row>
    <row r="757" spans="20:20" x14ac:dyDescent="0.25">
      <c r="T757" s="10"/>
    </row>
    <row r="758" spans="20:20" x14ac:dyDescent="0.25">
      <c r="T758" s="10"/>
    </row>
    <row r="759" spans="20:20" x14ac:dyDescent="0.25">
      <c r="T759" s="10"/>
    </row>
    <row r="760" spans="20:20" x14ac:dyDescent="0.25">
      <c r="T760" s="10"/>
    </row>
    <row r="761" spans="20:20" x14ac:dyDescent="0.25">
      <c r="T761" s="10"/>
    </row>
    <row r="762" spans="20:20" x14ac:dyDescent="0.25">
      <c r="T762" s="10"/>
    </row>
    <row r="763" spans="20:20" x14ac:dyDescent="0.25">
      <c r="T763" s="10"/>
    </row>
    <row r="764" spans="20:20" x14ac:dyDescent="0.25">
      <c r="T764" s="10"/>
    </row>
    <row r="765" spans="20:20" x14ac:dyDescent="0.25">
      <c r="T765" s="10"/>
    </row>
    <row r="766" spans="20:20" x14ac:dyDescent="0.25">
      <c r="T766" s="10"/>
    </row>
    <row r="767" spans="20:20" x14ac:dyDescent="0.25">
      <c r="T767" s="10"/>
    </row>
    <row r="768" spans="20:20" x14ac:dyDescent="0.25">
      <c r="T768" s="10"/>
    </row>
    <row r="769" spans="20:20" x14ac:dyDescent="0.25">
      <c r="T769" s="10"/>
    </row>
    <row r="770" spans="20:20" x14ac:dyDescent="0.25">
      <c r="T770" s="10"/>
    </row>
    <row r="771" spans="20:20" x14ac:dyDescent="0.25">
      <c r="T771" s="10"/>
    </row>
    <row r="772" spans="20:20" x14ac:dyDescent="0.25">
      <c r="T772" s="10"/>
    </row>
    <row r="773" spans="20:20" x14ac:dyDescent="0.25">
      <c r="T773" s="10"/>
    </row>
    <row r="774" spans="20:20" x14ac:dyDescent="0.25">
      <c r="T774" s="10"/>
    </row>
    <row r="775" spans="20:20" x14ac:dyDescent="0.25">
      <c r="T775" s="10"/>
    </row>
    <row r="776" spans="20:20" x14ac:dyDescent="0.25">
      <c r="T776" s="10"/>
    </row>
    <row r="777" spans="20:20" x14ac:dyDescent="0.25">
      <c r="T777" s="10"/>
    </row>
    <row r="778" spans="20:20" x14ac:dyDescent="0.25">
      <c r="T778" s="10"/>
    </row>
    <row r="779" spans="20:20" x14ac:dyDescent="0.25">
      <c r="T779" s="10"/>
    </row>
    <row r="780" spans="20:20" x14ac:dyDescent="0.25">
      <c r="T780" s="10"/>
    </row>
    <row r="781" spans="20:20" x14ac:dyDescent="0.25">
      <c r="T781" s="10"/>
    </row>
    <row r="782" spans="20:20" x14ac:dyDescent="0.25">
      <c r="T782" s="10"/>
    </row>
    <row r="783" spans="20:20" x14ac:dyDescent="0.25">
      <c r="T783" s="10"/>
    </row>
    <row r="784" spans="20:20" x14ac:dyDescent="0.25">
      <c r="T784" s="10"/>
    </row>
    <row r="785" spans="20:20" x14ac:dyDescent="0.25">
      <c r="T785" s="10"/>
    </row>
    <row r="786" spans="20:20" x14ac:dyDescent="0.25">
      <c r="T786" s="10"/>
    </row>
    <row r="787" spans="20:20" x14ac:dyDescent="0.25">
      <c r="T787" s="10"/>
    </row>
    <row r="788" spans="20:20" x14ac:dyDescent="0.25">
      <c r="T788" s="10"/>
    </row>
    <row r="789" spans="20:20" x14ac:dyDescent="0.25">
      <c r="T789" s="10"/>
    </row>
    <row r="790" spans="20:20" x14ac:dyDescent="0.25">
      <c r="T790" s="10"/>
    </row>
    <row r="791" spans="20:20" x14ac:dyDescent="0.25">
      <c r="T791" s="10"/>
    </row>
    <row r="792" spans="20:20" x14ac:dyDescent="0.25">
      <c r="T792" s="10"/>
    </row>
    <row r="793" spans="20:20" x14ac:dyDescent="0.25">
      <c r="T793" s="10"/>
    </row>
    <row r="794" spans="20:20" x14ac:dyDescent="0.25">
      <c r="T794" s="10"/>
    </row>
    <row r="795" spans="20:20" x14ac:dyDescent="0.25">
      <c r="T795" s="10"/>
    </row>
    <row r="796" spans="20:20" x14ac:dyDescent="0.25">
      <c r="T796" s="10"/>
    </row>
    <row r="797" spans="20:20" x14ac:dyDescent="0.25">
      <c r="T797" s="10"/>
    </row>
    <row r="798" spans="20:20" x14ac:dyDescent="0.25">
      <c r="T798" s="10"/>
    </row>
    <row r="799" spans="20:20" x14ac:dyDescent="0.25">
      <c r="T799" s="10"/>
    </row>
    <row r="800" spans="20:20" x14ac:dyDescent="0.25">
      <c r="T800" s="10"/>
    </row>
    <row r="801" spans="20:20" x14ac:dyDescent="0.25">
      <c r="T801" s="10"/>
    </row>
    <row r="802" spans="20:20" x14ac:dyDescent="0.25">
      <c r="T802" s="10"/>
    </row>
    <row r="803" spans="20:20" x14ac:dyDescent="0.25">
      <c r="T803" s="10"/>
    </row>
    <row r="804" spans="20:20" x14ac:dyDescent="0.25">
      <c r="T804" s="10"/>
    </row>
    <row r="805" spans="20:20" x14ac:dyDescent="0.25">
      <c r="T805" s="10"/>
    </row>
    <row r="806" spans="20:20" x14ac:dyDescent="0.25">
      <c r="T806" s="10"/>
    </row>
    <row r="807" spans="20:20" x14ac:dyDescent="0.25">
      <c r="T807" s="10"/>
    </row>
    <row r="808" spans="20:20" x14ac:dyDescent="0.25">
      <c r="T808" s="10"/>
    </row>
    <row r="809" spans="20:20" x14ac:dyDescent="0.25">
      <c r="T809" s="10"/>
    </row>
    <row r="810" spans="20:20" x14ac:dyDescent="0.25">
      <c r="T810" s="10"/>
    </row>
    <row r="811" spans="20:20" x14ac:dyDescent="0.25">
      <c r="T811" s="10"/>
    </row>
    <row r="812" spans="20:20" x14ac:dyDescent="0.25">
      <c r="T812" s="10"/>
    </row>
    <row r="813" spans="20:20" x14ac:dyDescent="0.25">
      <c r="T813" s="10"/>
    </row>
    <row r="814" spans="20:20" x14ac:dyDescent="0.25">
      <c r="T814" s="10"/>
    </row>
    <row r="815" spans="20:20" x14ac:dyDescent="0.25">
      <c r="T815" s="10"/>
    </row>
    <row r="816" spans="20:20" x14ac:dyDescent="0.25">
      <c r="T816" s="10"/>
    </row>
    <row r="817" spans="20:20" x14ac:dyDescent="0.25">
      <c r="T817" s="10"/>
    </row>
    <row r="818" spans="20:20" x14ac:dyDescent="0.25">
      <c r="T818" s="10"/>
    </row>
    <row r="819" spans="20:20" x14ac:dyDescent="0.25">
      <c r="T819" s="10"/>
    </row>
    <row r="820" spans="20:20" x14ac:dyDescent="0.25">
      <c r="T820" s="10"/>
    </row>
    <row r="821" spans="20:20" x14ac:dyDescent="0.25">
      <c r="T821" s="10"/>
    </row>
    <row r="822" spans="20:20" x14ac:dyDescent="0.25">
      <c r="T822" s="10"/>
    </row>
    <row r="823" spans="20:20" x14ac:dyDescent="0.25">
      <c r="T823" s="10"/>
    </row>
    <row r="824" spans="20:20" x14ac:dyDescent="0.25">
      <c r="T824" s="10"/>
    </row>
    <row r="825" spans="20:20" x14ac:dyDescent="0.25">
      <c r="T825" s="10"/>
    </row>
    <row r="826" spans="20:20" x14ac:dyDescent="0.25">
      <c r="T826" s="10"/>
    </row>
    <row r="827" spans="20:20" x14ac:dyDescent="0.25">
      <c r="T827" s="10"/>
    </row>
    <row r="828" spans="20:20" x14ac:dyDescent="0.25">
      <c r="T828" s="10"/>
    </row>
    <row r="829" spans="20:20" x14ac:dyDescent="0.25">
      <c r="T829" s="10"/>
    </row>
    <row r="830" spans="20:20" x14ac:dyDescent="0.25">
      <c r="T830" s="10"/>
    </row>
    <row r="831" spans="20:20" x14ac:dyDescent="0.25">
      <c r="T831" s="10"/>
    </row>
    <row r="832" spans="20:20" x14ac:dyDescent="0.25">
      <c r="T832" s="10"/>
    </row>
    <row r="833" spans="20:20" x14ac:dyDescent="0.25">
      <c r="T833" s="10"/>
    </row>
    <row r="834" spans="20:20" x14ac:dyDescent="0.25">
      <c r="T834" s="10"/>
    </row>
    <row r="835" spans="20:20" x14ac:dyDescent="0.25">
      <c r="T835" s="10"/>
    </row>
    <row r="836" spans="20:20" x14ac:dyDescent="0.25">
      <c r="T836" s="10"/>
    </row>
    <row r="837" spans="20:20" x14ac:dyDescent="0.25">
      <c r="T837" s="10"/>
    </row>
    <row r="838" spans="20:20" x14ac:dyDescent="0.25">
      <c r="T838" s="10"/>
    </row>
    <row r="839" spans="20:20" x14ac:dyDescent="0.25">
      <c r="T839" s="10"/>
    </row>
    <row r="840" spans="20:20" x14ac:dyDescent="0.25">
      <c r="T840" s="10"/>
    </row>
    <row r="841" spans="20:20" x14ac:dyDescent="0.25">
      <c r="T841" s="10"/>
    </row>
    <row r="842" spans="20:20" x14ac:dyDescent="0.25">
      <c r="T842" s="10"/>
    </row>
    <row r="843" spans="20:20" x14ac:dyDescent="0.25">
      <c r="T843" s="10"/>
    </row>
    <row r="844" spans="20:20" x14ac:dyDescent="0.25">
      <c r="T844" s="10"/>
    </row>
    <row r="845" spans="20:20" x14ac:dyDescent="0.25">
      <c r="T845" s="10"/>
    </row>
    <row r="846" spans="20:20" x14ac:dyDescent="0.25">
      <c r="T846" s="10"/>
    </row>
    <row r="847" spans="20:20" x14ac:dyDescent="0.25">
      <c r="T847" s="10"/>
    </row>
    <row r="848" spans="20:20" x14ac:dyDescent="0.25">
      <c r="T848" s="10"/>
    </row>
    <row r="849" spans="20:20" x14ac:dyDescent="0.25">
      <c r="T849" s="10"/>
    </row>
    <row r="850" spans="20:20" x14ac:dyDescent="0.25">
      <c r="T850" s="10"/>
    </row>
    <row r="851" spans="20:20" x14ac:dyDescent="0.25">
      <c r="T851" s="10"/>
    </row>
    <row r="852" spans="20:20" x14ac:dyDescent="0.25">
      <c r="T852" s="10"/>
    </row>
    <row r="853" spans="20:20" x14ac:dyDescent="0.25">
      <c r="T853" s="10"/>
    </row>
    <row r="854" spans="20:20" x14ac:dyDescent="0.25">
      <c r="T854" s="10"/>
    </row>
    <row r="855" spans="20:20" x14ac:dyDescent="0.25">
      <c r="T855" s="10"/>
    </row>
    <row r="856" spans="20:20" x14ac:dyDescent="0.25">
      <c r="T856" s="10"/>
    </row>
    <row r="857" spans="20:20" x14ac:dyDescent="0.25">
      <c r="T857" s="10"/>
    </row>
    <row r="858" spans="20:20" x14ac:dyDescent="0.25">
      <c r="T858" s="10"/>
    </row>
    <row r="859" spans="20:20" x14ac:dyDescent="0.25">
      <c r="T859" s="10"/>
    </row>
    <row r="860" spans="20:20" x14ac:dyDescent="0.25">
      <c r="T860" s="10"/>
    </row>
    <row r="861" spans="20:20" x14ac:dyDescent="0.25">
      <c r="T861" s="10"/>
    </row>
    <row r="862" spans="20:20" x14ac:dyDescent="0.25">
      <c r="T862" s="10"/>
    </row>
    <row r="863" spans="20:20" x14ac:dyDescent="0.25">
      <c r="T863" s="10"/>
    </row>
    <row r="864" spans="20:20" x14ac:dyDescent="0.25">
      <c r="T864" s="10"/>
    </row>
    <row r="865" spans="20:20" x14ac:dyDescent="0.25">
      <c r="T865" s="10"/>
    </row>
    <row r="866" spans="20:20" x14ac:dyDescent="0.25">
      <c r="T866" s="10"/>
    </row>
    <row r="867" spans="20:20" x14ac:dyDescent="0.25">
      <c r="T867" s="10"/>
    </row>
    <row r="868" spans="20:20" x14ac:dyDescent="0.25">
      <c r="T868" s="10"/>
    </row>
    <row r="869" spans="20:20" x14ac:dyDescent="0.25">
      <c r="T869" s="10"/>
    </row>
    <row r="870" spans="20:20" x14ac:dyDescent="0.25">
      <c r="T870" s="10"/>
    </row>
    <row r="871" spans="20:20" x14ac:dyDescent="0.25">
      <c r="T871" s="10"/>
    </row>
    <row r="872" spans="20:20" x14ac:dyDescent="0.25">
      <c r="T872" s="10"/>
    </row>
    <row r="873" spans="20:20" x14ac:dyDescent="0.25">
      <c r="T873" s="10"/>
    </row>
    <row r="874" spans="20:20" x14ac:dyDescent="0.25">
      <c r="T874" s="10"/>
    </row>
    <row r="875" spans="20:20" x14ac:dyDescent="0.25">
      <c r="T875" s="10"/>
    </row>
    <row r="876" spans="20:20" x14ac:dyDescent="0.25">
      <c r="T876" s="10"/>
    </row>
    <row r="877" spans="20:20" x14ac:dyDescent="0.25">
      <c r="T877" s="10"/>
    </row>
    <row r="878" spans="20:20" x14ac:dyDescent="0.25">
      <c r="T878" s="10"/>
    </row>
    <row r="879" spans="20:20" x14ac:dyDescent="0.25">
      <c r="T879" s="10"/>
    </row>
    <row r="880" spans="20:20" x14ac:dyDescent="0.25">
      <c r="T880" s="10"/>
    </row>
    <row r="881" spans="20:20" x14ac:dyDescent="0.25">
      <c r="T881" s="10"/>
    </row>
    <row r="882" spans="20:20" x14ac:dyDescent="0.25">
      <c r="T882" s="10"/>
    </row>
    <row r="883" spans="20:20" x14ac:dyDescent="0.25">
      <c r="T883" s="10"/>
    </row>
    <row r="884" spans="20:20" x14ac:dyDescent="0.25">
      <c r="T884" s="10"/>
    </row>
    <row r="885" spans="20:20" x14ac:dyDescent="0.25">
      <c r="T885" s="10"/>
    </row>
    <row r="886" spans="20:20" x14ac:dyDescent="0.25">
      <c r="T886" s="10"/>
    </row>
    <row r="887" spans="20:20" x14ac:dyDescent="0.25">
      <c r="T887" s="10"/>
    </row>
    <row r="888" spans="20:20" x14ac:dyDescent="0.25">
      <c r="T888" s="10"/>
    </row>
    <row r="889" spans="20:20" x14ac:dyDescent="0.25">
      <c r="T889" s="10"/>
    </row>
    <row r="890" spans="20:20" x14ac:dyDescent="0.25">
      <c r="T890" s="10"/>
    </row>
    <row r="891" spans="20:20" x14ac:dyDescent="0.25">
      <c r="T891" s="10"/>
    </row>
    <row r="892" spans="20:20" x14ac:dyDescent="0.25">
      <c r="T892" s="10"/>
    </row>
    <row r="893" spans="20:20" x14ac:dyDescent="0.25">
      <c r="T893" s="10"/>
    </row>
    <row r="894" spans="20:20" x14ac:dyDescent="0.25">
      <c r="T894" s="10"/>
    </row>
    <row r="895" spans="20:20" x14ac:dyDescent="0.25">
      <c r="T895" s="10"/>
    </row>
    <row r="896" spans="20:20" x14ac:dyDescent="0.25">
      <c r="T896" s="10"/>
    </row>
    <row r="897" spans="20:20" x14ac:dyDescent="0.25">
      <c r="T897" s="10"/>
    </row>
    <row r="898" spans="20:20" x14ac:dyDescent="0.25">
      <c r="T898" s="10"/>
    </row>
    <row r="899" spans="20:20" x14ac:dyDescent="0.25">
      <c r="T899" s="10"/>
    </row>
    <row r="900" spans="20:20" x14ac:dyDescent="0.25">
      <c r="T900" s="10"/>
    </row>
    <row r="901" spans="20:20" x14ac:dyDescent="0.25">
      <c r="T901" s="10"/>
    </row>
    <row r="902" spans="20:20" x14ac:dyDescent="0.25">
      <c r="T902" s="10"/>
    </row>
    <row r="903" spans="20:20" x14ac:dyDescent="0.25">
      <c r="T903" s="10"/>
    </row>
    <row r="904" spans="20:20" x14ac:dyDescent="0.25">
      <c r="T904" s="10"/>
    </row>
    <row r="905" spans="20:20" x14ac:dyDescent="0.25">
      <c r="T905" s="10"/>
    </row>
    <row r="906" spans="20:20" x14ac:dyDescent="0.25">
      <c r="T906" s="10"/>
    </row>
    <row r="907" spans="20:20" x14ac:dyDescent="0.25">
      <c r="T907" s="10"/>
    </row>
    <row r="908" spans="20:20" x14ac:dyDescent="0.25">
      <c r="T908" s="10"/>
    </row>
    <row r="909" spans="20:20" x14ac:dyDescent="0.25">
      <c r="T909" s="10"/>
    </row>
    <row r="910" spans="20:20" x14ac:dyDescent="0.25">
      <c r="T910" s="10"/>
    </row>
    <row r="911" spans="20:20" x14ac:dyDescent="0.25">
      <c r="T911" s="10"/>
    </row>
    <row r="912" spans="20:20" x14ac:dyDescent="0.25">
      <c r="T912" s="10"/>
    </row>
    <row r="913" spans="20:20" x14ac:dyDescent="0.25">
      <c r="T913" s="10"/>
    </row>
    <row r="914" spans="20:20" x14ac:dyDescent="0.25">
      <c r="T914" s="10"/>
    </row>
    <row r="915" spans="20:20" x14ac:dyDescent="0.25">
      <c r="T915" s="10"/>
    </row>
    <row r="916" spans="20:20" x14ac:dyDescent="0.25">
      <c r="T916" s="10"/>
    </row>
    <row r="917" spans="20:20" x14ac:dyDescent="0.25">
      <c r="T917" s="10"/>
    </row>
    <row r="918" spans="20:20" x14ac:dyDescent="0.25">
      <c r="T918" s="10"/>
    </row>
    <row r="919" spans="20:20" x14ac:dyDescent="0.25">
      <c r="T919" s="10"/>
    </row>
    <row r="920" spans="20:20" x14ac:dyDescent="0.25">
      <c r="T920" s="10"/>
    </row>
    <row r="921" spans="20:20" x14ac:dyDescent="0.25">
      <c r="T921" s="10"/>
    </row>
    <row r="922" spans="20:20" x14ac:dyDescent="0.25">
      <c r="T922" s="10"/>
    </row>
    <row r="923" spans="20:20" x14ac:dyDescent="0.25">
      <c r="T923" s="10"/>
    </row>
    <row r="924" spans="20:20" x14ac:dyDescent="0.25">
      <c r="T924" s="10"/>
    </row>
    <row r="925" spans="20:20" x14ac:dyDescent="0.25">
      <c r="T925" s="10"/>
    </row>
    <row r="926" spans="20:20" x14ac:dyDescent="0.25">
      <c r="T926" s="10"/>
    </row>
    <row r="927" spans="20:20" x14ac:dyDescent="0.25">
      <c r="T927" s="10"/>
    </row>
    <row r="928" spans="20:20" x14ac:dyDescent="0.25">
      <c r="T928" s="10"/>
    </row>
    <row r="929" spans="20:20" x14ac:dyDescent="0.25">
      <c r="T929" s="10"/>
    </row>
    <row r="930" spans="20:20" x14ac:dyDescent="0.25">
      <c r="T930" s="10"/>
    </row>
    <row r="931" spans="20:20" x14ac:dyDescent="0.25">
      <c r="T931" s="10"/>
    </row>
    <row r="932" spans="20:20" x14ac:dyDescent="0.25">
      <c r="T932" s="10"/>
    </row>
    <row r="933" spans="20:20" x14ac:dyDescent="0.25">
      <c r="T933" s="10"/>
    </row>
    <row r="934" spans="20:20" x14ac:dyDescent="0.25">
      <c r="T934" s="10"/>
    </row>
    <row r="935" spans="20:20" x14ac:dyDescent="0.25">
      <c r="T935" s="10"/>
    </row>
    <row r="936" spans="20:20" x14ac:dyDescent="0.25">
      <c r="T936" s="10"/>
    </row>
    <row r="937" spans="20:20" x14ac:dyDescent="0.25">
      <c r="T937" s="10"/>
    </row>
    <row r="938" spans="20:20" x14ac:dyDescent="0.25">
      <c r="T938" s="10"/>
    </row>
    <row r="939" spans="20:20" x14ac:dyDescent="0.25">
      <c r="T939" s="10"/>
    </row>
    <row r="940" spans="20:20" x14ac:dyDescent="0.25">
      <c r="T940" s="10"/>
    </row>
    <row r="941" spans="20:20" x14ac:dyDescent="0.25">
      <c r="T941" s="10"/>
    </row>
    <row r="942" spans="20:20" x14ac:dyDescent="0.25">
      <c r="T942" s="10"/>
    </row>
    <row r="943" spans="20:20" x14ac:dyDescent="0.25">
      <c r="T943" s="10"/>
    </row>
    <row r="944" spans="20:20" x14ac:dyDescent="0.25">
      <c r="T944" s="10"/>
    </row>
    <row r="945" spans="20:20" x14ac:dyDescent="0.25">
      <c r="T945" s="10"/>
    </row>
    <row r="946" spans="20:20" x14ac:dyDescent="0.25">
      <c r="T946" s="10"/>
    </row>
    <row r="947" spans="20:20" x14ac:dyDescent="0.25">
      <c r="T947" s="10"/>
    </row>
    <row r="948" spans="20:20" x14ac:dyDescent="0.25">
      <c r="T948" s="10"/>
    </row>
    <row r="949" spans="20:20" x14ac:dyDescent="0.25">
      <c r="T949" s="10"/>
    </row>
    <row r="950" spans="20:20" x14ac:dyDescent="0.25">
      <c r="T950" s="10"/>
    </row>
    <row r="951" spans="20:20" x14ac:dyDescent="0.25">
      <c r="T951" s="10"/>
    </row>
    <row r="952" spans="20:20" x14ac:dyDescent="0.25">
      <c r="T952" s="10"/>
    </row>
    <row r="953" spans="20:20" x14ac:dyDescent="0.25">
      <c r="T953" s="10"/>
    </row>
    <row r="954" spans="20:20" x14ac:dyDescent="0.25">
      <c r="T954" s="10"/>
    </row>
    <row r="955" spans="20:20" x14ac:dyDescent="0.25">
      <c r="T955" s="10"/>
    </row>
    <row r="956" spans="20:20" x14ac:dyDescent="0.25">
      <c r="T956" s="10"/>
    </row>
    <row r="957" spans="20:20" x14ac:dyDescent="0.25">
      <c r="T957" s="10"/>
    </row>
    <row r="958" spans="20:20" x14ac:dyDescent="0.25">
      <c r="T958" s="10"/>
    </row>
    <row r="959" spans="20:20" x14ac:dyDescent="0.25">
      <c r="T959" s="10"/>
    </row>
    <row r="960" spans="20:20" x14ac:dyDescent="0.25">
      <c r="T960" s="10"/>
    </row>
    <row r="961" spans="20:20" x14ac:dyDescent="0.25">
      <c r="T961" s="10"/>
    </row>
    <row r="962" spans="20:20" x14ac:dyDescent="0.25">
      <c r="T962" s="10"/>
    </row>
    <row r="963" spans="20:20" x14ac:dyDescent="0.25">
      <c r="T963" s="10"/>
    </row>
    <row r="964" spans="20:20" x14ac:dyDescent="0.25">
      <c r="T964" s="10"/>
    </row>
    <row r="965" spans="20:20" x14ac:dyDescent="0.25">
      <c r="T965" s="10"/>
    </row>
    <row r="966" spans="20:20" x14ac:dyDescent="0.25">
      <c r="T966" s="10"/>
    </row>
    <row r="967" spans="20:20" x14ac:dyDescent="0.25">
      <c r="T967" s="10"/>
    </row>
    <row r="968" spans="20:20" x14ac:dyDescent="0.25">
      <c r="T968" s="10"/>
    </row>
    <row r="969" spans="20:20" x14ac:dyDescent="0.25">
      <c r="T969" s="10"/>
    </row>
    <row r="970" spans="20:20" x14ac:dyDescent="0.25">
      <c r="T970" s="10"/>
    </row>
    <row r="971" spans="20:20" x14ac:dyDescent="0.25">
      <c r="T971" s="10"/>
    </row>
    <row r="972" spans="20:20" x14ac:dyDescent="0.25">
      <c r="T972" s="10"/>
    </row>
    <row r="973" spans="20:20" x14ac:dyDescent="0.25">
      <c r="T973" s="10"/>
    </row>
    <row r="974" spans="20:20" x14ac:dyDescent="0.25">
      <c r="T974" s="10"/>
    </row>
    <row r="975" spans="20:20" x14ac:dyDescent="0.25">
      <c r="T975" s="10"/>
    </row>
    <row r="976" spans="20:20" x14ac:dyDescent="0.25">
      <c r="T976" s="10"/>
    </row>
    <row r="977" spans="20:20" x14ac:dyDescent="0.25">
      <c r="T977" s="10"/>
    </row>
    <row r="978" spans="20:20" x14ac:dyDescent="0.25">
      <c r="T978" s="10"/>
    </row>
    <row r="979" spans="20:20" x14ac:dyDescent="0.25">
      <c r="T979" s="10"/>
    </row>
    <row r="980" spans="20:20" x14ac:dyDescent="0.25">
      <c r="T980" s="10"/>
    </row>
    <row r="981" spans="20:20" x14ac:dyDescent="0.25">
      <c r="T981" s="10"/>
    </row>
    <row r="982" spans="20:20" x14ac:dyDescent="0.25">
      <c r="T982" s="10"/>
    </row>
    <row r="983" spans="20:20" x14ac:dyDescent="0.25">
      <c r="T983" s="10"/>
    </row>
    <row r="984" spans="20:20" x14ac:dyDescent="0.25">
      <c r="T984" s="10"/>
    </row>
    <row r="985" spans="20:20" x14ac:dyDescent="0.25">
      <c r="T985" s="10"/>
    </row>
    <row r="986" spans="20:20" x14ac:dyDescent="0.25">
      <c r="T986" s="10"/>
    </row>
    <row r="987" spans="20:20" x14ac:dyDescent="0.25">
      <c r="T987" s="10"/>
    </row>
    <row r="988" spans="20:20" x14ac:dyDescent="0.25">
      <c r="T988" s="10"/>
    </row>
    <row r="989" spans="20:20" x14ac:dyDescent="0.25">
      <c r="T989" s="10"/>
    </row>
    <row r="990" spans="20:20" x14ac:dyDescent="0.25">
      <c r="T990" s="10"/>
    </row>
    <row r="991" spans="20:20" x14ac:dyDescent="0.25">
      <c r="T991" s="10"/>
    </row>
    <row r="992" spans="20:20" x14ac:dyDescent="0.25">
      <c r="T992" s="10"/>
    </row>
    <row r="993" spans="20:20" x14ac:dyDescent="0.25">
      <c r="T993" s="10"/>
    </row>
    <row r="994" spans="20:20" x14ac:dyDescent="0.25">
      <c r="T994" s="10"/>
    </row>
    <row r="995" spans="20:20" x14ac:dyDescent="0.25">
      <c r="T995" s="10"/>
    </row>
    <row r="996" spans="20:20" x14ac:dyDescent="0.25">
      <c r="T996" s="10"/>
    </row>
    <row r="997" spans="20:20" x14ac:dyDescent="0.25">
      <c r="T997" s="10"/>
    </row>
    <row r="998" spans="20:20" x14ac:dyDescent="0.25">
      <c r="T998" s="10"/>
    </row>
    <row r="999" spans="20:20" x14ac:dyDescent="0.25">
      <c r="T999" s="10"/>
    </row>
    <row r="1000" spans="20:20" x14ac:dyDescent="0.25">
      <c r="T1000" s="10"/>
    </row>
    <row r="1001" spans="20:20" x14ac:dyDescent="0.25">
      <c r="T1001" s="10"/>
    </row>
    <row r="1002" spans="20:20" x14ac:dyDescent="0.25">
      <c r="T1002" s="10"/>
    </row>
    <row r="1003" spans="20:20" x14ac:dyDescent="0.25">
      <c r="T1003" s="10"/>
    </row>
    <row r="1004" spans="20:20" x14ac:dyDescent="0.25">
      <c r="T1004" s="10"/>
    </row>
    <row r="1005" spans="20:20" x14ac:dyDescent="0.25">
      <c r="T1005" s="10"/>
    </row>
    <row r="1006" spans="20:20" x14ac:dyDescent="0.25">
      <c r="T1006" s="10"/>
    </row>
    <row r="1007" spans="20:20" x14ac:dyDescent="0.25">
      <c r="T1007" s="10"/>
    </row>
    <row r="1008" spans="20:20" x14ac:dyDescent="0.25">
      <c r="T1008" s="10"/>
    </row>
    <row r="1009" spans="20:20" x14ac:dyDescent="0.25">
      <c r="T1009" s="10"/>
    </row>
    <row r="1010" spans="20:20" x14ac:dyDescent="0.25">
      <c r="T1010" s="10"/>
    </row>
    <row r="1011" spans="20:20" x14ac:dyDescent="0.25">
      <c r="T1011" s="10"/>
    </row>
    <row r="1012" spans="20:20" x14ac:dyDescent="0.25">
      <c r="T1012" s="10"/>
    </row>
    <row r="1013" spans="20:20" x14ac:dyDescent="0.25">
      <c r="T1013" s="10"/>
    </row>
    <row r="1014" spans="20:20" x14ac:dyDescent="0.25">
      <c r="T1014" s="10"/>
    </row>
    <row r="1015" spans="20:20" x14ac:dyDescent="0.25">
      <c r="T1015" s="10"/>
    </row>
    <row r="1016" spans="20:20" x14ac:dyDescent="0.25">
      <c r="T1016" s="10"/>
    </row>
    <row r="1017" spans="20:20" x14ac:dyDescent="0.25">
      <c r="T1017" s="10"/>
    </row>
    <row r="1018" spans="20:20" x14ac:dyDescent="0.25">
      <c r="T1018" s="10"/>
    </row>
    <row r="1019" spans="20:20" x14ac:dyDescent="0.25">
      <c r="T1019" s="10"/>
    </row>
    <row r="1020" spans="20:20" x14ac:dyDescent="0.25">
      <c r="T1020" s="10"/>
    </row>
    <row r="1021" spans="20:20" x14ac:dyDescent="0.25">
      <c r="T1021" s="10"/>
    </row>
    <row r="1022" spans="20:20" x14ac:dyDescent="0.25">
      <c r="T1022" s="10"/>
    </row>
    <row r="1023" spans="20:20" x14ac:dyDescent="0.25">
      <c r="T1023" s="10"/>
    </row>
    <row r="1024" spans="20:20" x14ac:dyDescent="0.25">
      <c r="T1024" s="10"/>
    </row>
    <row r="1025" spans="20:20" x14ac:dyDescent="0.25">
      <c r="T1025" s="10"/>
    </row>
    <row r="1026" spans="20:20" x14ac:dyDescent="0.25">
      <c r="T1026" s="10"/>
    </row>
    <row r="1027" spans="20:20" x14ac:dyDescent="0.25">
      <c r="T1027" s="10"/>
    </row>
    <row r="1028" spans="20:20" x14ac:dyDescent="0.25">
      <c r="T1028" s="10"/>
    </row>
    <row r="1029" spans="20:20" x14ac:dyDescent="0.25">
      <c r="T1029" s="10"/>
    </row>
    <row r="1030" spans="20:20" x14ac:dyDescent="0.25">
      <c r="T1030" s="10"/>
    </row>
    <row r="1031" spans="20:20" x14ac:dyDescent="0.25">
      <c r="T1031" s="10"/>
    </row>
    <row r="1032" spans="20:20" x14ac:dyDescent="0.25">
      <c r="T1032" s="10"/>
    </row>
    <row r="1033" spans="20:20" x14ac:dyDescent="0.25">
      <c r="T1033" s="10"/>
    </row>
    <row r="1034" spans="20:20" x14ac:dyDescent="0.25">
      <c r="T1034" s="10"/>
    </row>
    <row r="1035" spans="20:20" x14ac:dyDescent="0.25">
      <c r="T1035" s="10"/>
    </row>
    <row r="1036" spans="20:20" x14ac:dyDescent="0.25">
      <c r="T1036" s="10"/>
    </row>
    <row r="1037" spans="20:20" x14ac:dyDescent="0.25">
      <c r="T1037" s="10"/>
    </row>
    <row r="1038" spans="20:20" x14ac:dyDescent="0.25">
      <c r="T1038" s="10"/>
    </row>
    <row r="1039" spans="20:20" x14ac:dyDescent="0.25">
      <c r="T1039" s="10"/>
    </row>
    <row r="1040" spans="20:20" x14ac:dyDescent="0.25">
      <c r="T1040" s="10"/>
    </row>
    <row r="1041" spans="20:20" x14ac:dyDescent="0.25">
      <c r="T1041" s="10"/>
    </row>
    <row r="1042" spans="20:20" x14ac:dyDescent="0.25">
      <c r="T1042" s="10"/>
    </row>
    <row r="1043" spans="20:20" x14ac:dyDescent="0.25">
      <c r="T1043" s="10"/>
    </row>
    <row r="1044" spans="20:20" x14ac:dyDescent="0.25">
      <c r="T1044" s="10"/>
    </row>
    <row r="1045" spans="20:20" x14ac:dyDescent="0.25">
      <c r="T1045" s="10"/>
    </row>
    <row r="1046" spans="20:20" x14ac:dyDescent="0.25">
      <c r="T1046" s="10"/>
    </row>
    <row r="1047" spans="20:20" x14ac:dyDescent="0.25">
      <c r="T1047" s="10"/>
    </row>
    <row r="1048" spans="20:20" x14ac:dyDescent="0.25">
      <c r="T1048" s="10"/>
    </row>
    <row r="1049" spans="20:20" x14ac:dyDescent="0.25">
      <c r="T1049" s="10"/>
    </row>
    <row r="1050" spans="20:20" x14ac:dyDescent="0.25">
      <c r="T1050" s="10"/>
    </row>
    <row r="1051" spans="20:20" x14ac:dyDescent="0.25">
      <c r="T1051" s="10"/>
    </row>
    <row r="1052" spans="20:20" x14ac:dyDescent="0.25">
      <c r="T1052" s="10"/>
    </row>
    <row r="1053" spans="20:20" x14ac:dyDescent="0.25">
      <c r="T1053" s="10"/>
    </row>
    <row r="1054" spans="20:20" x14ac:dyDescent="0.25">
      <c r="T1054" s="10"/>
    </row>
    <row r="1055" spans="20:20" x14ac:dyDescent="0.25">
      <c r="T1055" s="10"/>
    </row>
    <row r="1056" spans="20:20" x14ac:dyDescent="0.25">
      <c r="T1056" s="10"/>
    </row>
    <row r="1057" spans="20:20" x14ac:dyDescent="0.25">
      <c r="T1057" s="10"/>
    </row>
    <row r="1058" spans="20:20" x14ac:dyDescent="0.25">
      <c r="T1058" s="10"/>
    </row>
    <row r="1059" spans="20:20" x14ac:dyDescent="0.25">
      <c r="T1059" s="10"/>
    </row>
    <row r="1060" spans="20:20" x14ac:dyDescent="0.25">
      <c r="T1060" s="10"/>
    </row>
    <row r="1061" spans="20:20" x14ac:dyDescent="0.25">
      <c r="T1061" s="10"/>
    </row>
    <row r="1062" spans="20:20" x14ac:dyDescent="0.25">
      <c r="T1062" s="10"/>
    </row>
    <row r="1063" spans="20:20" x14ac:dyDescent="0.25">
      <c r="T1063" s="10"/>
    </row>
    <row r="1064" spans="20:20" x14ac:dyDescent="0.25">
      <c r="T1064" s="10"/>
    </row>
    <row r="1065" spans="20:20" x14ac:dyDescent="0.25">
      <c r="T1065" s="10"/>
    </row>
    <row r="1066" spans="20:20" x14ac:dyDescent="0.25">
      <c r="T1066" s="10"/>
    </row>
    <row r="1067" spans="20:20" x14ac:dyDescent="0.25">
      <c r="T1067" s="10"/>
    </row>
    <row r="1068" spans="20:20" x14ac:dyDescent="0.25">
      <c r="T1068" s="10"/>
    </row>
    <row r="1069" spans="20:20" x14ac:dyDescent="0.25">
      <c r="T1069" s="10"/>
    </row>
    <row r="1070" spans="20:20" x14ac:dyDescent="0.25">
      <c r="T1070" s="10"/>
    </row>
    <row r="1071" spans="20:20" x14ac:dyDescent="0.25">
      <c r="T1071" s="10"/>
    </row>
    <row r="1072" spans="20:20" x14ac:dyDescent="0.25">
      <c r="T1072" s="10"/>
    </row>
    <row r="1073" spans="20:20" x14ac:dyDescent="0.25">
      <c r="T1073" s="10"/>
    </row>
    <row r="1074" spans="20:20" x14ac:dyDescent="0.25">
      <c r="T1074" s="10"/>
    </row>
    <row r="1075" spans="20:20" x14ac:dyDescent="0.25">
      <c r="T1075" s="10"/>
    </row>
    <row r="1076" spans="20:20" x14ac:dyDescent="0.25">
      <c r="T1076" s="10"/>
    </row>
    <row r="1077" spans="20:20" x14ac:dyDescent="0.25">
      <c r="T1077" s="10"/>
    </row>
    <row r="1078" spans="20:20" x14ac:dyDescent="0.25">
      <c r="T1078" s="10"/>
    </row>
    <row r="1079" spans="20:20" x14ac:dyDescent="0.25">
      <c r="T1079" s="10"/>
    </row>
    <row r="1080" spans="20:20" x14ac:dyDescent="0.25">
      <c r="T1080" s="10"/>
    </row>
    <row r="1081" spans="20:20" x14ac:dyDescent="0.25">
      <c r="T1081" s="10"/>
    </row>
    <row r="1082" spans="20:20" x14ac:dyDescent="0.25">
      <c r="T1082" s="10"/>
    </row>
    <row r="1083" spans="20:20" x14ac:dyDescent="0.25">
      <c r="T1083" s="10"/>
    </row>
    <row r="1084" spans="20:20" x14ac:dyDescent="0.25">
      <c r="T1084" s="10"/>
    </row>
    <row r="1085" spans="20:20" x14ac:dyDescent="0.25">
      <c r="T1085" s="10"/>
    </row>
    <row r="1086" spans="20:20" x14ac:dyDescent="0.25">
      <c r="T1086" s="10"/>
    </row>
    <row r="1087" spans="20:20" x14ac:dyDescent="0.25">
      <c r="T1087" s="10"/>
    </row>
    <row r="1088" spans="20:20" x14ac:dyDescent="0.25">
      <c r="T1088" s="10"/>
    </row>
    <row r="1089" spans="20:20" x14ac:dyDescent="0.25">
      <c r="T1089" s="10"/>
    </row>
    <row r="1090" spans="20:20" x14ac:dyDescent="0.25">
      <c r="T1090" s="10"/>
    </row>
    <row r="1091" spans="20:20" x14ac:dyDescent="0.25">
      <c r="T1091" s="10"/>
    </row>
    <row r="1092" spans="20:20" x14ac:dyDescent="0.25">
      <c r="T1092" s="10"/>
    </row>
    <row r="1093" spans="20:20" x14ac:dyDescent="0.25">
      <c r="T1093" s="10"/>
    </row>
    <row r="1094" spans="20:20" x14ac:dyDescent="0.25">
      <c r="T1094" s="10"/>
    </row>
    <row r="1095" spans="20:20" x14ac:dyDescent="0.25">
      <c r="T1095" s="10"/>
    </row>
    <row r="1096" spans="20:20" x14ac:dyDescent="0.25">
      <c r="T1096" s="10"/>
    </row>
    <row r="1097" spans="20:20" x14ac:dyDescent="0.25">
      <c r="T1097" s="10"/>
    </row>
    <row r="1098" spans="20:20" x14ac:dyDescent="0.25">
      <c r="T1098" s="10"/>
    </row>
    <row r="1099" spans="20:20" x14ac:dyDescent="0.25">
      <c r="T1099" s="10"/>
    </row>
    <row r="1100" spans="20:20" x14ac:dyDescent="0.25">
      <c r="T1100" s="10"/>
    </row>
    <row r="1101" spans="20:20" x14ac:dyDescent="0.25">
      <c r="T1101" s="10"/>
    </row>
    <row r="1102" spans="20:20" x14ac:dyDescent="0.25">
      <c r="T1102" s="10"/>
    </row>
    <row r="1103" spans="20:20" x14ac:dyDescent="0.25">
      <c r="T1103" s="10"/>
    </row>
    <row r="1104" spans="20:20" x14ac:dyDescent="0.25">
      <c r="T1104" s="10"/>
    </row>
    <row r="1105" spans="20:20" x14ac:dyDescent="0.25">
      <c r="T1105" s="10"/>
    </row>
    <row r="1106" spans="20:20" x14ac:dyDescent="0.25">
      <c r="T1106" s="10"/>
    </row>
    <row r="1107" spans="20:20" x14ac:dyDescent="0.25">
      <c r="T1107" s="10"/>
    </row>
    <row r="1108" spans="20:20" x14ac:dyDescent="0.25">
      <c r="T1108" s="10"/>
    </row>
    <row r="1109" spans="20:20" x14ac:dyDescent="0.25">
      <c r="T1109" s="10"/>
    </row>
    <row r="1110" spans="20:20" x14ac:dyDescent="0.25">
      <c r="T1110" s="10"/>
    </row>
    <row r="1111" spans="20:20" x14ac:dyDescent="0.25">
      <c r="T1111" s="10"/>
    </row>
    <row r="1112" spans="20:20" x14ac:dyDescent="0.25">
      <c r="T1112" s="10"/>
    </row>
    <row r="1113" spans="20:20" x14ac:dyDescent="0.25">
      <c r="T1113" s="10"/>
    </row>
    <row r="1114" spans="20:20" x14ac:dyDescent="0.25">
      <c r="T1114" s="10"/>
    </row>
    <row r="1115" spans="20:20" x14ac:dyDescent="0.25">
      <c r="T1115" s="10"/>
    </row>
    <row r="1116" spans="20:20" x14ac:dyDescent="0.25">
      <c r="T1116" s="10"/>
    </row>
    <row r="1117" spans="20:20" x14ac:dyDescent="0.25">
      <c r="T1117" s="10"/>
    </row>
    <row r="1118" spans="20:20" x14ac:dyDescent="0.25">
      <c r="T1118" s="10"/>
    </row>
    <row r="1119" spans="20:20" x14ac:dyDescent="0.25">
      <c r="T1119" s="10"/>
    </row>
    <row r="1120" spans="20:20" x14ac:dyDescent="0.25">
      <c r="T1120" s="10"/>
    </row>
    <row r="1121" spans="20:20" x14ac:dyDescent="0.25">
      <c r="T1121" s="10"/>
    </row>
    <row r="1122" spans="20:20" x14ac:dyDescent="0.25">
      <c r="T1122" s="10"/>
    </row>
    <row r="1123" spans="20:20" x14ac:dyDescent="0.25">
      <c r="T1123" s="10"/>
    </row>
    <row r="1124" spans="20:20" x14ac:dyDescent="0.25">
      <c r="T1124" s="10"/>
    </row>
    <row r="1125" spans="20:20" x14ac:dyDescent="0.25">
      <c r="T1125" s="10"/>
    </row>
    <row r="1126" spans="20:20" x14ac:dyDescent="0.25">
      <c r="T1126" s="10"/>
    </row>
    <row r="1127" spans="20:20" x14ac:dyDescent="0.25">
      <c r="T1127" s="10"/>
    </row>
    <row r="1128" spans="20:20" x14ac:dyDescent="0.25">
      <c r="T1128" s="10"/>
    </row>
    <row r="1129" spans="20:20" x14ac:dyDescent="0.25">
      <c r="T1129" s="10"/>
    </row>
    <row r="1130" spans="20:20" x14ac:dyDescent="0.25">
      <c r="T1130" s="10"/>
    </row>
    <row r="1131" spans="20:20" x14ac:dyDescent="0.25">
      <c r="T1131" s="10"/>
    </row>
    <row r="1132" spans="20:20" x14ac:dyDescent="0.25">
      <c r="T1132" s="10"/>
    </row>
    <row r="1133" spans="20:20" x14ac:dyDescent="0.25">
      <c r="T1133" s="10"/>
    </row>
    <row r="1134" spans="20:20" x14ac:dyDescent="0.25">
      <c r="T1134" s="10"/>
    </row>
    <row r="1135" spans="20:20" x14ac:dyDescent="0.25">
      <c r="T1135" s="10"/>
    </row>
    <row r="1136" spans="20:20" x14ac:dyDescent="0.25">
      <c r="T1136" s="10"/>
    </row>
    <row r="1137" spans="20:20" x14ac:dyDescent="0.25">
      <c r="T1137" s="10"/>
    </row>
    <row r="1138" spans="20:20" x14ac:dyDescent="0.25">
      <c r="T1138" s="10"/>
    </row>
    <row r="1139" spans="20:20" x14ac:dyDescent="0.25">
      <c r="T1139" s="10"/>
    </row>
    <row r="1140" spans="20:20" x14ac:dyDescent="0.25">
      <c r="T1140" s="10"/>
    </row>
    <row r="1141" spans="20:20" x14ac:dyDescent="0.25">
      <c r="T1141" s="10"/>
    </row>
    <row r="1142" spans="20:20" x14ac:dyDescent="0.25">
      <c r="T1142" s="10"/>
    </row>
    <row r="1143" spans="20:20" x14ac:dyDescent="0.25">
      <c r="T1143" s="10"/>
    </row>
    <row r="1144" spans="20:20" x14ac:dyDescent="0.25">
      <c r="T1144" s="10"/>
    </row>
    <row r="1145" spans="20:20" x14ac:dyDescent="0.25">
      <c r="T1145" s="10"/>
    </row>
    <row r="1146" spans="20:20" x14ac:dyDescent="0.25">
      <c r="T1146" s="10"/>
    </row>
    <row r="1147" spans="20:20" x14ac:dyDescent="0.25">
      <c r="T1147" s="10"/>
    </row>
    <row r="1148" spans="20:20" x14ac:dyDescent="0.25">
      <c r="T1148" s="10"/>
    </row>
    <row r="1149" spans="20:20" x14ac:dyDescent="0.25">
      <c r="T1149" s="10"/>
    </row>
    <row r="1150" spans="20:20" x14ac:dyDescent="0.25">
      <c r="T1150" s="10"/>
    </row>
    <row r="1151" spans="20:20" x14ac:dyDescent="0.25">
      <c r="T1151" s="10"/>
    </row>
    <row r="1152" spans="20:20" x14ac:dyDescent="0.25">
      <c r="T1152" s="10"/>
    </row>
    <row r="1153" spans="20:20" x14ac:dyDescent="0.25">
      <c r="T1153" s="10"/>
    </row>
    <row r="1154" spans="20:20" x14ac:dyDescent="0.25">
      <c r="T1154" s="10"/>
    </row>
    <row r="1155" spans="20:20" x14ac:dyDescent="0.25">
      <c r="T1155" s="10"/>
    </row>
    <row r="1156" spans="20:20" x14ac:dyDescent="0.25">
      <c r="T1156" s="10"/>
    </row>
    <row r="1157" spans="20:20" x14ac:dyDescent="0.25">
      <c r="T1157" s="10"/>
    </row>
    <row r="1158" spans="20:20" x14ac:dyDescent="0.25">
      <c r="T1158" s="10"/>
    </row>
    <row r="1159" spans="20:20" x14ac:dyDescent="0.25">
      <c r="T1159" s="10"/>
    </row>
    <row r="1160" spans="20:20" x14ac:dyDescent="0.25">
      <c r="T1160" s="10"/>
    </row>
    <row r="1161" spans="20:20" x14ac:dyDescent="0.25">
      <c r="T1161" s="10"/>
    </row>
    <row r="1162" spans="20:20" x14ac:dyDescent="0.25">
      <c r="T1162" s="10"/>
    </row>
    <row r="1163" spans="20:20" x14ac:dyDescent="0.25">
      <c r="T1163" s="10"/>
    </row>
    <row r="1164" spans="20:20" x14ac:dyDescent="0.25">
      <c r="T1164" s="10"/>
    </row>
    <row r="1165" spans="20:20" x14ac:dyDescent="0.25">
      <c r="T1165" s="10"/>
    </row>
    <row r="1166" spans="20:20" x14ac:dyDescent="0.25">
      <c r="T1166" s="10"/>
    </row>
    <row r="1167" spans="20:20" x14ac:dyDescent="0.25">
      <c r="T1167" s="10"/>
    </row>
    <row r="1168" spans="20:20" x14ac:dyDescent="0.25">
      <c r="T1168" s="10"/>
    </row>
    <row r="1169" spans="20:20" x14ac:dyDescent="0.25">
      <c r="T1169" s="10"/>
    </row>
    <row r="1170" spans="20:20" x14ac:dyDescent="0.25">
      <c r="T1170" s="10"/>
    </row>
    <row r="1171" spans="20:20" x14ac:dyDescent="0.25">
      <c r="T1171" s="10"/>
    </row>
    <row r="1172" spans="20:20" x14ac:dyDescent="0.25">
      <c r="T1172" s="10"/>
    </row>
    <row r="1173" spans="20:20" x14ac:dyDescent="0.25">
      <c r="T1173" s="10"/>
    </row>
    <row r="1174" spans="20:20" x14ac:dyDescent="0.25">
      <c r="T1174" s="10"/>
    </row>
    <row r="1175" spans="20:20" x14ac:dyDescent="0.25">
      <c r="T1175" s="10"/>
    </row>
    <row r="1176" spans="20:20" x14ac:dyDescent="0.25">
      <c r="T1176" s="10"/>
    </row>
    <row r="1177" spans="20:20" x14ac:dyDescent="0.25">
      <c r="T1177" s="10"/>
    </row>
    <row r="1178" spans="20:20" x14ac:dyDescent="0.25">
      <c r="T1178" s="10"/>
    </row>
    <row r="1179" spans="20:20" x14ac:dyDescent="0.25">
      <c r="T1179" s="10"/>
    </row>
    <row r="1180" spans="20:20" x14ac:dyDescent="0.25">
      <c r="T1180" s="10"/>
    </row>
    <row r="1181" spans="20:20" x14ac:dyDescent="0.25">
      <c r="T1181" s="10"/>
    </row>
    <row r="1182" spans="20:20" x14ac:dyDescent="0.25">
      <c r="T1182" s="10"/>
    </row>
    <row r="1183" spans="20:20" x14ac:dyDescent="0.25">
      <c r="T1183" s="10"/>
    </row>
    <row r="1184" spans="20:20" x14ac:dyDescent="0.25">
      <c r="T1184" s="10"/>
    </row>
    <row r="1185" spans="20:20" x14ac:dyDescent="0.25">
      <c r="T1185" s="10"/>
    </row>
    <row r="1186" spans="20:20" x14ac:dyDescent="0.25">
      <c r="T1186" s="10"/>
    </row>
    <row r="1187" spans="20:20" x14ac:dyDescent="0.25">
      <c r="T1187" s="10"/>
    </row>
    <row r="1188" spans="20:20" x14ac:dyDescent="0.25">
      <c r="T1188" s="10"/>
    </row>
    <row r="1189" spans="20:20" x14ac:dyDescent="0.25">
      <c r="T1189" s="10"/>
    </row>
    <row r="1190" spans="20:20" x14ac:dyDescent="0.25">
      <c r="T1190" s="10"/>
    </row>
    <row r="1191" spans="20:20" x14ac:dyDescent="0.25">
      <c r="T1191" s="10"/>
    </row>
    <row r="1192" spans="20:20" x14ac:dyDescent="0.25">
      <c r="T1192" s="10"/>
    </row>
    <row r="1193" spans="20:20" x14ac:dyDescent="0.25">
      <c r="T1193" s="10"/>
    </row>
    <row r="1194" spans="20:20" x14ac:dyDescent="0.25">
      <c r="T1194" s="10"/>
    </row>
    <row r="1195" spans="20:20" x14ac:dyDescent="0.25">
      <c r="T1195" s="10"/>
    </row>
    <row r="1196" spans="20:20" x14ac:dyDescent="0.25">
      <c r="T1196" s="10"/>
    </row>
    <row r="1197" spans="20:20" x14ac:dyDescent="0.25">
      <c r="T1197" s="10"/>
    </row>
    <row r="1198" spans="20:20" x14ac:dyDescent="0.25">
      <c r="T1198" s="10"/>
    </row>
    <row r="1199" spans="20:20" x14ac:dyDescent="0.25">
      <c r="T1199" s="10"/>
    </row>
    <row r="1200" spans="20:20" x14ac:dyDescent="0.25">
      <c r="T1200" s="10"/>
    </row>
    <row r="1201" spans="20:20" x14ac:dyDescent="0.25">
      <c r="T1201" s="10"/>
    </row>
    <row r="1202" spans="20:20" x14ac:dyDescent="0.25">
      <c r="T1202" s="10"/>
    </row>
    <row r="1203" spans="20:20" x14ac:dyDescent="0.25">
      <c r="T1203" s="10"/>
    </row>
    <row r="1204" spans="20:20" x14ac:dyDescent="0.25">
      <c r="T1204" s="10"/>
    </row>
    <row r="1205" spans="20:20" x14ac:dyDescent="0.25">
      <c r="T1205" s="10"/>
    </row>
    <row r="1206" spans="20:20" x14ac:dyDescent="0.25">
      <c r="T1206" s="10"/>
    </row>
    <row r="1207" spans="20:20" x14ac:dyDescent="0.25">
      <c r="T1207" s="10"/>
    </row>
    <row r="1208" spans="20:20" x14ac:dyDescent="0.25">
      <c r="T1208" s="10"/>
    </row>
    <row r="1209" spans="20:20" x14ac:dyDescent="0.25">
      <c r="T1209" s="10"/>
    </row>
    <row r="1210" spans="20:20" x14ac:dyDescent="0.25">
      <c r="T1210" s="10"/>
    </row>
    <row r="1211" spans="20:20" x14ac:dyDescent="0.25">
      <c r="T1211" s="10"/>
    </row>
    <row r="1212" spans="20:20" x14ac:dyDescent="0.25">
      <c r="T1212" s="10"/>
    </row>
    <row r="1213" spans="20:20" x14ac:dyDescent="0.25">
      <c r="T1213" s="10"/>
    </row>
    <row r="1214" spans="20:20" x14ac:dyDescent="0.25">
      <c r="T1214" s="10"/>
    </row>
    <row r="1215" spans="20:20" x14ac:dyDescent="0.25">
      <c r="T1215" s="10"/>
    </row>
    <row r="1216" spans="20:20" x14ac:dyDescent="0.25">
      <c r="T1216" s="10"/>
    </row>
    <row r="1217" spans="20:20" x14ac:dyDescent="0.25">
      <c r="T1217" s="10"/>
    </row>
    <row r="1218" spans="20:20" x14ac:dyDescent="0.25">
      <c r="T1218" s="10"/>
    </row>
    <row r="1219" spans="20:20" x14ac:dyDescent="0.25">
      <c r="T1219" s="10"/>
    </row>
    <row r="1220" spans="20:20" x14ac:dyDescent="0.25">
      <c r="T1220" s="10"/>
    </row>
    <row r="1221" spans="20:20" x14ac:dyDescent="0.25">
      <c r="T1221" s="10"/>
    </row>
    <row r="1222" spans="20:20" x14ac:dyDescent="0.25">
      <c r="T1222" s="10"/>
    </row>
    <row r="1223" spans="20:20" x14ac:dyDescent="0.25">
      <c r="T1223" s="10"/>
    </row>
    <row r="1224" spans="20:20" x14ac:dyDescent="0.25">
      <c r="T1224" s="10"/>
    </row>
    <row r="1225" spans="20:20" x14ac:dyDescent="0.25">
      <c r="T1225" s="10"/>
    </row>
    <row r="1226" spans="20:20" x14ac:dyDescent="0.25">
      <c r="T1226" s="10"/>
    </row>
    <row r="1227" spans="20:20" x14ac:dyDescent="0.25">
      <c r="T1227" s="10"/>
    </row>
    <row r="1228" spans="20:20" x14ac:dyDescent="0.25">
      <c r="T1228" s="10"/>
    </row>
    <row r="1229" spans="20:20" x14ac:dyDescent="0.25">
      <c r="T1229" s="10"/>
    </row>
    <row r="1230" spans="20:20" x14ac:dyDescent="0.25">
      <c r="T1230" s="10"/>
    </row>
    <row r="1231" spans="20:20" x14ac:dyDescent="0.25">
      <c r="T1231" s="10"/>
    </row>
    <row r="1232" spans="20:20" x14ac:dyDescent="0.25">
      <c r="T1232" s="10"/>
    </row>
    <row r="1233" spans="20:20" x14ac:dyDescent="0.25">
      <c r="T1233" s="10"/>
    </row>
    <row r="1234" spans="20:20" x14ac:dyDescent="0.25">
      <c r="T1234" s="10"/>
    </row>
    <row r="1235" spans="20:20" x14ac:dyDescent="0.25">
      <c r="T1235" s="10"/>
    </row>
    <row r="1236" spans="20:20" x14ac:dyDescent="0.25">
      <c r="T1236" s="10"/>
    </row>
    <row r="1237" spans="20:20" x14ac:dyDescent="0.25">
      <c r="T1237" s="10"/>
    </row>
    <row r="1238" spans="20:20" x14ac:dyDescent="0.25">
      <c r="T1238" s="10"/>
    </row>
    <row r="1239" spans="20:20" x14ac:dyDescent="0.25">
      <c r="T1239" s="10"/>
    </row>
    <row r="1240" spans="20:20" x14ac:dyDescent="0.25">
      <c r="T1240" s="10"/>
    </row>
    <row r="1241" spans="20:20" x14ac:dyDescent="0.25">
      <c r="T1241" s="10"/>
    </row>
    <row r="1242" spans="20:20" x14ac:dyDescent="0.25">
      <c r="T1242" s="10"/>
    </row>
    <row r="1243" spans="20:20" x14ac:dyDescent="0.25">
      <c r="T1243" s="10"/>
    </row>
    <row r="1244" spans="20:20" x14ac:dyDescent="0.25">
      <c r="T1244" s="10"/>
    </row>
    <row r="1245" spans="20:20" x14ac:dyDescent="0.25">
      <c r="T1245" s="10"/>
    </row>
    <row r="1246" spans="20:20" x14ac:dyDescent="0.25">
      <c r="T1246" s="10"/>
    </row>
    <row r="1247" spans="20:20" x14ac:dyDescent="0.25">
      <c r="T1247" s="10"/>
    </row>
    <row r="1248" spans="20:20" x14ac:dyDescent="0.25">
      <c r="T1248" s="10"/>
    </row>
    <row r="1249" spans="20:20" x14ac:dyDescent="0.25">
      <c r="T1249" s="10"/>
    </row>
    <row r="1250" spans="20:20" x14ac:dyDescent="0.25">
      <c r="T1250" s="10"/>
    </row>
    <row r="1251" spans="20:20" x14ac:dyDescent="0.25">
      <c r="T1251" s="10"/>
    </row>
    <row r="1252" spans="20:20" x14ac:dyDescent="0.25">
      <c r="T1252" s="10"/>
    </row>
    <row r="1253" spans="20:20" x14ac:dyDescent="0.25">
      <c r="T1253" s="10"/>
    </row>
    <row r="1254" spans="20:20" x14ac:dyDescent="0.25">
      <c r="T1254" s="10"/>
    </row>
    <row r="1255" spans="20:20" x14ac:dyDescent="0.25">
      <c r="T1255" s="10"/>
    </row>
    <row r="1256" spans="20:20" x14ac:dyDescent="0.25">
      <c r="T1256" s="10"/>
    </row>
    <row r="1257" spans="20:20" x14ac:dyDescent="0.25">
      <c r="T1257" s="10"/>
    </row>
    <row r="1258" spans="20:20" x14ac:dyDescent="0.25">
      <c r="T1258" s="10"/>
    </row>
    <row r="1259" spans="20:20" x14ac:dyDescent="0.25">
      <c r="T1259" s="10"/>
    </row>
    <row r="1260" spans="20:20" x14ac:dyDescent="0.25">
      <c r="T1260" s="10"/>
    </row>
    <row r="1261" spans="20:20" x14ac:dyDescent="0.25">
      <c r="T1261" s="10"/>
    </row>
    <row r="1262" spans="20:20" x14ac:dyDescent="0.25">
      <c r="T1262" s="10"/>
    </row>
    <row r="1263" spans="20:20" x14ac:dyDescent="0.25">
      <c r="T1263" s="10"/>
    </row>
    <row r="1264" spans="20:20" x14ac:dyDescent="0.25">
      <c r="T1264" s="10"/>
    </row>
    <row r="1265" spans="20:20" x14ac:dyDescent="0.25">
      <c r="T1265" s="10"/>
    </row>
    <row r="1266" spans="20:20" x14ac:dyDescent="0.25">
      <c r="T1266" s="10"/>
    </row>
    <row r="1267" spans="20:20" x14ac:dyDescent="0.25">
      <c r="T1267" s="10"/>
    </row>
    <row r="1268" spans="20:20" x14ac:dyDescent="0.25">
      <c r="T1268" s="10"/>
    </row>
    <row r="1269" spans="20:20" x14ac:dyDescent="0.25">
      <c r="T1269" s="10"/>
    </row>
    <row r="1270" spans="20:20" x14ac:dyDescent="0.25">
      <c r="T1270" s="10"/>
    </row>
    <row r="1271" spans="20:20" x14ac:dyDescent="0.25">
      <c r="T1271" s="10"/>
    </row>
    <row r="1272" spans="20:20" x14ac:dyDescent="0.25">
      <c r="T1272" s="10"/>
    </row>
    <row r="1273" spans="20:20" x14ac:dyDescent="0.25">
      <c r="T1273" s="10"/>
    </row>
    <row r="1274" spans="20:20" x14ac:dyDescent="0.25">
      <c r="T1274" s="10"/>
    </row>
    <row r="1275" spans="20:20" x14ac:dyDescent="0.25">
      <c r="T1275" s="10"/>
    </row>
    <row r="1276" spans="20:20" x14ac:dyDescent="0.25">
      <c r="T1276" s="10"/>
    </row>
    <row r="1277" spans="20:20" x14ac:dyDescent="0.25">
      <c r="T1277" s="10"/>
    </row>
    <row r="1278" spans="20:20" x14ac:dyDescent="0.25">
      <c r="T1278" s="10"/>
    </row>
    <row r="1279" spans="20:20" x14ac:dyDescent="0.25">
      <c r="T1279" s="10"/>
    </row>
    <row r="1280" spans="20:20" x14ac:dyDescent="0.25">
      <c r="T1280" s="10"/>
    </row>
    <row r="1281" spans="20:20" x14ac:dyDescent="0.25">
      <c r="T1281" s="10"/>
    </row>
    <row r="1282" spans="20:20" x14ac:dyDescent="0.25">
      <c r="T1282" s="10"/>
    </row>
    <row r="1283" spans="20:20" x14ac:dyDescent="0.25">
      <c r="T1283" s="10"/>
    </row>
    <row r="1284" spans="20:20" x14ac:dyDescent="0.25">
      <c r="T1284" s="10"/>
    </row>
    <row r="1285" spans="20:20" x14ac:dyDescent="0.25">
      <c r="T1285" s="10"/>
    </row>
    <row r="1286" spans="20:20" x14ac:dyDescent="0.25">
      <c r="T1286" s="10"/>
    </row>
    <row r="1287" spans="20:20" x14ac:dyDescent="0.25">
      <c r="T1287" s="10"/>
    </row>
    <row r="1288" spans="20:20" x14ac:dyDescent="0.25">
      <c r="T1288" s="10"/>
    </row>
    <row r="1289" spans="20:20" x14ac:dyDescent="0.25">
      <c r="T1289" s="10"/>
    </row>
    <row r="1290" spans="20:20" x14ac:dyDescent="0.25">
      <c r="T1290" s="10"/>
    </row>
    <row r="1291" spans="20:20" x14ac:dyDescent="0.25">
      <c r="T1291" s="10"/>
    </row>
    <row r="1292" spans="20:20" x14ac:dyDescent="0.25">
      <c r="T1292" s="10"/>
    </row>
    <row r="1293" spans="20:20" x14ac:dyDescent="0.25">
      <c r="T1293" s="10"/>
    </row>
    <row r="1294" spans="20:20" x14ac:dyDescent="0.25">
      <c r="T1294" s="10"/>
    </row>
    <row r="1295" spans="20:20" x14ac:dyDescent="0.25">
      <c r="T1295" s="10"/>
    </row>
    <row r="1296" spans="20:20" x14ac:dyDescent="0.25">
      <c r="T1296" s="10"/>
    </row>
    <row r="1297" spans="20:20" x14ac:dyDescent="0.25">
      <c r="T1297" s="10"/>
    </row>
    <row r="1298" spans="20:20" x14ac:dyDescent="0.25">
      <c r="T1298" s="10"/>
    </row>
    <row r="1299" spans="20:20" x14ac:dyDescent="0.25">
      <c r="T1299" s="10"/>
    </row>
    <row r="1300" spans="20:20" x14ac:dyDescent="0.25">
      <c r="T1300" s="10"/>
    </row>
    <row r="1301" spans="20:20" x14ac:dyDescent="0.25">
      <c r="T1301" s="10"/>
    </row>
    <row r="1302" spans="20:20" x14ac:dyDescent="0.25">
      <c r="T1302" s="10"/>
    </row>
    <row r="1303" spans="20:20" x14ac:dyDescent="0.25">
      <c r="T1303" s="10"/>
    </row>
    <row r="1304" spans="20:20" x14ac:dyDescent="0.25">
      <c r="T1304" s="10"/>
    </row>
    <row r="1305" spans="20:20" x14ac:dyDescent="0.25">
      <c r="T1305" s="10"/>
    </row>
    <row r="1306" spans="20:20" x14ac:dyDescent="0.25">
      <c r="T1306" s="10"/>
    </row>
    <row r="1307" spans="20:20" x14ac:dyDescent="0.25">
      <c r="T1307" s="10"/>
    </row>
    <row r="1308" spans="20:20" x14ac:dyDescent="0.25">
      <c r="T1308" s="10"/>
    </row>
    <row r="1309" spans="20:20" x14ac:dyDescent="0.25">
      <c r="T1309" s="10"/>
    </row>
    <row r="1310" spans="20:20" x14ac:dyDescent="0.25">
      <c r="T1310" s="10"/>
    </row>
    <row r="1311" spans="20:20" x14ac:dyDescent="0.25">
      <c r="T1311" s="10"/>
    </row>
    <row r="1312" spans="20:20" x14ac:dyDescent="0.25">
      <c r="T1312" s="10"/>
    </row>
    <row r="1313" spans="20:20" x14ac:dyDescent="0.25">
      <c r="T1313" s="10"/>
    </row>
    <row r="1314" spans="20:20" x14ac:dyDescent="0.25">
      <c r="T1314" s="10"/>
    </row>
    <row r="1315" spans="20:20" x14ac:dyDescent="0.25">
      <c r="T1315" s="10"/>
    </row>
    <row r="1316" spans="20:20" x14ac:dyDescent="0.25">
      <c r="T1316" s="10"/>
    </row>
    <row r="1317" spans="20:20" x14ac:dyDescent="0.25">
      <c r="T1317" s="10"/>
    </row>
    <row r="1318" spans="20:20" x14ac:dyDescent="0.25">
      <c r="T1318" s="10"/>
    </row>
    <row r="1319" spans="20:20" x14ac:dyDescent="0.25">
      <c r="T1319" s="10"/>
    </row>
    <row r="1320" spans="20:20" x14ac:dyDescent="0.25">
      <c r="T1320" s="10"/>
    </row>
    <row r="1321" spans="20:20" x14ac:dyDescent="0.25">
      <c r="T1321" s="10"/>
    </row>
    <row r="1322" spans="20:20" x14ac:dyDescent="0.25">
      <c r="T1322" s="10"/>
    </row>
    <row r="1323" spans="20:20" x14ac:dyDescent="0.25">
      <c r="T1323" s="10"/>
    </row>
    <row r="1324" spans="20:20" x14ac:dyDescent="0.25">
      <c r="T1324" s="10"/>
    </row>
    <row r="1325" spans="20:20" x14ac:dyDescent="0.25">
      <c r="T1325" s="10"/>
    </row>
    <row r="1326" spans="20:20" x14ac:dyDescent="0.25">
      <c r="T1326" s="10"/>
    </row>
    <row r="1327" spans="20:20" x14ac:dyDescent="0.25">
      <c r="T1327" s="10"/>
    </row>
    <row r="1328" spans="20:20" x14ac:dyDescent="0.25">
      <c r="T1328" s="10"/>
    </row>
    <row r="1329" spans="20:20" x14ac:dyDescent="0.25">
      <c r="T1329" s="10"/>
    </row>
    <row r="1330" spans="20:20" x14ac:dyDescent="0.25">
      <c r="T1330" s="10"/>
    </row>
    <row r="1331" spans="20:20" x14ac:dyDescent="0.25">
      <c r="T1331" s="10"/>
    </row>
    <row r="1332" spans="20:20" x14ac:dyDescent="0.25">
      <c r="T1332" s="10"/>
    </row>
    <row r="1333" spans="20:20" x14ac:dyDescent="0.25">
      <c r="T1333" s="10"/>
    </row>
    <row r="1334" spans="20:20" x14ac:dyDescent="0.25">
      <c r="T1334" s="10"/>
    </row>
    <row r="1335" spans="20:20" x14ac:dyDescent="0.25">
      <c r="T1335" s="10"/>
    </row>
    <row r="1336" spans="20:20" x14ac:dyDescent="0.25">
      <c r="T1336" s="10"/>
    </row>
    <row r="1337" spans="20:20" x14ac:dyDescent="0.25">
      <c r="T1337" s="10"/>
    </row>
    <row r="1338" spans="20:20" x14ac:dyDescent="0.25">
      <c r="T1338" s="10"/>
    </row>
    <row r="1339" spans="20:20" x14ac:dyDescent="0.25">
      <c r="T1339" s="10"/>
    </row>
    <row r="1340" spans="20:20" x14ac:dyDescent="0.25">
      <c r="T1340" s="10"/>
    </row>
    <row r="1341" spans="20:20" x14ac:dyDescent="0.25">
      <c r="T1341" s="10"/>
    </row>
    <row r="1342" spans="20:20" x14ac:dyDescent="0.25">
      <c r="T1342" s="10"/>
    </row>
    <row r="1343" spans="20:20" x14ac:dyDescent="0.25">
      <c r="T1343" s="10"/>
    </row>
    <row r="1344" spans="20:20" x14ac:dyDescent="0.25">
      <c r="T1344" s="10"/>
    </row>
    <row r="1345" spans="20:20" x14ac:dyDescent="0.25">
      <c r="T1345" s="10"/>
    </row>
    <row r="1346" spans="20:20" x14ac:dyDescent="0.25">
      <c r="T1346" s="10"/>
    </row>
    <row r="1347" spans="20:20" x14ac:dyDescent="0.25">
      <c r="T1347" s="10"/>
    </row>
    <row r="1348" spans="20:20" x14ac:dyDescent="0.25">
      <c r="T1348" s="10"/>
    </row>
    <row r="1349" spans="20:20" x14ac:dyDescent="0.25">
      <c r="T1349" s="10"/>
    </row>
    <row r="1350" spans="20:20" x14ac:dyDescent="0.25">
      <c r="T1350" s="10"/>
    </row>
    <row r="1351" spans="20:20" x14ac:dyDescent="0.25">
      <c r="T1351" s="10"/>
    </row>
    <row r="1352" spans="20:20" x14ac:dyDescent="0.25">
      <c r="T1352" s="10"/>
    </row>
    <row r="1353" spans="20:20" x14ac:dyDescent="0.25">
      <c r="T1353" s="10"/>
    </row>
    <row r="1354" spans="20:20" x14ac:dyDescent="0.25">
      <c r="T1354" s="10"/>
    </row>
    <row r="1355" spans="20:20" x14ac:dyDescent="0.25">
      <c r="T1355" s="10"/>
    </row>
    <row r="1356" spans="20:20" x14ac:dyDescent="0.25">
      <c r="T1356" s="10"/>
    </row>
    <row r="1357" spans="20:20" x14ac:dyDescent="0.25">
      <c r="T1357" s="10"/>
    </row>
    <row r="1358" spans="20:20" x14ac:dyDescent="0.25">
      <c r="T1358" s="10"/>
    </row>
    <row r="1359" spans="20:20" x14ac:dyDescent="0.25">
      <c r="T1359" s="10"/>
    </row>
    <row r="1360" spans="20:20" x14ac:dyDescent="0.25">
      <c r="T1360" s="10"/>
    </row>
    <row r="1361" spans="20:20" x14ac:dyDescent="0.25">
      <c r="T1361" s="10"/>
    </row>
    <row r="1362" spans="20:20" x14ac:dyDescent="0.25">
      <c r="T1362" s="10"/>
    </row>
    <row r="1363" spans="20:20" x14ac:dyDescent="0.25">
      <c r="T1363" s="10"/>
    </row>
    <row r="1364" spans="20:20" x14ac:dyDescent="0.25">
      <c r="T1364" s="10"/>
    </row>
    <row r="1365" spans="20:20" x14ac:dyDescent="0.25">
      <c r="T1365" s="10"/>
    </row>
    <row r="1366" spans="20:20" x14ac:dyDescent="0.25">
      <c r="T1366" s="10"/>
    </row>
    <row r="1367" spans="20:20" x14ac:dyDescent="0.25">
      <c r="T1367" s="10"/>
    </row>
    <row r="1368" spans="20:20" x14ac:dyDescent="0.25">
      <c r="T1368" s="10"/>
    </row>
    <row r="1369" spans="20:20" x14ac:dyDescent="0.25">
      <c r="T1369" s="10"/>
    </row>
    <row r="1370" spans="20:20" x14ac:dyDescent="0.25">
      <c r="T1370" s="10"/>
    </row>
    <row r="1371" spans="20:20" x14ac:dyDescent="0.25">
      <c r="T1371" s="10"/>
    </row>
    <row r="1372" spans="20:20" x14ac:dyDescent="0.25">
      <c r="T1372" s="10"/>
    </row>
    <row r="1373" spans="20:20" x14ac:dyDescent="0.25">
      <c r="T1373" s="10"/>
    </row>
    <row r="1374" spans="20:20" x14ac:dyDescent="0.25">
      <c r="T1374" s="10"/>
    </row>
    <row r="1375" spans="20:20" x14ac:dyDescent="0.25">
      <c r="T1375" s="10"/>
    </row>
    <row r="1376" spans="20:20" x14ac:dyDescent="0.25">
      <c r="T1376" s="10"/>
    </row>
    <row r="1377" spans="20:20" x14ac:dyDescent="0.25">
      <c r="T1377" s="10"/>
    </row>
    <row r="1378" spans="20:20" x14ac:dyDescent="0.25">
      <c r="T1378" s="10"/>
    </row>
    <row r="1379" spans="20:20" x14ac:dyDescent="0.25">
      <c r="T1379" s="10"/>
    </row>
    <row r="1380" spans="20:20" x14ac:dyDescent="0.25">
      <c r="T1380" s="10"/>
    </row>
    <row r="1381" spans="20:20" x14ac:dyDescent="0.25">
      <c r="T1381" s="10"/>
    </row>
    <row r="1382" spans="20:20" x14ac:dyDescent="0.25">
      <c r="T1382" s="10"/>
    </row>
    <row r="1383" spans="20:20" x14ac:dyDescent="0.25">
      <c r="T1383" s="10"/>
    </row>
    <row r="1384" spans="20:20" x14ac:dyDescent="0.25">
      <c r="T1384" s="10"/>
    </row>
    <row r="1385" spans="20:20" x14ac:dyDescent="0.25">
      <c r="T1385" s="10"/>
    </row>
    <row r="1386" spans="20:20" x14ac:dyDescent="0.25">
      <c r="T1386" s="10"/>
    </row>
    <row r="1387" spans="20:20" x14ac:dyDescent="0.25">
      <c r="T1387" s="10"/>
    </row>
    <row r="1388" spans="20:20" x14ac:dyDescent="0.25">
      <c r="T1388" s="10"/>
    </row>
    <row r="1389" spans="20:20" x14ac:dyDescent="0.25">
      <c r="T1389" s="10"/>
    </row>
    <row r="1390" spans="20:20" x14ac:dyDescent="0.25">
      <c r="T1390" s="10"/>
    </row>
    <row r="1391" spans="20:20" x14ac:dyDescent="0.25">
      <c r="T1391" s="10"/>
    </row>
    <row r="1392" spans="20:20" x14ac:dyDescent="0.25">
      <c r="T1392" s="10"/>
    </row>
    <row r="1393" spans="20:20" x14ac:dyDescent="0.25">
      <c r="T1393" s="10"/>
    </row>
    <row r="1394" spans="20:20" x14ac:dyDescent="0.25">
      <c r="T1394" s="10"/>
    </row>
    <row r="1395" spans="20:20" x14ac:dyDescent="0.25">
      <c r="T1395" s="10"/>
    </row>
    <row r="1396" spans="20:20" x14ac:dyDescent="0.25">
      <c r="T1396" s="10"/>
    </row>
    <row r="1397" spans="20:20" x14ac:dyDescent="0.25">
      <c r="T1397" s="10"/>
    </row>
    <row r="1398" spans="20:20" x14ac:dyDescent="0.25">
      <c r="T1398" s="10"/>
    </row>
    <row r="1399" spans="20:20" x14ac:dyDescent="0.25">
      <c r="T1399" s="10"/>
    </row>
    <row r="1400" spans="20:20" x14ac:dyDescent="0.25">
      <c r="T1400" s="10"/>
    </row>
    <row r="1401" spans="20:20" x14ac:dyDescent="0.25">
      <c r="T1401" s="10"/>
    </row>
    <row r="1402" spans="20:20" x14ac:dyDescent="0.25">
      <c r="T1402" s="10"/>
    </row>
    <row r="1403" spans="20:20" x14ac:dyDescent="0.25">
      <c r="T1403" s="10"/>
    </row>
    <row r="1404" spans="20:20" x14ac:dyDescent="0.25">
      <c r="T1404" s="10"/>
    </row>
    <row r="1405" spans="20:20" x14ac:dyDescent="0.25">
      <c r="T1405" s="10"/>
    </row>
    <row r="1406" spans="20:20" x14ac:dyDescent="0.25">
      <c r="T1406" s="10"/>
    </row>
    <row r="1407" spans="20:20" x14ac:dyDescent="0.25">
      <c r="T1407" s="10"/>
    </row>
    <row r="1408" spans="20:20" x14ac:dyDescent="0.25">
      <c r="T1408" s="10"/>
    </row>
    <row r="1409" spans="20:20" x14ac:dyDescent="0.25">
      <c r="T1409" s="10"/>
    </row>
    <row r="1410" spans="20:20" x14ac:dyDescent="0.25">
      <c r="T1410" s="10"/>
    </row>
    <row r="1411" spans="20:20" x14ac:dyDescent="0.25">
      <c r="T1411" s="10"/>
    </row>
    <row r="1412" spans="20:20" x14ac:dyDescent="0.25">
      <c r="T1412" s="10"/>
    </row>
    <row r="1413" spans="20:20" x14ac:dyDescent="0.25">
      <c r="T1413" s="10"/>
    </row>
    <row r="1414" spans="20:20" x14ac:dyDescent="0.25">
      <c r="T1414" s="10"/>
    </row>
    <row r="1415" spans="20:20" x14ac:dyDescent="0.25">
      <c r="T1415" s="10"/>
    </row>
    <row r="1416" spans="20:20" x14ac:dyDescent="0.25">
      <c r="T1416" s="10"/>
    </row>
    <row r="1417" spans="20:20" x14ac:dyDescent="0.25">
      <c r="T1417" s="10"/>
    </row>
    <row r="1418" spans="20:20" x14ac:dyDescent="0.25">
      <c r="T1418" s="10"/>
    </row>
    <row r="1419" spans="20:20" x14ac:dyDescent="0.25">
      <c r="T1419" s="10"/>
    </row>
    <row r="1420" spans="20:20" x14ac:dyDescent="0.25">
      <c r="T1420" s="10"/>
    </row>
    <row r="1421" spans="20:20" x14ac:dyDescent="0.25">
      <c r="T1421" s="10"/>
    </row>
    <row r="1422" spans="20:20" x14ac:dyDescent="0.25">
      <c r="T1422" s="10"/>
    </row>
    <row r="1423" spans="20:20" x14ac:dyDescent="0.25">
      <c r="T1423" s="10"/>
    </row>
    <row r="1424" spans="20:20" x14ac:dyDescent="0.25">
      <c r="T1424" s="10"/>
    </row>
    <row r="1425" spans="20:20" x14ac:dyDescent="0.25">
      <c r="T1425" s="10"/>
    </row>
    <row r="1426" spans="20:20" x14ac:dyDescent="0.25">
      <c r="T1426" s="10"/>
    </row>
    <row r="1427" spans="20:20" x14ac:dyDescent="0.25">
      <c r="T1427" s="10"/>
    </row>
    <row r="1428" spans="20:20" x14ac:dyDescent="0.25">
      <c r="T1428" s="10"/>
    </row>
    <row r="1429" spans="20:20" x14ac:dyDescent="0.25">
      <c r="T1429" s="10"/>
    </row>
    <row r="1430" spans="20:20" x14ac:dyDescent="0.25">
      <c r="T1430" s="10"/>
    </row>
    <row r="1431" spans="20:20" x14ac:dyDescent="0.25">
      <c r="T1431" s="10"/>
    </row>
    <row r="1432" spans="20:20" x14ac:dyDescent="0.25">
      <c r="T1432" s="10"/>
    </row>
    <row r="1433" spans="20:20" x14ac:dyDescent="0.25">
      <c r="T1433" s="10"/>
    </row>
    <row r="1434" spans="20:20" x14ac:dyDescent="0.25">
      <c r="T1434" s="10"/>
    </row>
    <row r="1435" spans="20:20" x14ac:dyDescent="0.25">
      <c r="T1435" s="10"/>
    </row>
    <row r="1436" spans="20:20" x14ac:dyDescent="0.25">
      <c r="T1436" s="10"/>
    </row>
    <row r="1437" spans="20:20" x14ac:dyDescent="0.25">
      <c r="T1437" s="10"/>
    </row>
    <row r="1438" spans="20:20" x14ac:dyDescent="0.25">
      <c r="T1438" s="10"/>
    </row>
    <row r="1439" spans="20:20" x14ac:dyDescent="0.25">
      <c r="T1439" s="10"/>
    </row>
    <row r="1440" spans="20:20" x14ac:dyDescent="0.25">
      <c r="T1440" s="10"/>
    </row>
    <row r="1441" spans="20:20" x14ac:dyDescent="0.25">
      <c r="T1441" s="10"/>
    </row>
    <row r="1442" spans="20:20" x14ac:dyDescent="0.25">
      <c r="T1442" s="10"/>
    </row>
    <row r="1443" spans="20:20" x14ac:dyDescent="0.25">
      <c r="T1443" s="10"/>
    </row>
    <row r="1444" spans="20:20" x14ac:dyDescent="0.25">
      <c r="T1444" s="10"/>
    </row>
    <row r="1445" spans="20:20" x14ac:dyDescent="0.25">
      <c r="T1445" s="10"/>
    </row>
    <row r="1446" spans="20:20" x14ac:dyDescent="0.25">
      <c r="T1446" s="10"/>
    </row>
    <row r="1447" spans="20:20" x14ac:dyDescent="0.25">
      <c r="T1447" s="10"/>
    </row>
    <row r="1448" spans="20:20" x14ac:dyDescent="0.25">
      <c r="T1448" s="10"/>
    </row>
    <row r="1449" spans="20:20" x14ac:dyDescent="0.25">
      <c r="T1449" s="10"/>
    </row>
    <row r="1450" spans="20:20" x14ac:dyDescent="0.25">
      <c r="T1450" s="10"/>
    </row>
    <row r="1451" spans="20:20" x14ac:dyDescent="0.25">
      <c r="T1451" s="10"/>
    </row>
    <row r="1452" spans="20:20" x14ac:dyDescent="0.25">
      <c r="T1452" s="10"/>
    </row>
    <row r="1453" spans="20:20" x14ac:dyDescent="0.25">
      <c r="T1453" s="10"/>
    </row>
    <row r="1454" spans="20:20" x14ac:dyDescent="0.25">
      <c r="T1454" s="10"/>
    </row>
    <row r="1455" spans="20:20" x14ac:dyDescent="0.25">
      <c r="T1455" s="10"/>
    </row>
    <row r="1456" spans="20:20" x14ac:dyDescent="0.25">
      <c r="T1456" s="10"/>
    </row>
    <row r="1457" spans="20:20" x14ac:dyDescent="0.25">
      <c r="T1457" s="10"/>
    </row>
    <row r="1458" spans="20:20" x14ac:dyDescent="0.25">
      <c r="T1458" s="10"/>
    </row>
    <row r="1459" spans="20:20" x14ac:dyDescent="0.25">
      <c r="T1459" s="10"/>
    </row>
    <row r="1460" spans="20:20" x14ac:dyDescent="0.25">
      <c r="T1460" s="10"/>
    </row>
    <row r="1461" spans="20:20" x14ac:dyDescent="0.25">
      <c r="T1461" s="10"/>
    </row>
    <row r="1462" spans="20:20" x14ac:dyDescent="0.25">
      <c r="T1462" s="10"/>
    </row>
    <row r="1463" spans="20:20" x14ac:dyDescent="0.25">
      <c r="T1463" s="10"/>
    </row>
    <row r="1464" spans="20:20" x14ac:dyDescent="0.25">
      <c r="T1464" s="10"/>
    </row>
    <row r="1465" spans="20:20" x14ac:dyDescent="0.25">
      <c r="T1465" s="10"/>
    </row>
    <row r="1466" spans="20:20" x14ac:dyDescent="0.25">
      <c r="T1466" s="10"/>
    </row>
    <row r="1467" spans="20:20" x14ac:dyDescent="0.25">
      <c r="T1467" s="10"/>
    </row>
    <row r="1468" spans="20:20" x14ac:dyDescent="0.25">
      <c r="T1468" s="10"/>
    </row>
    <row r="1469" spans="20:20" x14ac:dyDescent="0.25">
      <c r="T1469" s="10"/>
    </row>
    <row r="1470" spans="20:20" x14ac:dyDescent="0.25">
      <c r="T1470" s="10"/>
    </row>
    <row r="1471" spans="20:20" x14ac:dyDescent="0.25">
      <c r="T1471" s="10"/>
    </row>
    <row r="1472" spans="20:20" x14ac:dyDescent="0.25">
      <c r="T1472" s="10"/>
    </row>
    <row r="1473" spans="20:20" x14ac:dyDescent="0.25">
      <c r="T1473" s="10"/>
    </row>
    <row r="1474" spans="20:20" x14ac:dyDescent="0.25">
      <c r="T1474" s="10"/>
    </row>
    <row r="1475" spans="20:20" x14ac:dyDescent="0.25">
      <c r="T1475" s="10"/>
    </row>
    <row r="1476" spans="20:20" x14ac:dyDescent="0.25">
      <c r="T1476" s="10"/>
    </row>
    <row r="1477" spans="20:20" x14ac:dyDescent="0.25">
      <c r="T1477" s="10"/>
    </row>
    <row r="1478" spans="20:20" x14ac:dyDescent="0.25">
      <c r="T1478" s="10"/>
    </row>
    <row r="1479" spans="20:20" x14ac:dyDescent="0.25">
      <c r="T1479" s="10"/>
    </row>
    <row r="1480" spans="20:20" x14ac:dyDescent="0.25">
      <c r="T1480" s="10"/>
    </row>
    <row r="1481" spans="20:20" x14ac:dyDescent="0.25">
      <c r="T1481" s="10"/>
    </row>
    <row r="1482" spans="20:20" x14ac:dyDescent="0.25">
      <c r="T1482" s="10"/>
    </row>
    <row r="1483" spans="20:20" x14ac:dyDescent="0.25">
      <c r="T1483" s="10"/>
    </row>
    <row r="1484" spans="20:20" x14ac:dyDescent="0.25">
      <c r="T1484" s="10"/>
    </row>
    <row r="1485" spans="20:20" x14ac:dyDescent="0.25">
      <c r="T1485" s="10"/>
    </row>
    <row r="1486" spans="20:20" x14ac:dyDescent="0.25">
      <c r="T1486" s="10"/>
    </row>
    <row r="1487" spans="20:20" x14ac:dyDescent="0.25">
      <c r="T1487" s="10"/>
    </row>
    <row r="1488" spans="20:20" x14ac:dyDescent="0.25">
      <c r="T1488" s="10"/>
    </row>
    <row r="1489" spans="20:20" x14ac:dyDescent="0.25">
      <c r="T1489" s="10"/>
    </row>
    <row r="1490" spans="20:20" x14ac:dyDescent="0.25">
      <c r="T1490" s="10"/>
    </row>
    <row r="1491" spans="20:20" x14ac:dyDescent="0.25">
      <c r="T1491" s="10"/>
    </row>
    <row r="1492" spans="20:20" x14ac:dyDescent="0.25">
      <c r="T1492" s="10"/>
    </row>
    <row r="1493" spans="20:20" x14ac:dyDescent="0.25">
      <c r="T1493" s="10"/>
    </row>
    <row r="1494" spans="20:20" x14ac:dyDescent="0.25">
      <c r="T1494" s="10"/>
    </row>
    <row r="1495" spans="20:20" x14ac:dyDescent="0.25">
      <c r="T1495" s="10"/>
    </row>
    <row r="1496" spans="20:20" x14ac:dyDescent="0.25">
      <c r="T1496" s="10"/>
    </row>
    <row r="1497" spans="20:20" x14ac:dyDescent="0.25">
      <c r="T1497" s="10"/>
    </row>
    <row r="1498" spans="20:20" x14ac:dyDescent="0.25">
      <c r="T1498" s="10"/>
    </row>
    <row r="1499" spans="20:20" x14ac:dyDescent="0.25">
      <c r="T1499" s="10"/>
    </row>
    <row r="1500" spans="20:20" x14ac:dyDescent="0.25">
      <c r="T1500" s="10"/>
    </row>
    <row r="1501" spans="20:20" x14ac:dyDescent="0.25">
      <c r="T1501" s="10"/>
    </row>
    <row r="1502" spans="20:20" x14ac:dyDescent="0.25">
      <c r="T1502" s="10"/>
    </row>
    <row r="1503" spans="20:20" x14ac:dyDescent="0.25">
      <c r="T1503" s="10"/>
    </row>
    <row r="1504" spans="20:20" x14ac:dyDescent="0.25">
      <c r="T1504" s="10"/>
    </row>
    <row r="1505" spans="20:20" x14ac:dyDescent="0.25">
      <c r="T1505" s="10"/>
    </row>
    <row r="1506" spans="20:20" x14ac:dyDescent="0.25">
      <c r="T1506" s="10"/>
    </row>
    <row r="1507" spans="20:20" x14ac:dyDescent="0.25">
      <c r="T1507" s="10"/>
    </row>
    <row r="1508" spans="20:20" x14ac:dyDescent="0.25">
      <c r="T1508" s="10"/>
    </row>
    <row r="1509" spans="20:20" x14ac:dyDescent="0.25">
      <c r="T1509" s="10"/>
    </row>
    <row r="1510" spans="20:20" x14ac:dyDescent="0.25">
      <c r="T1510" s="10"/>
    </row>
    <row r="1511" spans="20:20" x14ac:dyDescent="0.25">
      <c r="T1511" s="10"/>
    </row>
    <row r="1512" spans="20:20" x14ac:dyDescent="0.25">
      <c r="T1512" s="10"/>
    </row>
    <row r="1513" spans="20:20" x14ac:dyDescent="0.25">
      <c r="T1513" s="10"/>
    </row>
    <row r="1514" spans="20:20" x14ac:dyDescent="0.25">
      <c r="T1514" s="10"/>
    </row>
    <row r="1515" spans="20:20" x14ac:dyDescent="0.25">
      <c r="T1515" s="10"/>
    </row>
    <row r="1516" spans="20:20" x14ac:dyDescent="0.25">
      <c r="T1516" s="10"/>
    </row>
    <row r="1517" spans="20:20" x14ac:dyDescent="0.25">
      <c r="T1517" s="10"/>
    </row>
    <row r="1518" spans="20:20" x14ac:dyDescent="0.25">
      <c r="T1518" s="10"/>
    </row>
    <row r="1519" spans="20:20" x14ac:dyDescent="0.25">
      <c r="T1519" s="10"/>
    </row>
    <row r="1520" spans="20:20" x14ac:dyDescent="0.25">
      <c r="T1520" s="10"/>
    </row>
    <row r="1521" spans="20:20" x14ac:dyDescent="0.25">
      <c r="T1521" s="10"/>
    </row>
    <row r="1522" spans="20:20" x14ac:dyDescent="0.25">
      <c r="T1522" s="10"/>
    </row>
    <row r="1523" spans="20:20" x14ac:dyDescent="0.25">
      <c r="T1523" s="10"/>
    </row>
    <row r="1524" spans="20:20" x14ac:dyDescent="0.25">
      <c r="T1524" s="10"/>
    </row>
    <row r="1525" spans="20:20" x14ac:dyDescent="0.25">
      <c r="T1525" s="10"/>
    </row>
    <row r="1526" spans="20:20" x14ac:dyDescent="0.25">
      <c r="T1526" s="10"/>
    </row>
    <row r="1527" spans="20:20" x14ac:dyDescent="0.25">
      <c r="T1527" s="10"/>
    </row>
    <row r="1528" spans="20:20" x14ac:dyDescent="0.25">
      <c r="T1528" s="10"/>
    </row>
    <row r="1529" spans="20:20" x14ac:dyDescent="0.25">
      <c r="T1529" s="10"/>
    </row>
    <row r="1530" spans="20:20" x14ac:dyDescent="0.25">
      <c r="T1530" s="10"/>
    </row>
    <row r="1531" spans="20:20" x14ac:dyDescent="0.25">
      <c r="T1531" s="10"/>
    </row>
    <row r="1532" spans="20:20" x14ac:dyDescent="0.25">
      <c r="T1532" s="10"/>
    </row>
    <row r="1533" spans="20:20" x14ac:dyDescent="0.25">
      <c r="T1533" s="10"/>
    </row>
    <row r="1534" spans="20:20" x14ac:dyDescent="0.25">
      <c r="T1534" s="10"/>
    </row>
    <row r="1535" spans="20:20" x14ac:dyDescent="0.25">
      <c r="T1535" s="10"/>
    </row>
    <row r="1536" spans="20:20" x14ac:dyDescent="0.25">
      <c r="T1536" s="10"/>
    </row>
    <row r="1537" spans="20:20" x14ac:dyDescent="0.25">
      <c r="T1537" s="10"/>
    </row>
    <row r="1538" spans="20:20" x14ac:dyDescent="0.25">
      <c r="T1538" s="10"/>
    </row>
    <row r="1539" spans="20:20" x14ac:dyDescent="0.25">
      <c r="T1539" s="10"/>
    </row>
    <row r="1540" spans="20:20" x14ac:dyDescent="0.25">
      <c r="T1540" s="10"/>
    </row>
    <row r="1541" spans="20:20" x14ac:dyDescent="0.25">
      <c r="T1541" s="10"/>
    </row>
    <row r="1542" spans="20:20" x14ac:dyDescent="0.25">
      <c r="T1542" s="10"/>
    </row>
    <row r="1543" spans="20:20" x14ac:dyDescent="0.25">
      <c r="T1543" s="10"/>
    </row>
    <row r="1544" spans="20:20" x14ac:dyDescent="0.25">
      <c r="T1544" s="10"/>
    </row>
    <row r="1545" spans="20:20" x14ac:dyDescent="0.25">
      <c r="T1545" s="10"/>
    </row>
    <row r="1546" spans="20:20" x14ac:dyDescent="0.25">
      <c r="T1546" s="10"/>
    </row>
    <row r="1547" spans="20:20" x14ac:dyDescent="0.25">
      <c r="T1547" s="10"/>
    </row>
    <row r="1548" spans="20:20" x14ac:dyDescent="0.25">
      <c r="T1548" s="10"/>
    </row>
    <row r="1549" spans="20:20" x14ac:dyDescent="0.25">
      <c r="T1549" s="10"/>
    </row>
    <row r="1550" spans="20:20" x14ac:dyDescent="0.25">
      <c r="T1550" s="10"/>
    </row>
    <row r="1551" spans="20:20" x14ac:dyDescent="0.25">
      <c r="T1551" s="10"/>
    </row>
    <row r="1552" spans="20:20" x14ac:dyDescent="0.25">
      <c r="T1552" s="10"/>
    </row>
    <row r="1553" spans="20:20" x14ac:dyDescent="0.25">
      <c r="T1553" s="10"/>
    </row>
    <row r="1554" spans="20:20" x14ac:dyDescent="0.25">
      <c r="T1554" s="10"/>
    </row>
    <row r="1555" spans="20:20" x14ac:dyDescent="0.25">
      <c r="T1555" s="10"/>
    </row>
    <row r="1556" spans="20:20" x14ac:dyDescent="0.25">
      <c r="T1556" s="10"/>
    </row>
    <row r="1557" spans="20:20" x14ac:dyDescent="0.25">
      <c r="T1557" s="10"/>
    </row>
    <row r="1558" spans="20:20" x14ac:dyDescent="0.25">
      <c r="T1558" s="10"/>
    </row>
    <row r="1559" spans="20:20" x14ac:dyDescent="0.25">
      <c r="T1559" s="10"/>
    </row>
    <row r="1560" spans="20:20" x14ac:dyDescent="0.25">
      <c r="T1560" s="10"/>
    </row>
    <row r="1561" spans="20:20" x14ac:dyDescent="0.25">
      <c r="T1561" s="10"/>
    </row>
    <row r="1562" spans="20:20" x14ac:dyDescent="0.25">
      <c r="T1562" s="10"/>
    </row>
    <row r="1563" spans="20:20" x14ac:dyDescent="0.25">
      <c r="T1563" s="10"/>
    </row>
    <row r="1564" spans="20:20" x14ac:dyDescent="0.25">
      <c r="T1564" s="10"/>
    </row>
    <row r="1565" spans="20:20" x14ac:dyDescent="0.25">
      <c r="T1565" s="10"/>
    </row>
    <row r="1566" spans="20:20" x14ac:dyDescent="0.25">
      <c r="T1566" s="10"/>
    </row>
    <row r="1567" spans="20:20" x14ac:dyDescent="0.25">
      <c r="T1567" s="10"/>
    </row>
    <row r="1568" spans="20:20" x14ac:dyDescent="0.25">
      <c r="T1568" s="10"/>
    </row>
    <row r="1569" spans="20:20" x14ac:dyDescent="0.25">
      <c r="T1569" s="10"/>
    </row>
    <row r="1570" spans="20:20" x14ac:dyDescent="0.25">
      <c r="T1570" s="10"/>
    </row>
    <row r="1571" spans="20:20" x14ac:dyDescent="0.25">
      <c r="T1571" s="10"/>
    </row>
    <row r="1572" spans="20:20" x14ac:dyDescent="0.25">
      <c r="T1572" s="10"/>
    </row>
    <row r="1573" spans="20:20" x14ac:dyDescent="0.25">
      <c r="T1573" s="10"/>
    </row>
    <row r="1574" spans="20:20" x14ac:dyDescent="0.25">
      <c r="T1574" s="10"/>
    </row>
    <row r="1575" spans="20:20" x14ac:dyDescent="0.25">
      <c r="T1575" s="10"/>
    </row>
    <row r="1576" spans="20:20" x14ac:dyDescent="0.25">
      <c r="T1576" s="10"/>
    </row>
    <row r="1577" spans="20:20" x14ac:dyDescent="0.25">
      <c r="T1577" s="10"/>
    </row>
    <row r="1578" spans="20:20" x14ac:dyDescent="0.25">
      <c r="T1578" s="10"/>
    </row>
    <row r="1579" spans="20:20" x14ac:dyDescent="0.25">
      <c r="T1579" s="10"/>
    </row>
    <row r="1580" spans="20:20" x14ac:dyDescent="0.25">
      <c r="T1580" s="10"/>
    </row>
    <row r="1581" spans="20:20" x14ac:dyDescent="0.25">
      <c r="T1581" s="10"/>
    </row>
    <row r="1582" spans="20:20" x14ac:dyDescent="0.25">
      <c r="T1582" s="10"/>
    </row>
    <row r="1583" spans="20:20" x14ac:dyDescent="0.25">
      <c r="T1583" s="10"/>
    </row>
    <row r="1584" spans="20:20" x14ac:dyDescent="0.25">
      <c r="T1584" s="10"/>
    </row>
    <row r="1585" spans="20:20" x14ac:dyDescent="0.25">
      <c r="T1585" s="10"/>
    </row>
    <row r="1586" spans="20:20" x14ac:dyDescent="0.25">
      <c r="T1586" s="10"/>
    </row>
    <row r="1587" spans="20:20" x14ac:dyDescent="0.25">
      <c r="T1587" s="10"/>
    </row>
    <row r="1588" spans="20:20" x14ac:dyDescent="0.25">
      <c r="T1588" s="10"/>
    </row>
    <row r="1589" spans="20:20" x14ac:dyDescent="0.25">
      <c r="T1589" s="10"/>
    </row>
    <row r="1590" spans="20:20" x14ac:dyDescent="0.25">
      <c r="T1590" s="10"/>
    </row>
    <row r="1591" spans="20:20" x14ac:dyDescent="0.25">
      <c r="T1591" s="10"/>
    </row>
    <row r="1592" spans="20:20" x14ac:dyDescent="0.25">
      <c r="T1592" s="10"/>
    </row>
    <row r="1593" spans="20:20" x14ac:dyDescent="0.25">
      <c r="T1593" s="10"/>
    </row>
    <row r="1594" spans="20:20" x14ac:dyDescent="0.25">
      <c r="T1594" s="10"/>
    </row>
    <row r="1595" spans="20:20" x14ac:dyDescent="0.25">
      <c r="T1595" s="10"/>
    </row>
    <row r="1596" spans="20:20" x14ac:dyDescent="0.25">
      <c r="T1596" s="10"/>
    </row>
    <row r="1597" spans="20:20" x14ac:dyDescent="0.25">
      <c r="T1597" s="10"/>
    </row>
    <row r="1598" spans="20:20" x14ac:dyDescent="0.25">
      <c r="T1598" s="10"/>
    </row>
    <row r="1599" spans="20:20" x14ac:dyDescent="0.25">
      <c r="T1599" s="10"/>
    </row>
    <row r="1600" spans="20:20" x14ac:dyDescent="0.25">
      <c r="T1600" s="10"/>
    </row>
    <row r="1601" spans="20:20" x14ac:dyDescent="0.25">
      <c r="T1601" s="10"/>
    </row>
    <row r="1602" spans="20:20" x14ac:dyDescent="0.25">
      <c r="T1602" s="10"/>
    </row>
    <row r="1603" spans="20:20" x14ac:dyDescent="0.25">
      <c r="T1603" s="10"/>
    </row>
    <row r="1604" spans="20:20" x14ac:dyDescent="0.25">
      <c r="T1604" s="10"/>
    </row>
    <row r="1605" spans="20:20" x14ac:dyDescent="0.25">
      <c r="T1605" s="10"/>
    </row>
    <row r="1606" spans="20:20" x14ac:dyDescent="0.25">
      <c r="T1606" s="10"/>
    </row>
    <row r="1607" spans="20:20" x14ac:dyDescent="0.25">
      <c r="T1607" s="10"/>
    </row>
    <row r="1608" spans="20:20" x14ac:dyDescent="0.25">
      <c r="T1608" s="10"/>
    </row>
    <row r="1609" spans="20:20" x14ac:dyDescent="0.25">
      <c r="T1609" s="10"/>
    </row>
    <row r="1610" spans="20:20" x14ac:dyDescent="0.25">
      <c r="T1610" s="10"/>
    </row>
    <row r="1611" spans="20:20" x14ac:dyDescent="0.25">
      <c r="T1611" s="10"/>
    </row>
    <row r="1612" spans="20:20" x14ac:dyDescent="0.25">
      <c r="T1612" s="10"/>
    </row>
    <row r="1613" spans="20:20" x14ac:dyDescent="0.25">
      <c r="T1613" s="10"/>
    </row>
    <row r="1614" spans="20:20" x14ac:dyDescent="0.25">
      <c r="T1614" s="10"/>
    </row>
    <row r="1615" spans="20:20" x14ac:dyDescent="0.25">
      <c r="T1615" s="10"/>
    </row>
    <row r="1616" spans="20:20" x14ac:dyDescent="0.25">
      <c r="T1616" s="10"/>
    </row>
    <row r="1617" spans="20:20" x14ac:dyDescent="0.25">
      <c r="T1617" s="10"/>
    </row>
    <row r="1618" spans="20:20" x14ac:dyDescent="0.25">
      <c r="T1618" s="10"/>
    </row>
    <row r="1619" spans="20:20" x14ac:dyDescent="0.25">
      <c r="T1619" s="10"/>
    </row>
    <row r="1620" spans="20:20" x14ac:dyDescent="0.25">
      <c r="T1620" s="10"/>
    </row>
    <row r="1621" spans="20:20" x14ac:dyDescent="0.25">
      <c r="T1621" s="10"/>
    </row>
    <row r="1622" spans="20:20" x14ac:dyDescent="0.25">
      <c r="T1622" s="10"/>
    </row>
    <row r="1623" spans="20:20" x14ac:dyDescent="0.25">
      <c r="T1623" s="10"/>
    </row>
    <row r="1624" spans="20:20" x14ac:dyDescent="0.25">
      <c r="T1624" s="10"/>
    </row>
    <row r="1625" spans="20:20" x14ac:dyDescent="0.25">
      <c r="T1625" s="10"/>
    </row>
    <row r="1626" spans="20:20" x14ac:dyDescent="0.25">
      <c r="T1626" s="10"/>
    </row>
    <row r="1627" spans="20:20" x14ac:dyDescent="0.25">
      <c r="T1627" s="10"/>
    </row>
    <row r="1628" spans="20:20" x14ac:dyDescent="0.25">
      <c r="T1628" s="10"/>
    </row>
    <row r="1629" spans="20:20" x14ac:dyDescent="0.25">
      <c r="T1629" s="10"/>
    </row>
    <row r="1630" spans="20:20" x14ac:dyDescent="0.25">
      <c r="T1630" s="10"/>
    </row>
    <row r="1631" spans="20:20" x14ac:dyDescent="0.25">
      <c r="T1631" s="10"/>
    </row>
    <row r="1632" spans="20:20" x14ac:dyDescent="0.25">
      <c r="T1632" s="10"/>
    </row>
    <row r="1633" spans="20:20" x14ac:dyDescent="0.25">
      <c r="T1633" s="10"/>
    </row>
    <row r="1634" spans="20:20" x14ac:dyDescent="0.25">
      <c r="T1634" s="10"/>
    </row>
    <row r="1635" spans="20:20" x14ac:dyDescent="0.25">
      <c r="T1635" s="10"/>
    </row>
    <row r="1636" spans="20:20" x14ac:dyDescent="0.25">
      <c r="T1636" s="10"/>
    </row>
    <row r="1637" spans="20:20" x14ac:dyDescent="0.25">
      <c r="T1637" s="10"/>
    </row>
    <row r="1638" spans="20:20" x14ac:dyDescent="0.25">
      <c r="T1638" s="10"/>
    </row>
    <row r="1639" spans="20:20" x14ac:dyDescent="0.25">
      <c r="T1639" s="10"/>
    </row>
    <row r="1640" spans="20:20" x14ac:dyDescent="0.25">
      <c r="T1640" s="10"/>
    </row>
    <row r="1641" spans="20:20" x14ac:dyDescent="0.25">
      <c r="T1641" s="10"/>
    </row>
    <row r="1642" spans="20:20" x14ac:dyDescent="0.25">
      <c r="T1642" s="10"/>
    </row>
    <row r="1643" spans="20:20" x14ac:dyDescent="0.25">
      <c r="T1643" s="10"/>
    </row>
    <row r="1644" spans="20:20" x14ac:dyDescent="0.25">
      <c r="T1644" s="10"/>
    </row>
    <row r="1645" spans="20:20" x14ac:dyDescent="0.25">
      <c r="T1645" s="10"/>
    </row>
    <row r="1646" spans="20:20" x14ac:dyDescent="0.25">
      <c r="T1646" s="10"/>
    </row>
    <row r="1647" spans="20:20" x14ac:dyDescent="0.25">
      <c r="T1647" s="10"/>
    </row>
    <row r="1648" spans="20:20" x14ac:dyDescent="0.25">
      <c r="T1648" s="10"/>
    </row>
    <row r="1649" spans="20:20" x14ac:dyDescent="0.25">
      <c r="T1649" s="10"/>
    </row>
    <row r="1650" spans="20:20" x14ac:dyDescent="0.25">
      <c r="T1650" s="10"/>
    </row>
    <row r="1651" spans="20:20" x14ac:dyDescent="0.25">
      <c r="T1651" s="10"/>
    </row>
    <row r="1652" spans="20:20" x14ac:dyDescent="0.25">
      <c r="T1652" s="10"/>
    </row>
    <row r="1653" spans="20:20" x14ac:dyDescent="0.25">
      <c r="T1653" s="10"/>
    </row>
    <row r="1654" spans="20:20" x14ac:dyDescent="0.25">
      <c r="T1654" s="10"/>
    </row>
    <row r="1655" spans="20:20" x14ac:dyDescent="0.25">
      <c r="T1655" s="10"/>
    </row>
    <row r="1656" spans="20:20" x14ac:dyDescent="0.25">
      <c r="T1656" s="10"/>
    </row>
    <row r="1657" spans="20:20" x14ac:dyDescent="0.25">
      <c r="T1657" s="10"/>
    </row>
    <row r="1658" spans="20:20" x14ac:dyDescent="0.25">
      <c r="T1658" s="10"/>
    </row>
    <row r="1659" spans="20:20" x14ac:dyDescent="0.25">
      <c r="T1659" s="10"/>
    </row>
    <row r="1660" spans="20:20" x14ac:dyDescent="0.25">
      <c r="T1660" s="10"/>
    </row>
    <row r="1661" spans="20:20" x14ac:dyDescent="0.25">
      <c r="T1661" s="10"/>
    </row>
    <row r="1662" spans="20:20" x14ac:dyDescent="0.25">
      <c r="T1662" s="10"/>
    </row>
    <row r="1663" spans="20:20" x14ac:dyDescent="0.25">
      <c r="T1663" s="10"/>
    </row>
    <row r="1664" spans="20:20" x14ac:dyDescent="0.25">
      <c r="T1664" s="10"/>
    </row>
    <row r="1665" spans="20:20" x14ac:dyDescent="0.25">
      <c r="T1665" s="10"/>
    </row>
    <row r="1666" spans="20:20" x14ac:dyDescent="0.25">
      <c r="T1666" s="10"/>
    </row>
    <row r="1667" spans="20:20" x14ac:dyDescent="0.25">
      <c r="T1667" s="10"/>
    </row>
    <row r="1668" spans="20:20" x14ac:dyDescent="0.25">
      <c r="T1668" s="10"/>
    </row>
    <row r="1669" spans="20:20" x14ac:dyDescent="0.25">
      <c r="T1669" s="10"/>
    </row>
    <row r="1670" spans="20:20" x14ac:dyDescent="0.25">
      <c r="T1670" s="10"/>
    </row>
    <row r="1671" spans="20:20" x14ac:dyDescent="0.25">
      <c r="T1671" s="10"/>
    </row>
    <row r="1672" spans="20:20" x14ac:dyDescent="0.25">
      <c r="T1672" s="10"/>
    </row>
    <row r="1673" spans="20:20" x14ac:dyDescent="0.25">
      <c r="T1673" s="10"/>
    </row>
    <row r="1674" spans="20:20" x14ac:dyDescent="0.25">
      <c r="T1674" s="10"/>
    </row>
    <row r="1675" spans="20:20" x14ac:dyDescent="0.25">
      <c r="T1675" s="10"/>
    </row>
    <row r="1676" spans="20:20" x14ac:dyDescent="0.25">
      <c r="T1676" s="10"/>
    </row>
    <row r="1677" spans="20:20" x14ac:dyDescent="0.25">
      <c r="T1677" s="10"/>
    </row>
    <row r="1678" spans="20:20" x14ac:dyDescent="0.25">
      <c r="T1678" s="10"/>
    </row>
    <row r="1679" spans="20:20" x14ac:dyDescent="0.25">
      <c r="T1679" s="10"/>
    </row>
    <row r="1680" spans="20:20" x14ac:dyDescent="0.25">
      <c r="T1680" s="10"/>
    </row>
    <row r="1681" spans="20:20" x14ac:dyDescent="0.25">
      <c r="T1681" s="10"/>
    </row>
    <row r="1682" spans="20:20" x14ac:dyDescent="0.25">
      <c r="T1682" s="10"/>
    </row>
    <row r="1683" spans="20:20" x14ac:dyDescent="0.25">
      <c r="T1683" s="10"/>
    </row>
    <row r="1684" spans="20:20" x14ac:dyDescent="0.25">
      <c r="T1684" s="10"/>
    </row>
    <row r="1685" spans="20:20" x14ac:dyDescent="0.25">
      <c r="T1685" s="10"/>
    </row>
    <row r="1686" spans="20:20" x14ac:dyDescent="0.25">
      <c r="T1686" s="10"/>
    </row>
    <row r="1687" spans="20:20" x14ac:dyDescent="0.25">
      <c r="T1687" s="10"/>
    </row>
    <row r="1688" spans="20:20" x14ac:dyDescent="0.25">
      <c r="T1688" s="10"/>
    </row>
    <row r="1689" spans="20:20" x14ac:dyDescent="0.25">
      <c r="T1689" s="10"/>
    </row>
    <row r="1690" spans="20:20" x14ac:dyDescent="0.25">
      <c r="T1690" s="10"/>
    </row>
    <row r="1691" spans="20:20" x14ac:dyDescent="0.25">
      <c r="T1691" s="10"/>
    </row>
    <row r="1692" spans="20:20" x14ac:dyDescent="0.25">
      <c r="T1692" s="10"/>
    </row>
    <row r="1693" spans="20:20" x14ac:dyDescent="0.25">
      <c r="T1693" s="10"/>
    </row>
    <row r="1694" spans="20:20" x14ac:dyDescent="0.25">
      <c r="T1694" s="10"/>
    </row>
    <row r="1695" spans="20:20" x14ac:dyDescent="0.25">
      <c r="T1695" s="10"/>
    </row>
    <row r="1696" spans="20:20" x14ac:dyDescent="0.25">
      <c r="T1696" s="10"/>
    </row>
    <row r="1697" spans="20:20" x14ac:dyDescent="0.25">
      <c r="T1697" s="10"/>
    </row>
    <row r="1698" spans="20:20" x14ac:dyDescent="0.25">
      <c r="T1698" s="10"/>
    </row>
    <row r="1699" spans="20:20" x14ac:dyDescent="0.25">
      <c r="T1699" s="10"/>
    </row>
    <row r="1700" spans="20:20" x14ac:dyDescent="0.25">
      <c r="T1700" s="10"/>
    </row>
    <row r="1701" spans="20:20" x14ac:dyDescent="0.25">
      <c r="T1701" s="10"/>
    </row>
    <row r="1702" spans="20:20" x14ac:dyDescent="0.25">
      <c r="T1702" s="10"/>
    </row>
    <row r="1703" spans="20:20" x14ac:dyDescent="0.25">
      <c r="T1703" s="10"/>
    </row>
    <row r="1704" spans="20:20" x14ac:dyDescent="0.25">
      <c r="T1704" s="10"/>
    </row>
    <row r="1705" spans="20:20" x14ac:dyDescent="0.25">
      <c r="T1705" s="10"/>
    </row>
    <row r="1706" spans="20:20" x14ac:dyDescent="0.25">
      <c r="T1706" s="10"/>
    </row>
    <row r="1707" spans="20:20" x14ac:dyDescent="0.25">
      <c r="T1707" s="10"/>
    </row>
    <row r="1708" spans="20:20" x14ac:dyDescent="0.25">
      <c r="T1708" s="10"/>
    </row>
  </sheetData>
  <mergeCells count="36">
    <mergeCell ref="I14:I15"/>
    <mergeCell ref="N14:N15"/>
    <mergeCell ref="V14:V15"/>
    <mergeCell ref="E14:E15"/>
    <mergeCell ref="Z14:Z15"/>
    <mergeCell ref="V1:Y1"/>
    <mergeCell ref="A8:AA8"/>
    <mergeCell ref="A9:AA9"/>
    <mergeCell ref="A10:AA10"/>
    <mergeCell ref="AA12:AA15"/>
    <mergeCell ref="O14:O15"/>
    <mergeCell ref="G14:H14"/>
    <mergeCell ref="T13:T15"/>
    <mergeCell ref="J13:L13"/>
    <mergeCell ref="Q14:R14"/>
    <mergeCell ref="S14:S15"/>
    <mergeCell ref="F14:F15"/>
    <mergeCell ref="N13:S13"/>
    <mergeCell ref="E13:I13"/>
    <mergeCell ref="P14:P15"/>
    <mergeCell ref="A428:F428"/>
    <mergeCell ref="X428:AA428"/>
    <mergeCell ref="AB12:AB15"/>
    <mergeCell ref="N12:Z12"/>
    <mergeCell ref="A12:A15"/>
    <mergeCell ref="B12:B15"/>
    <mergeCell ref="C12:C15"/>
    <mergeCell ref="D12:D15"/>
    <mergeCell ref="J14:J15"/>
    <mergeCell ref="K14:L14"/>
    <mergeCell ref="E12:L12"/>
    <mergeCell ref="M12:M15"/>
    <mergeCell ref="U13:Z13"/>
    <mergeCell ref="U14:U15"/>
    <mergeCell ref="W14:W15"/>
    <mergeCell ref="X14:Y14"/>
  </mergeCells>
  <phoneticPr fontId="3" type="noConversion"/>
  <printOptions horizontalCentered="1"/>
  <pageMargins left="0.19685039370078741" right="0" top="0.82677165354330717" bottom="0.27559055118110237" header="0.6692913385826772" footer="0.11811023622047245"/>
  <pageSetup paperSize="9" scale="32" fitToHeight="10000" orientation="landscape" useFirstPageNumber="1" r:id="rId1"/>
  <headerFooter scaleWithDoc="0" alignWithMargins="0">
    <oddFooter>&amp;R&amp;7Сторінка &amp;P</oddFooter>
  </headerFooter>
  <rowBreaks count="2" manualBreakCount="2">
    <brk id="372" max="27" man="1"/>
    <brk id="41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3"/>
  <sheetViews>
    <sheetView showGridLines="0" showZeros="0" tabSelected="1" view="pageBreakPreview" topLeftCell="A264" zoomScale="55" zoomScaleNormal="70" zoomScaleSheetLayoutView="55" workbookViewId="0">
      <selection activeCell="J305" sqref="J305"/>
    </sheetView>
  </sheetViews>
  <sheetFormatPr defaultColWidth="9.1640625" defaultRowHeight="15.75" x14ac:dyDescent="0.25"/>
  <cols>
    <col min="1" max="1" width="19.1640625" style="13" customWidth="1"/>
    <col min="2" max="2" width="22.1640625" style="14" customWidth="1"/>
    <col min="3" max="3" width="74.1640625" style="15" customWidth="1"/>
    <col min="4" max="4" width="23.1640625" style="16" customWidth="1"/>
    <col min="5" max="5" width="23.83203125" style="16" hidden="1" customWidth="1"/>
    <col min="6" max="6" width="23.6640625" style="16" customWidth="1"/>
    <col min="7" max="7" width="20.83203125" style="16" customWidth="1"/>
    <col min="8" max="8" width="21.1640625" style="16" hidden="1" customWidth="1"/>
    <col min="9" max="11" width="21.1640625" style="16" customWidth="1"/>
    <col min="12" max="12" width="15.33203125" style="97" customWidth="1"/>
    <col min="13" max="13" width="22.5" style="16" customWidth="1"/>
    <col min="14" max="14" width="21.1640625" style="16" customWidth="1"/>
    <col min="15" max="15" width="21.33203125" style="16" customWidth="1"/>
    <col min="16" max="16" width="19.1640625" style="16" customWidth="1"/>
    <col min="17" max="17" width="18.83203125" style="16" customWidth="1"/>
    <col min="18" max="18" width="23" style="16" customWidth="1"/>
    <col min="19" max="19" width="22.83203125" style="16" hidden="1" customWidth="1"/>
    <col min="20" max="20" width="18.83203125" style="14" customWidth="1"/>
    <col min="21" max="22" width="18.6640625" style="14" customWidth="1"/>
    <col min="23" max="23" width="16.6640625" style="14" customWidth="1"/>
    <col min="24" max="24" width="16.5" style="14" customWidth="1"/>
    <col min="25" max="25" width="18.83203125" style="14" customWidth="1"/>
    <col min="26" max="26" width="14.83203125" style="97" customWidth="1"/>
    <col min="27" max="27" width="20.5" style="14" customWidth="1"/>
    <col min="28" max="16384" width="9.1640625" style="14"/>
  </cols>
  <sheetData>
    <row r="1" spans="1:27" ht="27.75" customHeight="1" x14ac:dyDescent="0.45">
      <c r="N1" s="90"/>
      <c r="O1" s="90"/>
      <c r="P1" s="90"/>
      <c r="Q1" s="90"/>
      <c r="R1" s="90"/>
      <c r="S1" s="90"/>
      <c r="T1" s="164" t="s">
        <v>716</v>
      </c>
      <c r="U1" s="164"/>
      <c r="V1" s="164"/>
      <c r="W1" s="164"/>
    </row>
    <row r="2" spans="1:27" ht="24" customHeight="1" x14ac:dyDescent="0.25">
      <c r="N2" s="17"/>
      <c r="O2" s="17"/>
      <c r="P2" s="17"/>
      <c r="Q2" s="17"/>
      <c r="R2" s="17"/>
      <c r="S2" s="17"/>
      <c r="T2" s="98" t="s">
        <v>713</v>
      </c>
      <c r="U2" s="98"/>
      <c r="V2" s="98"/>
      <c r="W2" s="98"/>
    </row>
    <row r="3" spans="1:27" ht="26.25" customHeight="1" x14ac:dyDescent="0.45">
      <c r="N3" s="17"/>
      <c r="O3" s="17"/>
      <c r="P3" s="17"/>
      <c r="Q3" s="17"/>
      <c r="R3" s="17"/>
      <c r="S3" s="17"/>
      <c r="T3" s="96" t="s">
        <v>714</v>
      </c>
      <c r="U3" s="96"/>
      <c r="V3" s="96"/>
      <c r="W3" s="96"/>
    </row>
    <row r="4" spans="1:27" ht="26.25" customHeight="1" x14ac:dyDescent="0.45">
      <c r="N4" s="170"/>
      <c r="O4" s="170"/>
      <c r="P4" s="170"/>
      <c r="Q4" s="170"/>
      <c r="R4" s="170"/>
      <c r="S4" s="170"/>
      <c r="T4" s="96" t="s">
        <v>715</v>
      </c>
      <c r="U4" s="96"/>
      <c r="V4" s="96"/>
      <c r="W4" s="96"/>
    </row>
    <row r="5" spans="1:27" ht="26.25" customHeight="1" x14ac:dyDescent="0.45">
      <c r="N5" s="90"/>
      <c r="O5" s="90"/>
      <c r="P5" s="90"/>
      <c r="Q5" s="90"/>
      <c r="R5" s="90"/>
      <c r="S5" s="90"/>
      <c r="T5" s="96" t="s">
        <v>729</v>
      </c>
      <c r="U5" s="96"/>
      <c r="V5" s="96"/>
      <c r="W5" s="96"/>
    </row>
    <row r="6" spans="1:27" ht="26.25" customHeight="1" x14ac:dyDescent="0.45">
      <c r="N6" s="90"/>
      <c r="O6" s="90"/>
      <c r="P6" s="90"/>
      <c r="Q6" s="90"/>
      <c r="R6" s="90"/>
      <c r="S6" s="90"/>
      <c r="T6" s="96" t="s">
        <v>731</v>
      </c>
      <c r="U6" s="96"/>
      <c r="V6" s="96"/>
      <c r="W6" s="96"/>
    </row>
    <row r="7" spans="1:27" ht="48.75" customHeight="1" x14ac:dyDescent="0.4">
      <c r="N7" s="87"/>
      <c r="O7" s="87"/>
      <c r="P7" s="87"/>
      <c r="Q7" s="87"/>
      <c r="R7" s="87"/>
      <c r="S7" s="87"/>
    </row>
    <row r="8" spans="1:27" ht="4.5" customHeight="1" x14ac:dyDescent="0.4">
      <c r="N8" s="90"/>
      <c r="O8" s="90"/>
      <c r="P8" s="90"/>
      <c r="Q8" s="90"/>
      <c r="R8" s="90"/>
      <c r="S8" s="90"/>
    </row>
    <row r="9" spans="1:27" ht="75.75" customHeight="1" x14ac:dyDescent="0.25">
      <c r="A9" s="165" t="s">
        <v>718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7" ht="23.25" customHeight="1" x14ac:dyDescent="0.25">
      <c r="A10" s="166" t="s">
        <v>643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</row>
    <row r="11" spans="1:27" ht="21" customHeight="1" x14ac:dyDescent="0.3">
      <c r="A11" s="167" t="s">
        <v>530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99" t="s">
        <v>352</v>
      </c>
    </row>
    <row r="12" spans="1:27" s="18" customFormat="1" ht="27.75" customHeight="1" x14ac:dyDescent="0.3">
      <c r="A12" s="150" t="s">
        <v>331</v>
      </c>
      <c r="B12" s="150" t="s">
        <v>321</v>
      </c>
      <c r="C12" s="150" t="s">
        <v>333</v>
      </c>
      <c r="D12" s="171" t="s">
        <v>221</v>
      </c>
      <c r="E12" s="171"/>
      <c r="F12" s="171"/>
      <c r="G12" s="171"/>
      <c r="H12" s="171"/>
      <c r="I12" s="171"/>
      <c r="J12" s="171"/>
      <c r="K12" s="171"/>
      <c r="L12" s="172" t="s">
        <v>711</v>
      </c>
      <c r="M12" s="151" t="s">
        <v>222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72" t="s">
        <v>711</v>
      </c>
      <c r="AA12" s="174" t="s">
        <v>223</v>
      </c>
    </row>
    <row r="13" spans="1:27" s="19" customFormat="1" ht="39" customHeight="1" x14ac:dyDescent="0.25">
      <c r="A13" s="150"/>
      <c r="B13" s="150"/>
      <c r="C13" s="150"/>
      <c r="D13" s="163" t="s">
        <v>710</v>
      </c>
      <c r="E13" s="163"/>
      <c r="F13" s="163"/>
      <c r="G13" s="163"/>
      <c r="H13" s="163"/>
      <c r="I13" s="168" t="s">
        <v>709</v>
      </c>
      <c r="J13" s="168"/>
      <c r="K13" s="168"/>
      <c r="L13" s="172"/>
      <c r="M13" s="163" t="s">
        <v>710</v>
      </c>
      <c r="N13" s="163"/>
      <c r="O13" s="163"/>
      <c r="P13" s="163"/>
      <c r="Q13" s="163"/>
      <c r="R13" s="163"/>
      <c r="S13" s="163" t="s">
        <v>223</v>
      </c>
      <c r="T13" s="169" t="s">
        <v>709</v>
      </c>
      <c r="U13" s="169"/>
      <c r="V13" s="169"/>
      <c r="W13" s="169"/>
      <c r="X13" s="169"/>
      <c r="Y13" s="169"/>
      <c r="Z13" s="172"/>
      <c r="AA13" s="174"/>
    </row>
    <row r="14" spans="1:27" s="19" customFormat="1" ht="29.25" customHeight="1" x14ac:dyDescent="0.25">
      <c r="A14" s="150"/>
      <c r="B14" s="150"/>
      <c r="C14" s="150"/>
      <c r="D14" s="154" t="s">
        <v>322</v>
      </c>
      <c r="E14" s="154" t="s">
        <v>224</v>
      </c>
      <c r="F14" s="162" t="s">
        <v>225</v>
      </c>
      <c r="G14" s="162"/>
      <c r="H14" s="154" t="s">
        <v>226</v>
      </c>
      <c r="I14" s="168" t="s">
        <v>322</v>
      </c>
      <c r="J14" s="168" t="s">
        <v>225</v>
      </c>
      <c r="K14" s="168"/>
      <c r="L14" s="172"/>
      <c r="M14" s="154" t="s">
        <v>322</v>
      </c>
      <c r="N14" s="154" t="s">
        <v>323</v>
      </c>
      <c r="O14" s="154" t="s">
        <v>224</v>
      </c>
      <c r="P14" s="162" t="s">
        <v>225</v>
      </c>
      <c r="Q14" s="162"/>
      <c r="R14" s="154" t="s">
        <v>226</v>
      </c>
      <c r="S14" s="163"/>
      <c r="T14" s="169" t="s">
        <v>322</v>
      </c>
      <c r="U14" s="169" t="s">
        <v>323</v>
      </c>
      <c r="V14" s="169" t="s">
        <v>224</v>
      </c>
      <c r="W14" s="169" t="s">
        <v>225</v>
      </c>
      <c r="X14" s="169"/>
      <c r="Y14" s="169" t="s">
        <v>226</v>
      </c>
      <c r="Z14" s="172"/>
      <c r="AA14" s="174"/>
    </row>
    <row r="15" spans="1:27" s="19" customFormat="1" ht="82.5" customHeight="1" x14ac:dyDescent="0.25">
      <c r="A15" s="150"/>
      <c r="B15" s="150"/>
      <c r="C15" s="150"/>
      <c r="D15" s="154"/>
      <c r="E15" s="154"/>
      <c r="F15" s="89" t="s">
        <v>227</v>
      </c>
      <c r="G15" s="89" t="s">
        <v>228</v>
      </c>
      <c r="H15" s="154"/>
      <c r="I15" s="168"/>
      <c r="J15" s="92" t="s">
        <v>227</v>
      </c>
      <c r="K15" s="92" t="s">
        <v>228</v>
      </c>
      <c r="L15" s="172"/>
      <c r="M15" s="154"/>
      <c r="N15" s="154"/>
      <c r="O15" s="154"/>
      <c r="P15" s="89" t="s">
        <v>227</v>
      </c>
      <c r="Q15" s="89" t="s">
        <v>228</v>
      </c>
      <c r="R15" s="154"/>
      <c r="S15" s="163"/>
      <c r="T15" s="169"/>
      <c r="U15" s="169"/>
      <c r="V15" s="169"/>
      <c r="W15" s="93" t="s">
        <v>227</v>
      </c>
      <c r="X15" s="93" t="s">
        <v>228</v>
      </c>
      <c r="Y15" s="169"/>
      <c r="Z15" s="172"/>
      <c r="AA15" s="174"/>
    </row>
    <row r="16" spans="1:27" s="19" customFormat="1" ht="21" customHeight="1" x14ac:dyDescent="0.25">
      <c r="A16" s="20" t="s">
        <v>42</v>
      </c>
      <c r="B16" s="21"/>
      <c r="C16" s="22" t="s">
        <v>43</v>
      </c>
      <c r="D16" s="23">
        <f>D18+D19+D20+D21</f>
        <v>340544096</v>
      </c>
      <c r="E16" s="23">
        <f t="shared" ref="E16:Y16" si="0">E18+E19+E20+E21</f>
        <v>340544096</v>
      </c>
      <c r="F16" s="23">
        <f t="shared" si="0"/>
        <v>254752868</v>
      </c>
      <c r="G16" s="23">
        <f t="shared" si="0"/>
        <v>11292400</v>
      </c>
      <c r="H16" s="23">
        <f t="shared" si="0"/>
        <v>0</v>
      </c>
      <c r="I16" s="23">
        <f t="shared" si="0"/>
        <v>152228128.07000002</v>
      </c>
      <c r="J16" s="23">
        <f t="shared" si="0"/>
        <v>116420333.86999996</v>
      </c>
      <c r="K16" s="23">
        <f t="shared" si="0"/>
        <v>3975329.16</v>
      </c>
      <c r="L16" s="123">
        <f>I16/D16*100</f>
        <v>44.701443912273852</v>
      </c>
      <c r="M16" s="23">
        <f t="shared" si="0"/>
        <v>15309879</v>
      </c>
      <c r="N16" s="23">
        <f t="shared" si="0"/>
        <v>14940879</v>
      </c>
      <c r="O16" s="23">
        <f t="shared" si="0"/>
        <v>369000</v>
      </c>
      <c r="P16" s="23">
        <f t="shared" si="0"/>
        <v>0</v>
      </c>
      <c r="Q16" s="23">
        <f t="shared" si="0"/>
        <v>208200</v>
      </c>
      <c r="R16" s="23">
        <f t="shared" si="0"/>
        <v>14940879</v>
      </c>
      <c r="S16" s="23">
        <f t="shared" si="0"/>
        <v>355853975</v>
      </c>
      <c r="T16" s="23">
        <f t="shared" si="0"/>
        <v>9345742.5899999999</v>
      </c>
      <c r="U16" s="23">
        <f t="shared" si="0"/>
        <v>1260688.26</v>
      </c>
      <c r="V16" s="23">
        <f t="shared" si="0"/>
        <v>4904617.6700000009</v>
      </c>
      <c r="W16" s="23">
        <f t="shared" si="0"/>
        <v>287388.33</v>
      </c>
      <c r="X16" s="23">
        <f t="shared" si="0"/>
        <v>88434.61</v>
      </c>
      <c r="Y16" s="23">
        <f t="shared" si="0"/>
        <v>4441124.92</v>
      </c>
      <c r="Z16" s="123">
        <f>T16/M16*100</f>
        <v>61.043869713144041</v>
      </c>
      <c r="AA16" s="23">
        <f>I16+T16</f>
        <v>161573870.66000003</v>
      </c>
    </row>
    <row r="17" spans="1:27" s="19" customFormat="1" ht="61.5" hidden="1" customHeight="1" x14ac:dyDescent="0.25">
      <c r="A17" s="20"/>
      <c r="B17" s="21"/>
      <c r="C17" s="22" t="s">
        <v>423</v>
      </c>
      <c r="D17" s="23">
        <f>D22</f>
        <v>0</v>
      </c>
      <c r="E17" s="23">
        <f t="shared" ref="E17:Y17" si="1">E22</f>
        <v>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3">
        <f t="shared" si="1"/>
        <v>0</v>
      </c>
      <c r="J17" s="23">
        <f t="shared" si="1"/>
        <v>0</v>
      </c>
      <c r="K17" s="23">
        <f t="shared" si="1"/>
        <v>0</v>
      </c>
      <c r="L17" s="120" t="e">
        <f t="shared" ref="L17:L80" si="2">I17/D17*100</f>
        <v>#DIV/0!</v>
      </c>
      <c r="M17" s="23">
        <f t="shared" si="1"/>
        <v>0</v>
      </c>
      <c r="N17" s="23">
        <f t="shared" si="1"/>
        <v>0</v>
      </c>
      <c r="O17" s="23">
        <f t="shared" si="1"/>
        <v>0</v>
      </c>
      <c r="P17" s="23">
        <f t="shared" si="1"/>
        <v>0</v>
      </c>
      <c r="Q17" s="23">
        <f t="shared" si="1"/>
        <v>0</v>
      </c>
      <c r="R17" s="23">
        <f t="shared" si="1"/>
        <v>0</v>
      </c>
      <c r="S17" s="23">
        <f t="shared" si="1"/>
        <v>0</v>
      </c>
      <c r="T17" s="23">
        <f t="shared" si="1"/>
        <v>0</v>
      </c>
      <c r="U17" s="23">
        <f t="shared" si="1"/>
        <v>0</v>
      </c>
      <c r="V17" s="23">
        <f t="shared" si="1"/>
        <v>0</v>
      </c>
      <c r="W17" s="23">
        <f t="shared" si="1"/>
        <v>0</v>
      </c>
      <c r="X17" s="23">
        <f t="shared" si="1"/>
        <v>0</v>
      </c>
      <c r="Y17" s="23">
        <f t="shared" si="1"/>
        <v>0</v>
      </c>
      <c r="Z17" s="120" t="e">
        <f t="shared" ref="Z17:Z62" si="3">T17/M17*100</f>
        <v>#DIV/0!</v>
      </c>
      <c r="AA17" s="25">
        <f t="shared" ref="AA17:AA80" si="4">I17+T17</f>
        <v>0</v>
      </c>
    </row>
    <row r="18" spans="1:27" ht="37.5" customHeight="1" x14ac:dyDescent="0.25">
      <c r="A18" s="24" t="s">
        <v>117</v>
      </c>
      <c r="B18" s="24" t="s">
        <v>45</v>
      </c>
      <c r="C18" s="4" t="s">
        <v>469</v>
      </c>
      <c r="D18" s="25">
        <f>'дод 2'!E20+'дод 2'!E81+'дод 2'!E163+'дод 2'!E200+'дод 2'!E244+'дод 2'!E252+'дод 2'!E272+'дод 2'!E327+'дод 2'!E338+'дод 2'!E366+'дод 2'!E374+'дод 2'!E381+'дод 2'!E408+'дод 2'!E330+'дод 2'!E389+'дод 2'!E397+'дод 2'!E377+'дод 2'!E419</f>
        <v>338525496</v>
      </c>
      <c r="E18" s="25">
        <f>'дод 2'!F20+'дод 2'!F81+'дод 2'!F163+'дод 2'!F200+'дод 2'!F244+'дод 2'!F252+'дод 2'!F272+'дод 2'!F327+'дод 2'!F338+'дод 2'!F366+'дод 2'!F374+'дод 2'!F381+'дод 2'!F408+'дод 2'!F330+'дод 2'!F389+'дод 2'!F397+'дод 2'!F377+'дод 2'!F419</f>
        <v>338525496</v>
      </c>
      <c r="F18" s="25">
        <f>'дод 2'!G20+'дод 2'!G81+'дод 2'!G163+'дод 2'!G200+'дод 2'!G244+'дод 2'!G252+'дод 2'!G272+'дод 2'!G327+'дод 2'!G338+'дод 2'!G366+'дод 2'!G374+'дод 2'!G381+'дод 2'!G408+'дод 2'!G330+'дод 2'!G389+'дод 2'!G397+'дод 2'!G377+'дод 2'!G419</f>
        <v>254752868</v>
      </c>
      <c r="G18" s="25">
        <f>'дод 2'!H20+'дод 2'!H81+'дод 2'!H163+'дод 2'!H200+'дод 2'!H244+'дод 2'!H252+'дод 2'!H272+'дод 2'!H327+'дод 2'!H338+'дод 2'!H366+'дод 2'!H374+'дод 2'!H381+'дод 2'!H408+'дод 2'!H330+'дод 2'!H389+'дод 2'!H397+'дод 2'!H377+'дод 2'!H419</f>
        <v>11292400</v>
      </c>
      <c r="H18" s="25">
        <f>'дод 2'!I20+'дод 2'!I81+'дод 2'!I163+'дод 2'!I200+'дод 2'!I244+'дод 2'!I252+'дод 2'!I272+'дод 2'!I327+'дод 2'!I338+'дод 2'!I366+'дод 2'!I374+'дод 2'!I381+'дод 2'!I408+'дод 2'!I330+'дод 2'!I389+'дод 2'!I397+'дод 2'!I377+'дод 2'!I419</f>
        <v>0</v>
      </c>
      <c r="I18" s="25">
        <f>'дод 2'!J20+'дод 2'!J81+'дод 2'!J163+'дод 2'!J200+'дод 2'!J244+'дод 2'!J252+'дод 2'!J272+'дод 2'!J327+'дод 2'!J338+'дод 2'!J366+'дод 2'!J374+'дод 2'!J381+'дод 2'!J408+'дод 2'!J330+'дод 2'!J389+'дод 2'!J397+'дод 2'!J377+'дод 2'!J419</f>
        <v>151445583.83000001</v>
      </c>
      <c r="J18" s="25">
        <f>'дод 2'!K20+'дод 2'!K81+'дод 2'!K163+'дод 2'!K200+'дод 2'!K244+'дод 2'!K252+'дод 2'!K272+'дод 2'!K327+'дод 2'!K338+'дод 2'!K366+'дод 2'!K374+'дод 2'!K381+'дод 2'!K408+'дод 2'!K330+'дод 2'!K389+'дод 2'!K397+'дод 2'!K377+'дод 2'!K419</f>
        <v>116420333.86999996</v>
      </c>
      <c r="K18" s="25">
        <f>'дод 2'!L20+'дод 2'!L81+'дод 2'!L163+'дод 2'!L200+'дод 2'!L244+'дод 2'!L252+'дод 2'!L272+'дод 2'!L327+'дод 2'!L338+'дод 2'!L366+'дод 2'!L374+'дод 2'!L381+'дод 2'!L408+'дод 2'!L330+'дод 2'!L389+'дод 2'!L397+'дод 2'!L377+'дод 2'!L419</f>
        <v>3975329.16</v>
      </c>
      <c r="L18" s="120">
        <f t="shared" si="2"/>
        <v>44.736832415718553</v>
      </c>
      <c r="M18" s="25">
        <f>'дод 2'!N20+'дод 2'!N81+'дод 2'!N163+'дод 2'!N200+'дод 2'!N244+'дод 2'!N252+'дод 2'!N272+'дод 2'!N327+'дод 2'!N338+'дод 2'!N366+'дод 2'!N374+'дод 2'!N381+'дод 2'!N408+'дод 2'!N330+'дод 2'!N389+'дод 2'!N397+'дод 2'!N377+'дод 2'!N419</f>
        <v>15309879</v>
      </c>
      <c r="N18" s="25">
        <f>'дод 2'!O20+'дод 2'!O81+'дод 2'!O163+'дод 2'!O200+'дод 2'!O244+'дод 2'!O252+'дод 2'!O272+'дод 2'!O327+'дод 2'!O338+'дод 2'!O366+'дод 2'!O374+'дод 2'!O381+'дод 2'!O408+'дод 2'!O330+'дод 2'!O389+'дод 2'!O397+'дод 2'!O377+'дод 2'!O419</f>
        <v>14940879</v>
      </c>
      <c r="O18" s="25">
        <f>'дод 2'!P20+'дод 2'!P81+'дод 2'!P163+'дод 2'!P200+'дод 2'!P244+'дод 2'!P252+'дод 2'!P272+'дод 2'!P327+'дод 2'!P338+'дод 2'!P366+'дод 2'!P374+'дод 2'!P381+'дод 2'!P408+'дод 2'!P330+'дод 2'!P389+'дод 2'!P397+'дод 2'!P377+'дод 2'!P419</f>
        <v>369000</v>
      </c>
      <c r="P18" s="25">
        <f>'дод 2'!Q20+'дод 2'!Q81+'дод 2'!Q163+'дод 2'!Q200+'дод 2'!Q244+'дод 2'!Q252+'дод 2'!Q272+'дод 2'!Q327+'дод 2'!Q338+'дод 2'!Q366+'дод 2'!Q374+'дод 2'!Q381+'дод 2'!Q408+'дод 2'!Q330+'дод 2'!Q389+'дод 2'!Q397+'дод 2'!Q377+'дод 2'!Q419</f>
        <v>0</v>
      </c>
      <c r="Q18" s="25">
        <f>'дод 2'!R20+'дод 2'!R81+'дод 2'!R163+'дод 2'!R200+'дод 2'!R244+'дод 2'!R252+'дод 2'!R272+'дод 2'!R327+'дод 2'!R338+'дод 2'!R366+'дод 2'!R374+'дод 2'!R381+'дод 2'!R408+'дод 2'!R330+'дод 2'!R389+'дод 2'!R397+'дод 2'!R377+'дод 2'!R419</f>
        <v>208200</v>
      </c>
      <c r="R18" s="25">
        <f>'дод 2'!S20+'дод 2'!S81+'дод 2'!S163+'дод 2'!S200+'дод 2'!S244+'дод 2'!S252+'дод 2'!S272+'дод 2'!S327+'дод 2'!S338+'дод 2'!S366+'дод 2'!S374+'дод 2'!S381+'дод 2'!S408+'дод 2'!S330+'дод 2'!S389+'дод 2'!S397+'дод 2'!S377+'дод 2'!S419</f>
        <v>14940879</v>
      </c>
      <c r="S18" s="25">
        <f>'дод 2'!T20+'дод 2'!T81+'дод 2'!T163+'дод 2'!T200+'дод 2'!T244+'дод 2'!T252+'дод 2'!T272+'дод 2'!T327+'дод 2'!T338+'дод 2'!T366+'дод 2'!T374+'дод 2'!T381+'дод 2'!T408+'дод 2'!T330+'дод 2'!T389+'дод 2'!T397+'дод 2'!T377+'дод 2'!T419</f>
        <v>353835375</v>
      </c>
      <c r="T18" s="25">
        <f>'дод 2'!U20+'дод 2'!U81+'дод 2'!U163+'дод 2'!U200+'дод 2'!U244+'дод 2'!U252+'дод 2'!U272+'дод 2'!U327+'дод 2'!U338+'дод 2'!U366+'дод 2'!U374+'дод 2'!U381+'дод 2'!U408+'дод 2'!U330+'дод 2'!U389+'дод 2'!U397+'дод 2'!U377+'дод 2'!U419</f>
        <v>9345742.5899999999</v>
      </c>
      <c r="U18" s="25">
        <f>'дод 2'!V20+'дод 2'!V81+'дод 2'!V163+'дод 2'!V200+'дод 2'!V244+'дод 2'!V252+'дод 2'!V272+'дод 2'!V327+'дод 2'!V338+'дод 2'!V366+'дод 2'!V374+'дод 2'!V381+'дод 2'!V408+'дод 2'!V330+'дод 2'!V389+'дод 2'!V397+'дод 2'!V377+'дод 2'!V419</f>
        <v>1260688.26</v>
      </c>
      <c r="V18" s="25">
        <f>'дод 2'!W20+'дод 2'!W81+'дод 2'!W163+'дод 2'!W200+'дод 2'!W244+'дод 2'!W252+'дод 2'!W272+'дод 2'!W327+'дод 2'!W338+'дод 2'!W366+'дод 2'!W374+'дод 2'!W381+'дод 2'!W408+'дод 2'!W330+'дод 2'!W389+'дод 2'!W397+'дод 2'!W377+'дод 2'!W419</f>
        <v>4904617.6700000009</v>
      </c>
      <c r="W18" s="25">
        <f>'дод 2'!X20+'дод 2'!X81+'дод 2'!X163+'дод 2'!X200+'дод 2'!X244+'дод 2'!X252+'дод 2'!X272+'дод 2'!X327+'дод 2'!X338+'дод 2'!X366+'дод 2'!X374+'дод 2'!X381+'дод 2'!X408+'дод 2'!X330+'дод 2'!X389+'дод 2'!X397+'дод 2'!X377+'дод 2'!X419</f>
        <v>287388.33</v>
      </c>
      <c r="X18" s="25">
        <f>'дод 2'!Y20+'дод 2'!Y81+'дод 2'!Y163+'дод 2'!Y200+'дод 2'!Y244+'дод 2'!Y252+'дод 2'!Y272+'дод 2'!Y327+'дод 2'!Y338+'дод 2'!Y366+'дод 2'!Y374+'дод 2'!Y381+'дод 2'!Y408+'дод 2'!Y330+'дод 2'!Y389+'дод 2'!Y397+'дод 2'!Y377+'дод 2'!Y419</f>
        <v>88434.61</v>
      </c>
      <c r="Y18" s="25">
        <f>'дод 2'!Z20+'дод 2'!Z81+'дод 2'!Z163+'дод 2'!Z200+'дод 2'!Z244+'дод 2'!Z252+'дод 2'!Z272+'дод 2'!Z327+'дод 2'!Z338+'дод 2'!Z366+'дод 2'!Z374+'дод 2'!Z381+'дод 2'!Z408+'дод 2'!Z330+'дод 2'!Z389+'дод 2'!Z397+'дод 2'!Z377+'дод 2'!Z419</f>
        <v>4441124.92</v>
      </c>
      <c r="Z18" s="120">
        <f t="shared" si="3"/>
        <v>61.043869713144041</v>
      </c>
      <c r="AA18" s="25">
        <f t="shared" si="4"/>
        <v>160791326.42000002</v>
      </c>
    </row>
    <row r="19" spans="1:27" ht="33" hidden="1" customHeight="1" x14ac:dyDescent="0.25">
      <c r="A19" s="26" t="s">
        <v>89</v>
      </c>
      <c r="B19" s="26" t="s">
        <v>440</v>
      </c>
      <c r="C19" s="4" t="s">
        <v>431</v>
      </c>
      <c r="D19" s="25">
        <f>'дод 2'!E21</f>
        <v>0</v>
      </c>
      <c r="E19" s="25">
        <f>'дод 2'!F21</f>
        <v>0</v>
      </c>
      <c r="F19" s="25">
        <f>'дод 2'!G21</f>
        <v>0</v>
      </c>
      <c r="G19" s="25">
        <f>'дод 2'!H21</f>
        <v>0</v>
      </c>
      <c r="H19" s="25">
        <f>'дод 2'!I21</f>
        <v>0</v>
      </c>
      <c r="I19" s="25">
        <f>'дод 2'!J21</f>
        <v>0</v>
      </c>
      <c r="J19" s="25">
        <f>'дод 2'!K21</f>
        <v>0</v>
      </c>
      <c r="K19" s="25">
        <f>'дод 2'!L21</f>
        <v>0</v>
      </c>
      <c r="L19" s="120" t="e">
        <f t="shared" si="2"/>
        <v>#DIV/0!</v>
      </c>
      <c r="M19" s="25">
        <f>'дод 2'!N21</f>
        <v>0</v>
      </c>
      <c r="N19" s="25">
        <f>'дод 2'!O21</f>
        <v>0</v>
      </c>
      <c r="O19" s="25">
        <f>'дод 2'!P21</f>
        <v>0</v>
      </c>
      <c r="P19" s="25">
        <f>'дод 2'!Q21</f>
        <v>0</v>
      </c>
      <c r="Q19" s="25">
        <f>'дод 2'!R21</f>
        <v>0</v>
      </c>
      <c r="R19" s="25">
        <f>'дод 2'!S21</f>
        <v>0</v>
      </c>
      <c r="S19" s="25">
        <f>'дод 2'!T21</f>
        <v>0</v>
      </c>
      <c r="T19" s="25">
        <f>'дод 2'!U21</f>
        <v>0</v>
      </c>
      <c r="U19" s="25">
        <f>'дод 2'!V21</f>
        <v>0</v>
      </c>
      <c r="V19" s="25">
        <f>'дод 2'!W21</f>
        <v>0</v>
      </c>
      <c r="W19" s="25">
        <f>'дод 2'!X21</f>
        <v>0</v>
      </c>
      <c r="X19" s="25">
        <f>'дод 2'!Y21</f>
        <v>0</v>
      </c>
      <c r="Y19" s="25">
        <f>'дод 2'!Z21</f>
        <v>0</v>
      </c>
      <c r="Z19" s="120" t="e">
        <f t="shared" si="3"/>
        <v>#DIV/0!</v>
      </c>
      <c r="AA19" s="25">
        <f t="shared" si="4"/>
        <v>0</v>
      </c>
    </row>
    <row r="20" spans="1:27" ht="22.5" customHeight="1" x14ac:dyDescent="0.25">
      <c r="A20" s="24" t="s">
        <v>44</v>
      </c>
      <c r="B20" s="24" t="s">
        <v>92</v>
      </c>
      <c r="C20" s="4" t="s">
        <v>239</v>
      </c>
      <c r="D20" s="25">
        <f>'дод 2'!E22+'дод 2'!E201+'дод 2'!E273</f>
        <v>2018600</v>
      </c>
      <c r="E20" s="25">
        <f>'дод 2'!F22+'дод 2'!F201+'дод 2'!F273</f>
        <v>2018600</v>
      </c>
      <c r="F20" s="25">
        <f>'дод 2'!G22+'дод 2'!G201+'дод 2'!G273</f>
        <v>0</v>
      </c>
      <c r="G20" s="25">
        <f>'дод 2'!H22+'дод 2'!H201+'дод 2'!H273</f>
        <v>0</v>
      </c>
      <c r="H20" s="25">
        <f>'дод 2'!I22+'дод 2'!I201+'дод 2'!I273</f>
        <v>0</v>
      </c>
      <c r="I20" s="25">
        <f>'дод 2'!J22+'дод 2'!J201+'дод 2'!J273</f>
        <v>782544.24</v>
      </c>
      <c r="J20" s="25">
        <f>'дод 2'!K22+'дод 2'!K201+'дод 2'!K273</f>
        <v>0</v>
      </c>
      <c r="K20" s="25">
        <f>'дод 2'!L22+'дод 2'!L201+'дод 2'!L273</f>
        <v>0</v>
      </c>
      <c r="L20" s="120">
        <f t="shared" si="2"/>
        <v>38.766681858713959</v>
      </c>
      <c r="M20" s="25">
        <f>'дод 2'!N22+'дод 2'!N201+'дод 2'!N273</f>
        <v>0</v>
      </c>
      <c r="N20" s="25">
        <f>'дод 2'!O22+'дод 2'!O201+'дод 2'!O273</f>
        <v>0</v>
      </c>
      <c r="O20" s="25">
        <f>'дод 2'!P22+'дод 2'!P201+'дод 2'!P273</f>
        <v>0</v>
      </c>
      <c r="P20" s="25">
        <f>'дод 2'!Q22+'дод 2'!Q201+'дод 2'!Q273</f>
        <v>0</v>
      </c>
      <c r="Q20" s="25">
        <f>'дод 2'!R22+'дод 2'!R201+'дод 2'!R273</f>
        <v>0</v>
      </c>
      <c r="R20" s="25">
        <f>'дод 2'!S22+'дод 2'!S201+'дод 2'!S273</f>
        <v>0</v>
      </c>
      <c r="S20" s="25">
        <f>'дод 2'!T22+'дод 2'!T201+'дод 2'!T273</f>
        <v>2018600</v>
      </c>
      <c r="T20" s="25">
        <f>'дод 2'!U22+'дод 2'!U201+'дод 2'!U273</f>
        <v>0</v>
      </c>
      <c r="U20" s="25">
        <f>'дод 2'!V22+'дод 2'!V201+'дод 2'!V273</f>
        <v>0</v>
      </c>
      <c r="V20" s="25">
        <f>'дод 2'!W22+'дод 2'!W201+'дод 2'!W273</f>
        <v>0</v>
      </c>
      <c r="W20" s="25">
        <f>'дод 2'!X22+'дод 2'!X201+'дод 2'!X273</f>
        <v>0</v>
      </c>
      <c r="X20" s="25">
        <f>'дод 2'!Y22+'дод 2'!Y201+'дод 2'!Y273</f>
        <v>0</v>
      </c>
      <c r="Y20" s="25">
        <f>'дод 2'!Z22+'дод 2'!Z201+'дод 2'!Z273</f>
        <v>0</v>
      </c>
      <c r="Z20" s="120"/>
      <c r="AA20" s="25">
        <f t="shared" si="4"/>
        <v>782544.24</v>
      </c>
    </row>
    <row r="21" spans="1:27" ht="27" hidden="1" customHeight="1" x14ac:dyDescent="0.25">
      <c r="A21" s="26" t="s">
        <v>419</v>
      </c>
      <c r="B21" s="26" t="s">
        <v>117</v>
      </c>
      <c r="C21" s="4" t="s">
        <v>420</v>
      </c>
      <c r="D21" s="25">
        <f>'дод 2'!E23</f>
        <v>0</v>
      </c>
      <c r="E21" s="25">
        <f>'дод 2'!F23</f>
        <v>0</v>
      </c>
      <c r="F21" s="25">
        <f>'дод 2'!G23</f>
        <v>0</v>
      </c>
      <c r="G21" s="25">
        <f>'дод 2'!H23</f>
        <v>0</v>
      </c>
      <c r="H21" s="25">
        <f>'дод 2'!I23</f>
        <v>0</v>
      </c>
      <c r="I21" s="25">
        <f>'дод 2'!J23</f>
        <v>0</v>
      </c>
      <c r="J21" s="25">
        <f>'дод 2'!K23</f>
        <v>0</v>
      </c>
      <c r="K21" s="25">
        <f>'дод 2'!L23</f>
        <v>0</v>
      </c>
      <c r="L21" s="120" t="e">
        <f t="shared" si="2"/>
        <v>#DIV/0!</v>
      </c>
      <c r="M21" s="25">
        <f>'дод 2'!N23</f>
        <v>0</v>
      </c>
      <c r="N21" s="25">
        <f>'дод 2'!O23</f>
        <v>0</v>
      </c>
      <c r="O21" s="25">
        <f>'дод 2'!P23</f>
        <v>0</v>
      </c>
      <c r="P21" s="25">
        <f>'дод 2'!Q23</f>
        <v>0</v>
      </c>
      <c r="Q21" s="25">
        <f>'дод 2'!R23</f>
        <v>0</v>
      </c>
      <c r="R21" s="25">
        <f>'дод 2'!S23</f>
        <v>0</v>
      </c>
      <c r="S21" s="25">
        <f>'дод 2'!T23</f>
        <v>0</v>
      </c>
      <c r="T21" s="25">
        <f>'дод 2'!U23</f>
        <v>0</v>
      </c>
      <c r="U21" s="25">
        <f>'дод 2'!V23</f>
        <v>0</v>
      </c>
      <c r="V21" s="25">
        <f>'дод 2'!W23</f>
        <v>0</v>
      </c>
      <c r="W21" s="25">
        <f>'дод 2'!X23</f>
        <v>0</v>
      </c>
      <c r="X21" s="25">
        <f>'дод 2'!Y23</f>
        <v>0</v>
      </c>
      <c r="Y21" s="25">
        <f>'дод 2'!Z23</f>
        <v>0</v>
      </c>
      <c r="Z21" s="120" t="e">
        <f t="shared" si="3"/>
        <v>#DIV/0!</v>
      </c>
      <c r="AA21" s="25">
        <f t="shared" si="4"/>
        <v>0</v>
      </c>
    </row>
    <row r="22" spans="1:27" s="31" customFormat="1" ht="63" hidden="1" customHeight="1" x14ac:dyDescent="0.25">
      <c r="A22" s="27"/>
      <c r="B22" s="28"/>
      <c r="C22" s="29" t="s">
        <v>423</v>
      </c>
      <c r="D22" s="30">
        <f>'дод 2'!E24</f>
        <v>0</v>
      </c>
      <c r="E22" s="30">
        <f>'дод 2'!F24</f>
        <v>0</v>
      </c>
      <c r="F22" s="30">
        <f>'дод 2'!G24</f>
        <v>0</v>
      </c>
      <c r="G22" s="30">
        <f>'дод 2'!H24</f>
        <v>0</v>
      </c>
      <c r="H22" s="30">
        <f>'дод 2'!I24</f>
        <v>0</v>
      </c>
      <c r="I22" s="30">
        <f>'дод 2'!J24</f>
        <v>0</v>
      </c>
      <c r="J22" s="30">
        <f>'дод 2'!K24</f>
        <v>0</v>
      </c>
      <c r="K22" s="30">
        <f>'дод 2'!L24</f>
        <v>0</v>
      </c>
      <c r="L22" s="120" t="e">
        <f t="shared" si="2"/>
        <v>#DIV/0!</v>
      </c>
      <c r="M22" s="30">
        <f>'дод 2'!N24</f>
        <v>0</v>
      </c>
      <c r="N22" s="30">
        <f>'дод 2'!O24</f>
        <v>0</v>
      </c>
      <c r="O22" s="30">
        <f>'дод 2'!P24</f>
        <v>0</v>
      </c>
      <c r="P22" s="30">
        <f>'дод 2'!Q24</f>
        <v>0</v>
      </c>
      <c r="Q22" s="30">
        <f>'дод 2'!R24</f>
        <v>0</v>
      </c>
      <c r="R22" s="30">
        <f>'дод 2'!S24</f>
        <v>0</v>
      </c>
      <c r="S22" s="30">
        <f>'дод 2'!T24</f>
        <v>0</v>
      </c>
      <c r="T22" s="30">
        <f>'дод 2'!U24</f>
        <v>0</v>
      </c>
      <c r="U22" s="30">
        <f>'дод 2'!V24</f>
        <v>0</v>
      </c>
      <c r="V22" s="30">
        <f>'дод 2'!W24</f>
        <v>0</v>
      </c>
      <c r="W22" s="30">
        <f>'дод 2'!X24</f>
        <v>0</v>
      </c>
      <c r="X22" s="30">
        <f>'дод 2'!Y24</f>
        <v>0</v>
      </c>
      <c r="Y22" s="30">
        <f>'дод 2'!Z24</f>
        <v>0</v>
      </c>
      <c r="Z22" s="120" t="e">
        <f t="shared" si="3"/>
        <v>#DIV/0!</v>
      </c>
      <c r="AA22" s="25">
        <f t="shared" si="4"/>
        <v>0</v>
      </c>
    </row>
    <row r="23" spans="1:27" s="19" customFormat="1" ht="18.75" customHeight="1" x14ac:dyDescent="0.25">
      <c r="A23" s="32" t="s">
        <v>46</v>
      </c>
      <c r="B23" s="33"/>
      <c r="C23" s="22" t="s">
        <v>627</v>
      </c>
      <c r="D23" s="23">
        <f>D36+D38+D46+D48+D49+D52+D54+D56+D59+D61+D62+D66+D67+D68+D69+D71+D72+D73+D75+D77+D79+D81+D63+D64+D86+D87+D90+D89+D84+D83</f>
        <v>1540260798.1300001</v>
      </c>
      <c r="E23" s="23">
        <f t="shared" ref="E23:Y23" si="5">E36+E38+E46+E48+E49+E52+E54+E56+E59+E61+E62+E66+E67+E68+E69+E71+E72+E73+E75+E77+E79+E81+E63+E64+E86+E87+E90+E89+E84+E83</f>
        <v>1540260798.1300001</v>
      </c>
      <c r="F23" s="23">
        <f t="shared" si="5"/>
        <v>1071546084</v>
      </c>
      <c r="G23" s="23">
        <f t="shared" si="5"/>
        <v>142376600</v>
      </c>
      <c r="H23" s="23">
        <f t="shared" si="5"/>
        <v>0</v>
      </c>
      <c r="I23" s="23">
        <f t="shared" si="5"/>
        <v>785258447.83000004</v>
      </c>
      <c r="J23" s="23">
        <f t="shared" si="5"/>
        <v>553343699.94999993</v>
      </c>
      <c r="K23" s="23">
        <f t="shared" si="5"/>
        <v>74907289.129999995</v>
      </c>
      <c r="L23" s="123">
        <f t="shared" si="2"/>
        <v>50.982174498199697</v>
      </c>
      <c r="M23" s="23">
        <f t="shared" si="5"/>
        <v>258981448</v>
      </c>
      <c r="N23" s="23">
        <f t="shared" si="5"/>
        <v>139116120.65000001</v>
      </c>
      <c r="O23" s="23">
        <f t="shared" si="5"/>
        <v>111651420</v>
      </c>
      <c r="P23" s="23">
        <f t="shared" si="5"/>
        <v>9759935</v>
      </c>
      <c r="Q23" s="23">
        <f t="shared" si="5"/>
        <v>5594400</v>
      </c>
      <c r="R23" s="23">
        <f t="shared" si="5"/>
        <v>147330028</v>
      </c>
      <c r="S23" s="23">
        <f t="shared" si="5"/>
        <v>1799242246.1300001</v>
      </c>
      <c r="T23" s="23">
        <f t="shared" si="5"/>
        <v>104763249.33</v>
      </c>
      <c r="U23" s="23">
        <f t="shared" si="5"/>
        <v>50111824.990000002</v>
      </c>
      <c r="V23" s="23">
        <f t="shared" si="5"/>
        <v>45779519.120000005</v>
      </c>
      <c r="W23" s="23">
        <f t="shared" si="5"/>
        <v>8165360.1899999995</v>
      </c>
      <c r="X23" s="23">
        <f t="shared" si="5"/>
        <v>2458013.3199999998</v>
      </c>
      <c r="Y23" s="23">
        <f t="shared" si="5"/>
        <v>58983730.210000008</v>
      </c>
      <c r="Z23" s="123">
        <f t="shared" si="3"/>
        <v>40.452028567698797</v>
      </c>
      <c r="AA23" s="23">
        <f t="shared" si="4"/>
        <v>890021697.16000009</v>
      </c>
    </row>
    <row r="24" spans="1:27" s="37" customFormat="1" ht="30.75" customHeight="1" x14ac:dyDescent="0.25">
      <c r="A24" s="34"/>
      <c r="B24" s="7"/>
      <c r="C24" s="35" t="s">
        <v>383</v>
      </c>
      <c r="D24" s="36">
        <f>D50+D53+D55+D65</f>
        <v>551078300</v>
      </c>
      <c r="E24" s="36">
        <f t="shared" ref="E24:Y24" si="6">E50+E53+E55+E65</f>
        <v>551078300</v>
      </c>
      <c r="F24" s="36">
        <f t="shared" si="6"/>
        <v>452384600</v>
      </c>
      <c r="G24" s="36">
        <f t="shared" si="6"/>
        <v>0</v>
      </c>
      <c r="H24" s="36">
        <f t="shared" si="6"/>
        <v>0</v>
      </c>
      <c r="I24" s="36">
        <f t="shared" si="6"/>
        <v>310317789.67000002</v>
      </c>
      <c r="J24" s="36">
        <f t="shared" si="6"/>
        <v>255175308.95000002</v>
      </c>
      <c r="K24" s="36">
        <f t="shared" si="6"/>
        <v>0</v>
      </c>
      <c r="L24" s="124">
        <f t="shared" si="2"/>
        <v>56.31101599718226</v>
      </c>
      <c r="M24" s="36">
        <f t="shared" si="6"/>
        <v>0</v>
      </c>
      <c r="N24" s="36">
        <f t="shared" si="6"/>
        <v>0</v>
      </c>
      <c r="O24" s="36">
        <f t="shared" si="6"/>
        <v>0</v>
      </c>
      <c r="P24" s="36">
        <f t="shared" si="6"/>
        <v>0</v>
      </c>
      <c r="Q24" s="36">
        <f t="shared" si="6"/>
        <v>0</v>
      </c>
      <c r="R24" s="36">
        <f t="shared" si="6"/>
        <v>0</v>
      </c>
      <c r="S24" s="36">
        <f t="shared" si="6"/>
        <v>551078300</v>
      </c>
      <c r="T24" s="36">
        <f t="shared" si="6"/>
        <v>0</v>
      </c>
      <c r="U24" s="36">
        <f t="shared" si="6"/>
        <v>0</v>
      </c>
      <c r="V24" s="36">
        <f t="shared" si="6"/>
        <v>0</v>
      </c>
      <c r="W24" s="36">
        <f t="shared" si="6"/>
        <v>0</v>
      </c>
      <c r="X24" s="36">
        <f t="shared" si="6"/>
        <v>0</v>
      </c>
      <c r="Y24" s="36">
        <f t="shared" si="6"/>
        <v>0</v>
      </c>
      <c r="Z24" s="120"/>
      <c r="AA24" s="36">
        <f t="shared" si="4"/>
        <v>310317789.67000002</v>
      </c>
    </row>
    <row r="25" spans="1:27" s="37" customFormat="1" ht="31.5" customHeight="1" x14ac:dyDescent="0.25">
      <c r="A25" s="34"/>
      <c r="B25" s="7"/>
      <c r="C25" s="8" t="s">
        <v>598</v>
      </c>
      <c r="D25" s="36">
        <f>D58</f>
        <v>351767.89</v>
      </c>
      <c r="E25" s="36">
        <f t="shared" ref="E25:Y25" si="7">E58</f>
        <v>351767.89</v>
      </c>
      <c r="F25" s="36">
        <f t="shared" si="7"/>
        <v>290000</v>
      </c>
      <c r="G25" s="36">
        <f t="shared" si="7"/>
        <v>0</v>
      </c>
      <c r="H25" s="36">
        <f t="shared" si="7"/>
        <v>0</v>
      </c>
      <c r="I25" s="36">
        <f t="shared" si="7"/>
        <v>351767.89</v>
      </c>
      <c r="J25" s="36">
        <f t="shared" si="7"/>
        <v>290000</v>
      </c>
      <c r="K25" s="36">
        <f t="shared" si="7"/>
        <v>0</v>
      </c>
      <c r="L25" s="124">
        <f t="shared" si="2"/>
        <v>100</v>
      </c>
      <c r="M25" s="36">
        <f t="shared" si="7"/>
        <v>0</v>
      </c>
      <c r="N25" s="36">
        <f t="shared" si="7"/>
        <v>0</v>
      </c>
      <c r="O25" s="36">
        <f t="shared" si="7"/>
        <v>0</v>
      </c>
      <c r="P25" s="36">
        <f t="shared" si="7"/>
        <v>0</v>
      </c>
      <c r="Q25" s="36">
        <f t="shared" si="7"/>
        <v>0</v>
      </c>
      <c r="R25" s="36">
        <f t="shared" si="7"/>
        <v>0</v>
      </c>
      <c r="S25" s="36">
        <f t="shared" si="7"/>
        <v>351767.89</v>
      </c>
      <c r="T25" s="36">
        <f t="shared" si="7"/>
        <v>0</v>
      </c>
      <c r="U25" s="36">
        <f t="shared" si="7"/>
        <v>0</v>
      </c>
      <c r="V25" s="36">
        <f t="shared" si="7"/>
        <v>0</v>
      </c>
      <c r="W25" s="36">
        <f t="shared" si="7"/>
        <v>0</v>
      </c>
      <c r="X25" s="36">
        <f t="shared" si="7"/>
        <v>0</v>
      </c>
      <c r="Y25" s="36">
        <f t="shared" si="7"/>
        <v>0</v>
      </c>
      <c r="Z25" s="120"/>
      <c r="AA25" s="36">
        <f t="shared" si="4"/>
        <v>351767.89</v>
      </c>
    </row>
    <row r="26" spans="1:27" s="37" customFormat="1" ht="54.4" customHeight="1" x14ac:dyDescent="0.25">
      <c r="A26" s="34"/>
      <c r="B26" s="7"/>
      <c r="C26" s="8" t="s">
        <v>700</v>
      </c>
      <c r="D26" s="36">
        <f>D85</f>
        <v>2843700</v>
      </c>
      <c r="E26" s="36">
        <f t="shared" ref="E26:Y26" si="8">E85</f>
        <v>2843700</v>
      </c>
      <c r="F26" s="36">
        <f t="shared" si="8"/>
        <v>0</v>
      </c>
      <c r="G26" s="36">
        <f t="shared" si="8"/>
        <v>0</v>
      </c>
      <c r="H26" s="36">
        <f t="shared" si="8"/>
        <v>0</v>
      </c>
      <c r="I26" s="36">
        <f t="shared" si="8"/>
        <v>0</v>
      </c>
      <c r="J26" s="36">
        <f t="shared" si="8"/>
        <v>0</v>
      </c>
      <c r="K26" s="36">
        <f t="shared" si="8"/>
        <v>0</v>
      </c>
      <c r="L26" s="124">
        <f t="shared" si="2"/>
        <v>0</v>
      </c>
      <c r="M26" s="36">
        <f t="shared" si="8"/>
        <v>5556300</v>
      </c>
      <c r="N26" s="36">
        <f t="shared" si="8"/>
        <v>5556300</v>
      </c>
      <c r="O26" s="36">
        <f t="shared" si="8"/>
        <v>0</v>
      </c>
      <c r="P26" s="36">
        <f t="shared" si="8"/>
        <v>0</v>
      </c>
      <c r="Q26" s="36">
        <f t="shared" si="8"/>
        <v>0</v>
      </c>
      <c r="R26" s="36">
        <f t="shared" si="8"/>
        <v>5556300</v>
      </c>
      <c r="S26" s="36">
        <f t="shared" si="8"/>
        <v>8400000</v>
      </c>
      <c r="T26" s="36">
        <f t="shared" si="8"/>
        <v>0</v>
      </c>
      <c r="U26" s="36">
        <f t="shared" si="8"/>
        <v>0</v>
      </c>
      <c r="V26" s="36">
        <f t="shared" si="8"/>
        <v>0</v>
      </c>
      <c r="W26" s="36">
        <f t="shared" si="8"/>
        <v>0</v>
      </c>
      <c r="X26" s="36">
        <f t="shared" si="8"/>
        <v>0</v>
      </c>
      <c r="Y26" s="36">
        <f t="shared" si="8"/>
        <v>0</v>
      </c>
      <c r="Z26" s="120"/>
      <c r="AA26" s="36">
        <f t="shared" si="4"/>
        <v>0</v>
      </c>
    </row>
    <row r="27" spans="1:27" s="37" customFormat="1" ht="47.25" x14ac:dyDescent="0.25">
      <c r="A27" s="34"/>
      <c r="B27" s="7"/>
      <c r="C27" s="35" t="s">
        <v>378</v>
      </c>
      <c r="D27" s="36">
        <f>D51+D70</f>
        <v>4320175</v>
      </c>
      <c r="E27" s="36">
        <f t="shared" ref="E27:Y27" si="9">E51+E70</f>
        <v>4320175</v>
      </c>
      <c r="F27" s="36">
        <f t="shared" si="9"/>
        <v>1714570</v>
      </c>
      <c r="G27" s="36">
        <f t="shared" si="9"/>
        <v>0</v>
      </c>
      <c r="H27" s="36">
        <f t="shared" si="9"/>
        <v>0</v>
      </c>
      <c r="I27" s="36">
        <f t="shared" si="9"/>
        <v>1597623.1600000001</v>
      </c>
      <c r="J27" s="36">
        <f t="shared" si="9"/>
        <v>817087.62</v>
      </c>
      <c r="K27" s="36">
        <f t="shared" si="9"/>
        <v>0</v>
      </c>
      <c r="L27" s="124">
        <f t="shared" si="2"/>
        <v>36.980519539139046</v>
      </c>
      <c r="M27" s="36">
        <f t="shared" si="9"/>
        <v>0</v>
      </c>
      <c r="N27" s="36">
        <f t="shared" si="9"/>
        <v>0</v>
      </c>
      <c r="O27" s="36">
        <f t="shared" si="9"/>
        <v>0</v>
      </c>
      <c r="P27" s="36">
        <f t="shared" si="9"/>
        <v>0</v>
      </c>
      <c r="Q27" s="36">
        <f t="shared" si="9"/>
        <v>0</v>
      </c>
      <c r="R27" s="36">
        <f t="shared" si="9"/>
        <v>0</v>
      </c>
      <c r="S27" s="36">
        <f t="shared" si="9"/>
        <v>4320175</v>
      </c>
      <c r="T27" s="36">
        <f t="shared" si="9"/>
        <v>0</v>
      </c>
      <c r="U27" s="36">
        <f t="shared" si="9"/>
        <v>0</v>
      </c>
      <c r="V27" s="36">
        <f t="shared" si="9"/>
        <v>0</v>
      </c>
      <c r="W27" s="36">
        <f t="shared" si="9"/>
        <v>0</v>
      </c>
      <c r="X27" s="36">
        <f t="shared" si="9"/>
        <v>0</v>
      </c>
      <c r="Y27" s="36">
        <f t="shared" si="9"/>
        <v>0</v>
      </c>
      <c r="Z27" s="120"/>
      <c r="AA27" s="36">
        <f t="shared" si="4"/>
        <v>1597623.1600000001</v>
      </c>
    </row>
    <row r="28" spans="1:27" s="37" customFormat="1" ht="47.25" customHeight="1" x14ac:dyDescent="0.25">
      <c r="A28" s="34"/>
      <c r="B28" s="7"/>
      <c r="C28" s="35" t="s">
        <v>380</v>
      </c>
      <c r="D28" s="36">
        <f>D57+D91</f>
        <v>0</v>
      </c>
      <c r="E28" s="36">
        <f t="shared" ref="E28:Y28" si="10">E57+E91</f>
        <v>0</v>
      </c>
      <c r="F28" s="36">
        <f t="shared" si="10"/>
        <v>0</v>
      </c>
      <c r="G28" s="36">
        <f t="shared" si="10"/>
        <v>0</v>
      </c>
      <c r="H28" s="36">
        <f t="shared" si="10"/>
        <v>0</v>
      </c>
      <c r="I28" s="36">
        <f t="shared" si="10"/>
        <v>0</v>
      </c>
      <c r="J28" s="36">
        <f t="shared" si="10"/>
        <v>0</v>
      </c>
      <c r="K28" s="36">
        <f t="shared" si="10"/>
        <v>0</v>
      </c>
      <c r="L28" s="124"/>
      <c r="M28" s="36">
        <f t="shared" si="10"/>
        <v>7490430</v>
      </c>
      <c r="N28" s="36">
        <f t="shared" si="10"/>
        <v>0</v>
      </c>
      <c r="O28" s="36">
        <f t="shared" si="10"/>
        <v>262064</v>
      </c>
      <c r="P28" s="36">
        <f t="shared" si="10"/>
        <v>0</v>
      </c>
      <c r="Q28" s="36">
        <f t="shared" si="10"/>
        <v>0</v>
      </c>
      <c r="R28" s="36">
        <f t="shared" si="10"/>
        <v>7228366</v>
      </c>
      <c r="S28" s="36">
        <f t="shared" si="10"/>
        <v>7490430</v>
      </c>
      <c r="T28" s="36">
        <f t="shared" si="10"/>
        <v>0</v>
      </c>
      <c r="U28" s="36">
        <f t="shared" si="10"/>
        <v>0</v>
      </c>
      <c r="V28" s="36">
        <f t="shared" si="10"/>
        <v>0</v>
      </c>
      <c r="W28" s="36">
        <f t="shared" si="10"/>
        <v>0</v>
      </c>
      <c r="X28" s="36">
        <f t="shared" si="10"/>
        <v>0</v>
      </c>
      <c r="Y28" s="36">
        <f t="shared" si="10"/>
        <v>0</v>
      </c>
      <c r="Z28" s="120">
        <f t="shared" si="3"/>
        <v>0</v>
      </c>
      <c r="AA28" s="36">
        <f t="shared" si="4"/>
        <v>0</v>
      </c>
    </row>
    <row r="29" spans="1:27" s="37" customFormat="1" ht="53.25" customHeight="1" x14ac:dyDescent="0.25">
      <c r="A29" s="34"/>
      <c r="B29" s="7"/>
      <c r="C29" s="8" t="s">
        <v>694</v>
      </c>
      <c r="D29" s="36">
        <f>D80</f>
        <v>1331125</v>
      </c>
      <c r="E29" s="36">
        <f t="shared" ref="E29:Y29" si="11">E80</f>
        <v>1331125</v>
      </c>
      <c r="F29" s="36">
        <f t="shared" si="11"/>
        <v>1091086</v>
      </c>
      <c r="G29" s="36">
        <f t="shared" si="11"/>
        <v>0</v>
      </c>
      <c r="H29" s="36">
        <f t="shared" si="11"/>
        <v>0</v>
      </c>
      <c r="I29" s="36">
        <f t="shared" si="11"/>
        <v>996666.68</v>
      </c>
      <c r="J29" s="36">
        <f t="shared" si="11"/>
        <v>816936.14</v>
      </c>
      <c r="K29" s="36">
        <f t="shared" si="11"/>
        <v>0</v>
      </c>
      <c r="L29" s="124">
        <f t="shared" si="2"/>
        <v>74.874011080852668</v>
      </c>
      <c r="M29" s="36">
        <f t="shared" si="11"/>
        <v>0</v>
      </c>
      <c r="N29" s="36">
        <f t="shared" si="11"/>
        <v>0</v>
      </c>
      <c r="O29" s="36">
        <f t="shared" si="11"/>
        <v>0</v>
      </c>
      <c r="P29" s="36">
        <f t="shared" si="11"/>
        <v>0</v>
      </c>
      <c r="Q29" s="36">
        <f t="shared" si="11"/>
        <v>0</v>
      </c>
      <c r="R29" s="36">
        <f t="shared" si="11"/>
        <v>0</v>
      </c>
      <c r="S29" s="36">
        <f t="shared" si="11"/>
        <v>1331125</v>
      </c>
      <c r="T29" s="36">
        <f t="shared" si="11"/>
        <v>0</v>
      </c>
      <c r="U29" s="36">
        <f t="shared" si="11"/>
        <v>0</v>
      </c>
      <c r="V29" s="36">
        <f t="shared" si="11"/>
        <v>0</v>
      </c>
      <c r="W29" s="36">
        <f t="shared" si="11"/>
        <v>0</v>
      </c>
      <c r="X29" s="36">
        <f t="shared" si="11"/>
        <v>0</v>
      </c>
      <c r="Y29" s="36">
        <f t="shared" si="11"/>
        <v>0</v>
      </c>
      <c r="Z29" s="120"/>
      <c r="AA29" s="36">
        <f t="shared" si="4"/>
        <v>996666.68</v>
      </c>
    </row>
    <row r="30" spans="1:27" s="37" customFormat="1" ht="63" hidden="1" customHeight="1" x14ac:dyDescent="0.25">
      <c r="A30" s="34"/>
      <c r="B30" s="7"/>
      <c r="C30" s="35" t="s">
        <v>379</v>
      </c>
      <c r="D30" s="36"/>
      <c r="E30" s="36"/>
      <c r="F30" s="36"/>
      <c r="G30" s="36"/>
      <c r="H30" s="36"/>
      <c r="I30" s="36"/>
      <c r="J30" s="36"/>
      <c r="K30" s="36"/>
      <c r="L30" s="124" t="e">
        <f t="shared" si="2"/>
        <v>#DIV/0!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20" t="e">
        <f t="shared" si="3"/>
        <v>#DIV/0!</v>
      </c>
      <c r="AA30" s="36">
        <f t="shared" si="4"/>
        <v>0</v>
      </c>
    </row>
    <row r="31" spans="1:27" s="37" customFormat="1" ht="63" customHeight="1" x14ac:dyDescent="0.25">
      <c r="A31" s="34"/>
      <c r="B31" s="34"/>
      <c r="C31" s="8" t="s">
        <v>695</v>
      </c>
      <c r="D31" s="36">
        <f>D82</f>
        <v>714100.24</v>
      </c>
      <c r="E31" s="36">
        <f t="shared" ref="E31:Y31" si="12">E82</f>
        <v>714100.24</v>
      </c>
      <c r="F31" s="36">
        <f t="shared" si="12"/>
        <v>585328</v>
      </c>
      <c r="G31" s="36">
        <f t="shared" si="12"/>
        <v>0</v>
      </c>
      <c r="H31" s="36">
        <f t="shared" si="12"/>
        <v>0</v>
      </c>
      <c r="I31" s="36">
        <f t="shared" si="12"/>
        <v>714066.65</v>
      </c>
      <c r="J31" s="36">
        <f t="shared" si="12"/>
        <v>585304.28</v>
      </c>
      <c r="K31" s="36">
        <f t="shared" si="12"/>
        <v>0</v>
      </c>
      <c r="L31" s="124">
        <f t="shared" si="2"/>
        <v>99.995296178586926</v>
      </c>
      <c r="M31" s="36">
        <f t="shared" si="12"/>
        <v>0</v>
      </c>
      <c r="N31" s="36">
        <f t="shared" si="12"/>
        <v>0</v>
      </c>
      <c r="O31" s="36">
        <f t="shared" si="12"/>
        <v>0</v>
      </c>
      <c r="P31" s="36">
        <f t="shared" si="12"/>
        <v>0</v>
      </c>
      <c r="Q31" s="36">
        <f t="shared" si="12"/>
        <v>0</v>
      </c>
      <c r="R31" s="36">
        <f t="shared" si="12"/>
        <v>0</v>
      </c>
      <c r="S31" s="36">
        <f t="shared" si="12"/>
        <v>714100.24</v>
      </c>
      <c r="T31" s="36">
        <f t="shared" si="12"/>
        <v>0</v>
      </c>
      <c r="U31" s="36">
        <f t="shared" si="12"/>
        <v>0</v>
      </c>
      <c r="V31" s="36">
        <f t="shared" si="12"/>
        <v>0</v>
      </c>
      <c r="W31" s="36">
        <f t="shared" si="12"/>
        <v>0</v>
      </c>
      <c r="X31" s="36">
        <f t="shared" si="12"/>
        <v>0</v>
      </c>
      <c r="Y31" s="36">
        <f t="shared" si="12"/>
        <v>0</v>
      </c>
      <c r="Z31" s="124"/>
      <c r="AA31" s="36">
        <f t="shared" si="4"/>
        <v>714066.65</v>
      </c>
    </row>
    <row r="32" spans="1:27" s="37" customFormat="1" ht="55.5" hidden="1" customHeight="1" x14ac:dyDescent="0.25">
      <c r="A32" s="34"/>
      <c r="B32" s="34"/>
      <c r="C32" s="8" t="s">
        <v>538</v>
      </c>
      <c r="D32" s="36">
        <f>D74</f>
        <v>0</v>
      </c>
      <c r="E32" s="36">
        <f t="shared" ref="E32:Y32" si="13">E74</f>
        <v>0</v>
      </c>
      <c r="F32" s="36">
        <f t="shared" si="13"/>
        <v>0</v>
      </c>
      <c r="G32" s="36">
        <f t="shared" si="13"/>
        <v>0</v>
      </c>
      <c r="H32" s="36">
        <f t="shared" si="13"/>
        <v>0</v>
      </c>
      <c r="I32" s="36">
        <f t="shared" si="13"/>
        <v>0</v>
      </c>
      <c r="J32" s="36">
        <f t="shared" si="13"/>
        <v>0</v>
      </c>
      <c r="K32" s="36">
        <f t="shared" si="13"/>
        <v>0</v>
      </c>
      <c r="L32" s="124" t="e">
        <f t="shared" si="2"/>
        <v>#DIV/0!</v>
      </c>
      <c r="M32" s="36">
        <f t="shared" si="13"/>
        <v>0</v>
      </c>
      <c r="N32" s="36">
        <f t="shared" si="13"/>
        <v>0</v>
      </c>
      <c r="O32" s="36">
        <f t="shared" si="13"/>
        <v>0</v>
      </c>
      <c r="P32" s="36">
        <f t="shared" si="13"/>
        <v>0</v>
      </c>
      <c r="Q32" s="36">
        <f t="shared" si="13"/>
        <v>0</v>
      </c>
      <c r="R32" s="36">
        <f t="shared" si="13"/>
        <v>0</v>
      </c>
      <c r="S32" s="36">
        <f t="shared" si="13"/>
        <v>0</v>
      </c>
      <c r="T32" s="36">
        <f t="shared" si="13"/>
        <v>0</v>
      </c>
      <c r="U32" s="36">
        <f t="shared" si="13"/>
        <v>0</v>
      </c>
      <c r="V32" s="36">
        <f t="shared" si="13"/>
        <v>0</v>
      </c>
      <c r="W32" s="36">
        <f t="shared" si="13"/>
        <v>0</v>
      </c>
      <c r="X32" s="36">
        <f t="shared" si="13"/>
        <v>0</v>
      </c>
      <c r="Y32" s="36">
        <f t="shared" si="13"/>
        <v>0</v>
      </c>
      <c r="Z32" s="124" t="e">
        <f t="shared" si="3"/>
        <v>#DIV/0!</v>
      </c>
      <c r="AA32" s="36">
        <f t="shared" si="4"/>
        <v>0</v>
      </c>
    </row>
    <row r="33" spans="1:27" s="37" customFormat="1" ht="63" hidden="1" customHeight="1" x14ac:dyDescent="0.25">
      <c r="A33" s="34"/>
      <c r="B33" s="34"/>
      <c r="C33" s="8" t="s">
        <v>518</v>
      </c>
      <c r="D33" s="36">
        <f>D78</f>
        <v>0</v>
      </c>
      <c r="E33" s="36">
        <f t="shared" ref="E33:Y33" si="14">E78</f>
        <v>0</v>
      </c>
      <c r="F33" s="36">
        <f t="shared" si="14"/>
        <v>0</v>
      </c>
      <c r="G33" s="36">
        <f t="shared" si="14"/>
        <v>0</v>
      </c>
      <c r="H33" s="36">
        <f t="shared" si="14"/>
        <v>0</v>
      </c>
      <c r="I33" s="36">
        <f t="shared" si="14"/>
        <v>0</v>
      </c>
      <c r="J33" s="36">
        <f t="shared" si="14"/>
        <v>0</v>
      </c>
      <c r="K33" s="36">
        <f t="shared" si="14"/>
        <v>0</v>
      </c>
      <c r="L33" s="124" t="e">
        <f t="shared" si="2"/>
        <v>#DIV/0!</v>
      </c>
      <c r="M33" s="36">
        <f t="shared" si="14"/>
        <v>0</v>
      </c>
      <c r="N33" s="36">
        <f t="shared" si="14"/>
        <v>0</v>
      </c>
      <c r="O33" s="36">
        <f t="shared" si="14"/>
        <v>0</v>
      </c>
      <c r="P33" s="36">
        <f t="shared" si="14"/>
        <v>0</v>
      </c>
      <c r="Q33" s="36">
        <f t="shared" si="14"/>
        <v>0</v>
      </c>
      <c r="R33" s="36">
        <f t="shared" si="14"/>
        <v>0</v>
      </c>
      <c r="S33" s="36">
        <f t="shared" si="14"/>
        <v>0</v>
      </c>
      <c r="T33" s="36">
        <f t="shared" si="14"/>
        <v>0</v>
      </c>
      <c r="U33" s="36">
        <f t="shared" si="14"/>
        <v>0</v>
      </c>
      <c r="V33" s="36">
        <f t="shared" si="14"/>
        <v>0</v>
      </c>
      <c r="W33" s="36">
        <f t="shared" si="14"/>
        <v>0</v>
      </c>
      <c r="X33" s="36">
        <f t="shared" si="14"/>
        <v>0</v>
      </c>
      <c r="Y33" s="36">
        <f t="shared" si="14"/>
        <v>0</v>
      </c>
      <c r="Z33" s="124" t="e">
        <f t="shared" si="3"/>
        <v>#DIV/0!</v>
      </c>
      <c r="AA33" s="36">
        <f t="shared" si="4"/>
        <v>0</v>
      </c>
    </row>
    <row r="34" spans="1:27" s="37" customFormat="1" ht="15.75" customHeight="1" x14ac:dyDescent="0.25">
      <c r="A34" s="34"/>
      <c r="B34" s="34"/>
      <c r="C34" s="8" t="s">
        <v>388</v>
      </c>
      <c r="D34" s="36">
        <f>D39</f>
        <v>0</v>
      </c>
      <c r="E34" s="36">
        <f t="shared" ref="E34:Y34" si="15">E39</f>
        <v>0</v>
      </c>
      <c r="F34" s="36">
        <f t="shared" si="15"/>
        <v>0</v>
      </c>
      <c r="G34" s="36">
        <f t="shared" si="15"/>
        <v>0</v>
      </c>
      <c r="H34" s="36">
        <f t="shared" si="15"/>
        <v>0</v>
      </c>
      <c r="I34" s="36">
        <f t="shared" si="15"/>
        <v>0</v>
      </c>
      <c r="J34" s="36">
        <f t="shared" si="15"/>
        <v>0</v>
      </c>
      <c r="K34" s="36">
        <f t="shared" si="15"/>
        <v>0</v>
      </c>
      <c r="L34" s="124"/>
      <c r="M34" s="36">
        <f t="shared" si="15"/>
        <v>6564196</v>
      </c>
      <c r="N34" s="36">
        <f t="shared" si="15"/>
        <v>0</v>
      </c>
      <c r="O34" s="36">
        <f t="shared" si="15"/>
        <v>6564196</v>
      </c>
      <c r="P34" s="36">
        <f t="shared" si="15"/>
        <v>0</v>
      </c>
      <c r="Q34" s="36">
        <f t="shared" si="15"/>
        <v>0</v>
      </c>
      <c r="R34" s="36">
        <f t="shared" si="15"/>
        <v>0</v>
      </c>
      <c r="S34" s="36">
        <f t="shared" si="15"/>
        <v>6564196</v>
      </c>
      <c r="T34" s="36">
        <f t="shared" si="15"/>
        <v>762440.66</v>
      </c>
      <c r="U34" s="36">
        <f t="shared" si="15"/>
        <v>0</v>
      </c>
      <c r="V34" s="36">
        <f t="shared" si="15"/>
        <v>762440.66</v>
      </c>
      <c r="W34" s="36">
        <f t="shared" si="15"/>
        <v>0</v>
      </c>
      <c r="X34" s="36">
        <f t="shared" si="15"/>
        <v>0</v>
      </c>
      <c r="Y34" s="36">
        <f t="shared" si="15"/>
        <v>0</v>
      </c>
      <c r="Z34" s="124">
        <f t="shared" si="3"/>
        <v>11.615141595406353</v>
      </c>
      <c r="AA34" s="36">
        <f t="shared" si="4"/>
        <v>762440.66</v>
      </c>
    </row>
    <row r="35" spans="1:27" s="37" customFormat="1" ht="48.75" customHeight="1" x14ac:dyDescent="0.25">
      <c r="A35" s="34"/>
      <c r="B35" s="34"/>
      <c r="C35" s="8" t="s">
        <v>706</v>
      </c>
      <c r="D35" s="36">
        <f>D88</f>
        <v>0</v>
      </c>
      <c r="E35" s="36">
        <f t="shared" ref="E35:Y35" si="16">E88</f>
        <v>0</v>
      </c>
      <c r="F35" s="36">
        <f t="shared" si="16"/>
        <v>0</v>
      </c>
      <c r="G35" s="36">
        <f t="shared" si="16"/>
        <v>0</v>
      </c>
      <c r="H35" s="36">
        <f t="shared" si="16"/>
        <v>0</v>
      </c>
      <c r="I35" s="36">
        <f t="shared" si="16"/>
        <v>0</v>
      </c>
      <c r="J35" s="36">
        <f t="shared" si="16"/>
        <v>0</v>
      </c>
      <c r="K35" s="36">
        <f t="shared" si="16"/>
        <v>0</v>
      </c>
      <c r="L35" s="124"/>
      <c r="M35" s="36">
        <f t="shared" si="16"/>
        <v>17211412</v>
      </c>
      <c r="N35" s="36">
        <f t="shared" si="16"/>
        <v>17211412</v>
      </c>
      <c r="O35" s="36">
        <f t="shared" si="16"/>
        <v>0</v>
      </c>
      <c r="P35" s="36">
        <f t="shared" si="16"/>
        <v>0</v>
      </c>
      <c r="Q35" s="36">
        <f t="shared" si="16"/>
        <v>0</v>
      </c>
      <c r="R35" s="36">
        <f t="shared" si="16"/>
        <v>17211412</v>
      </c>
      <c r="S35" s="36">
        <f t="shared" si="16"/>
        <v>17211412</v>
      </c>
      <c r="T35" s="36">
        <f t="shared" si="16"/>
        <v>4732732</v>
      </c>
      <c r="U35" s="36">
        <f t="shared" si="16"/>
        <v>4732732</v>
      </c>
      <c r="V35" s="36">
        <f t="shared" si="16"/>
        <v>0</v>
      </c>
      <c r="W35" s="36">
        <f t="shared" si="16"/>
        <v>0</v>
      </c>
      <c r="X35" s="36">
        <f t="shared" si="16"/>
        <v>0</v>
      </c>
      <c r="Y35" s="36">
        <f t="shared" si="16"/>
        <v>4732732</v>
      </c>
      <c r="Z35" s="124">
        <f t="shared" si="3"/>
        <v>27.497639356956881</v>
      </c>
      <c r="AA35" s="36">
        <f t="shared" si="4"/>
        <v>4732732</v>
      </c>
    </row>
    <row r="36" spans="1:27" ht="17.25" customHeight="1" x14ac:dyDescent="0.25">
      <c r="A36" s="24" t="s">
        <v>47</v>
      </c>
      <c r="B36" s="24" t="s">
        <v>48</v>
      </c>
      <c r="C36" s="4" t="s">
        <v>477</v>
      </c>
      <c r="D36" s="25">
        <f>'дод 2'!E82+'дод 2'!E339</f>
        <v>378762720</v>
      </c>
      <c r="E36" s="25">
        <f>'дод 2'!F82+'дод 2'!F339</f>
        <v>378762720</v>
      </c>
      <c r="F36" s="25">
        <f>'дод 2'!G82+'дод 2'!G339</f>
        <v>260000000</v>
      </c>
      <c r="G36" s="25">
        <f>'дод 2'!H82+'дод 2'!H339</f>
        <v>46095800</v>
      </c>
      <c r="H36" s="25">
        <f>'дод 2'!I82+'дод 2'!I339</f>
        <v>0</v>
      </c>
      <c r="I36" s="25">
        <f>'дод 2'!J82+'дод 2'!J339</f>
        <v>181690356.03</v>
      </c>
      <c r="J36" s="25">
        <f>'дод 2'!K82+'дод 2'!K339</f>
        <v>123153324.93000001</v>
      </c>
      <c r="K36" s="25">
        <f>'дод 2'!L82+'дод 2'!L339</f>
        <v>23353124.890000001</v>
      </c>
      <c r="L36" s="120">
        <f t="shared" si="2"/>
        <v>47.969440083754812</v>
      </c>
      <c r="M36" s="25">
        <f>'дод 2'!N82+'дод 2'!N339</f>
        <v>111097975</v>
      </c>
      <c r="N36" s="25">
        <f>'дод 2'!O82+'дод 2'!O339</f>
        <v>80345483.650000006</v>
      </c>
      <c r="O36" s="25">
        <f>'дод 2'!P82+'дод 2'!P339</f>
        <v>29919150</v>
      </c>
      <c r="P36" s="25">
        <f>'дод 2'!Q82+'дод 2'!Q339</f>
        <v>0</v>
      </c>
      <c r="Q36" s="25">
        <f>'дод 2'!R82+'дод 2'!R339</f>
        <v>0</v>
      </c>
      <c r="R36" s="25">
        <f>'дод 2'!S82+'дод 2'!S339</f>
        <v>81178825</v>
      </c>
      <c r="S36" s="25">
        <f>'дод 2'!T82+'дод 2'!T339</f>
        <v>489860695</v>
      </c>
      <c r="T36" s="25">
        <f>'дод 2'!U82+'дод 2'!U339</f>
        <v>43170849.989999995</v>
      </c>
      <c r="U36" s="25">
        <f>'дод 2'!V82+'дод 2'!V339</f>
        <v>36590983.649999999</v>
      </c>
      <c r="V36" s="25">
        <f>'дод 2'!W82+'дод 2'!W339</f>
        <v>6345026.04</v>
      </c>
      <c r="W36" s="25">
        <f>'дод 2'!X82+'дод 2'!X339</f>
        <v>257253.36</v>
      </c>
      <c r="X36" s="25">
        <f>'дод 2'!Y82+'дод 2'!Y339</f>
        <v>0</v>
      </c>
      <c r="Y36" s="25">
        <f>'дод 2'!Z82+'дод 2'!Z339</f>
        <v>36825823.950000003</v>
      </c>
      <c r="Z36" s="120">
        <f t="shared" si="3"/>
        <v>38.858359020495193</v>
      </c>
      <c r="AA36" s="25">
        <f t="shared" si="4"/>
        <v>224861206.01999998</v>
      </c>
    </row>
    <row r="37" spans="1:27" s="31" customFormat="1" ht="47.25" hidden="1" customHeight="1" x14ac:dyDescent="0.25">
      <c r="A37" s="27"/>
      <c r="B37" s="27"/>
      <c r="C37" s="29" t="s">
        <v>377</v>
      </c>
      <c r="D37" s="30"/>
      <c r="E37" s="30"/>
      <c r="F37" s="30"/>
      <c r="G37" s="30"/>
      <c r="H37" s="30"/>
      <c r="I37" s="30"/>
      <c r="J37" s="30"/>
      <c r="K37" s="30"/>
      <c r="L37" s="120" t="e">
        <f t="shared" si="2"/>
        <v>#DIV/0!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120" t="e">
        <f t="shared" si="3"/>
        <v>#DIV/0!</v>
      </c>
      <c r="AA37" s="25">
        <f t="shared" si="4"/>
        <v>0</v>
      </c>
    </row>
    <row r="38" spans="1:27" ht="49.5" customHeight="1" x14ac:dyDescent="0.25">
      <c r="A38" s="24">
        <v>1021</v>
      </c>
      <c r="B38" s="24" t="s">
        <v>50</v>
      </c>
      <c r="C38" s="38" t="s">
        <v>689</v>
      </c>
      <c r="D38" s="25">
        <f>'дод 2'!E83+'дод 2'!E340</f>
        <v>269614110</v>
      </c>
      <c r="E38" s="25">
        <f>'дод 2'!F83+'дод 2'!F340</f>
        <v>269614110</v>
      </c>
      <c r="F38" s="25">
        <f>'дод 2'!G83+'дод 2'!G340</f>
        <v>146950000</v>
      </c>
      <c r="G38" s="25">
        <f>'дод 2'!H83+'дод 2'!H340</f>
        <v>63822800</v>
      </c>
      <c r="H38" s="25">
        <f>'дод 2'!I83+'дод 2'!I340</f>
        <v>0</v>
      </c>
      <c r="I38" s="25">
        <f>'дод 2'!J83+'дод 2'!J340</f>
        <v>127813305.48999999</v>
      </c>
      <c r="J38" s="25">
        <f>'дод 2'!K83+'дод 2'!K340</f>
        <v>68582998.230000004</v>
      </c>
      <c r="K38" s="25">
        <f>'дод 2'!L83+'дод 2'!L340</f>
        <v>33845770.979999997</v>
      </c>
      <c r="L38" s="120">
        <f t="shared" si="2"/>
        <v>47.406015022730074</v>
      </c>
      <c r="M38" s="25">
        <f>'дод 2'!N83+'дод 2'!N340</f>
        <v>82022680</v>
      </c>
      <c r="N38" s="25">
        <f>'дод 2'!O83+'дод 2'!O340</f>
        <v>18673734</v>
      </c>
      <c r="O38" s="25">
        <f>'дод 2'!P83+'дод 2'!P340</f>
        <v>63348946</v>
      </c>
      <c r="P38" s="25">
        <f>'дод 2'!Q83+'дод 2'!Q340</f>
        <v>2197510</v>
      </c>
      <c r="Q38" s="25">
        <f>'дод 2'!R83+'дод 2'!R340</f>
        <v>276700</v>
      </c>
      <c r="R38" s="25">
        <f>'дод 2'!S83+'дод 2'!S340</f>
        <v>18673734</v>
      </c>
      <c r="S38" s="25">
        <f>'дод 2'!T83+'дод 2'!T340</f>
        <v>351636790</v>
      </c>
      <c r="T38" s="25">
        <f>'дод 2'!U83+'дод 2'!U340</f>
        <v>26253780.969999999</v>
      </c>
      <c r="U38" s="25">
        <f>'дод 2'!V83+'дод 2'!V340</f>
        <v>4547445.41</v>
      </c>
      <c r="V38" s="25">
        <f>'дод 2'!W83+'дод 2'!W340</f>
        <v>15056972.84</v>
      </c>
      <c r="W38" s="25">
        <f>'дод 2'!X83+'дод 2'!X340</f>
        <v>3007297.41</v>
      </c>
      <c r="X38" s="25">
        <f>'дод 2'!Y83+'дод 2'!Y340</f>
        <v>32310.13</v>
      </c>
      <c r="Y38" s="25">
        <f>'дод 2'!Z83+'дод 2'!Z340</f>
        <v>11196808.130000001</v>
      </c>
      <c r="Z38" s="120">
        <f t="shared" si="3"/>
        <v>32.007953129549044</v>
      </c>
      <c r="AA38" s="25">
        <f t="shared" si="4"/>
        <v>154067086.45999998</v>
      </c>
    </row>
    <row r="39" spans="1:27" s="31" customFormat="1" ht="20.65" customHeight="1" x14ac:dyDescent="0.25">
      <c r="A39" s="27"/>
      <c r="B39" s="27"/>
      <c r="C39" s="39" t="s">
        <v>387</v>
      </c>
      <c r="D39" s="30">
        <f>'дод 2'!E84</f>
        <v>0</v>
      </c>
      <c r="E39" s="30">
        <f>'дод 2'!F84</f>
        <v>0</v>
      </c>
      <c r="F39" s="30">
        <f>'дод 2'!G84</f>
        <v>0</v>
      </c>
      <c r="G39" s="30">
        <f>'дод 2'!H84</f>
        <v>0</v>
      </c>
      <c r="H39" s="30">
        <f>'дод 2'!I84</f>
        <v>0</v>
      </c>
      <c r="I39" s="30">
        <f>'дод 2'!J84</f>
        <v>0</v>
      </c>
      <c r="J39" s="30">
        <f>'дод 2'!K84</f>
        <v>0</v>
      </c>
      <c r="K39" s="30">
        <f>'дод 2'!L84</f>
        <v>0</v>
      </c>
      <c r="L39" s="120"/>
      <c r="M39" s="30">
        <f>'дод 2'!N84</f>
        <v>6564196</v>
      </c>
      <c r="N39" s="30">
        <f>'дод 2'!O84</f>
        <v>0</v>
      </c>
      <c r="O39" s="30">
        <f>'дод 2'!P84</f>
        <v>6564196</v>
      </c>
      <c r="P39" s="30">
        <f>'дод 2'!Q84</f>
        <v>0</v>
      </c>
      <c r="Q39" s="30">
        <f>'дод 2'!R84</f>
        <v>0</v>
      </c>
      <c r="R39" s="30">
        <f>'дод 2'!S84</f>
        <v>0</v>
      </c>
      <c r="S39" s="30">
        <f>'дод 2'!T84</f>
        <v>6564196</v>
      </c>
      <c r="T39" s="30">
        <f>'дод 2'!U84</f>
        <v>762440.66</v>
      </c>
      <c r="U39" s="30">
        <f>'дод 2'!V84</f>
        <v>0</v>
      </c>
      <c r="V39" s="30">
        <f>'дод 2'!W84</f>
        <v>762440.66</v>
      </c>
      <c r="W39" s="30">
        <f>'дод 2'!X84</f>
        <v>0</v>
      </c>
      <c r="X39" s="30">
        <f>'дод 2'!Y84</f>
        <v>0</v>
      </c>
      <c r="Y39" s="30">
        <f>'дод 2'!Z84</f>
        <v>0</v>
      </c>
      <c r="Z39" s="120">
        <f t="shared" si="3"/>
        <v>11.615141595406353</v>
      </c>
      <c r="AA39" s="30">
        <f t="shared" si="4"/>
        <v>762440.66</v>
      </c>
    </row>
    <row r="40" spans="1:27" s="31" customFormat="1" ht="50.25" hidden="1" customHeight="1" x14ac:dyDescent="0.25">
      <c r="A40" s="27"/>
      <c r="B40" s="27"/>
      <c r="C40" s="39" t="str">
        <f>'дод 2'!D84</f>
        <v>іншої субвенції з місцевого бюджету</v>
      </c>
      <c r="D40" s="30">
        <f>'дод 2'!E84</f>
        <v>0</v>
      </c>
      <c r="E40" s="30">
        <f>'дод 2'!F84</f>
        <v>0</v>
      </c>
      <c r="F40" s="30">
        <f>'дод 2'!G84</f>
        <v>0</v>
      </c>
      <c r="G40" s="30">
        <f>'дод 2'!H84</f>
        <v>0</v>
      </c>
      <c r="H40" s="30">
        <f>'дод 2'!I84</f>
        <v>0</v>
      </c>
      <c r="I40" s="30">
        <f>'дод 2'!J84</f>
        <v>0</v>
      </c>
      <c r="J40" s="30">
        <f>'дод 2'!K84</f>
        <v>0</v>
      </c>
      <c r="K40" s="30">
        <f>'дод 2'!L84</f>
        <v>0</v>
      </c>
      <c r="L40" s="120" t="e">
        <f t="shared" si="2"/>
        <v>#DIV/0!</v>
      </c>
      <c r="M40" s="30">
        <f>'дод 2'!N84</f>
        <v>6564196</v>
      </c>
      <c r="N40" s="30">
        <f>'дод 2'!O84</f>
        <v>0</v>
      </c>
      <c r="O40" s="30">
        <f>'дод 2'!P84</f>
        <v>6564196</v>
      </c>
      <c r="P40" s="30">
        <f>'дод 2'!Q84</f>
        <v>0</v>
      </c>
      <c r="Q40" s="30">
        <f>'дод 2'!R84</f>
        <v>0</v>
      </c>
      <c r="R40" s="30">
        <f>'дод 2'!S84</f>
        <v>0</v>
      </c>
      <c r="S40" s="30">
        <f>'дод 2'!T84</f>
        <v>6564196</v>
      </c>
      <c r="T40" s="30">
        <f>'дод 2'!U84</f>
        <v>762440.66</v>
      </c>
      <c r="U40" s="30">
        <f>'дод 2'!V84</f>
        <v>0</v>
      </c>
      <c r="V40" s="30">
        <f>'дод 2'!W84</f>
        <v>762440.66</v>
      </c>
      <c r="W40" s="30">
        <f>'дод 2'!X84</f>
        <v>0</v>
      </c>
      <c r="X40" s="30">
        <f>'дод 2'!Y84</f>
        <v>0</v>
      </c>
      <c r="Y40" s="30">
        <f>'дод 2'!Z84</f>
        <v>0</v>
      </c>
      <c r="Z40" s="120">
        <f t="shared" si="3"/>
        <v>11.615141595406353</v>
      </c>
      <c r="AA40" s="25">
        <f t="shared" si="4"/>
        <v>762440.66</v>
      </c>
    </row>
    <row r="41" spans="1:27" s="31" customFormat="1" ht="47.25" hidden="1" customHeight="1" x14ac:dyDescent="0.25">
      <c r="A41" s="27"/>
      <c r="B41" s="27"/>
      <c r="C41" s="29" t="s">
        <v>378</v>
      </c>
      <c r="D41" s="30"/>
      <c r="E41" s="30"/>
      <c r="F41" s="30"/>
      <c r="G41" s="30"/>
      <c r="H41" s="30"/>
      <c r="I41" s="30"/>
      <c r="J41" s="30"/>
      <c r="K41" s="30"/>
      <c r="L41" s="120" t="e">
        <f t="shared" si="2"/>
        <v>#DIV/0!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120" t="e">
        <f t="shared" si="3"/>
        <v>#DIV/0!</v>
      </c>
      <c r="AA41" s="25">
        <f t="shared" si="4"/>
        <v>0</v>
      </c>
    </row>
    <row r="42" spans="1:27" s="31" customFormat="1" ht="47.25" hidden="1" customHeight="1" x14ac:dyDescent="0.25">
      <c r="A42" s="27"/>
      <c r="B42" s="27"/>
      <c r="C42" s="29" t="s">
        <v>380</v>
      </c>
      <c r="D42" s="30"/>
      <c r="E42" s="30"/>
      <c r="F42" s="30"/>
      <c r="G42" s="30"/>
      <c r="H42" s="30"/>
      <c r="I42" s="30"/>
      <c r="J42" s="30"/>
      <c r="K42" s="30"/>
      <c r="L42" s="120" t="e">
        <f t="shared" si="2"/>
        <v>#DIV/0!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20" t="e">
        <f t="shared" si="3"/>
        <v>#DIV/0!</v>
      </c>
      <c r="AA42" s="25">
        <f t="shared" si="4"/>
        <v>0</v>
      </c>
    </row>
    <row r="43" spans="1:27" s="31" customFormat="1" ht="58.5" hidden="1" customHeight="1" x14ac:dyDescent="0.25">
      <c r="A43" s="27"/>
      <c r="B43" s="27"/>
      <c r="C43" s="29" t="s">
        <v>377</v>
      </c>
      <c r="D43" s="30"/>
      <c r="E43" s="30"/>
      <c r="F43" s="30"/>
      <c r="G43" s="30"/>
      <c r="H43" s="30"/>
      <c r="I43" s="30"/>
      <c r="J43" s="30"/>
      <c r="K43" s="30"/>
      <c r="L43" s="120" t="e">
        <f t="shared" si="2"/>
        <v>#DIV/0!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120" t="e">
        <f t="shared" si="3"/>
        <v>#DIV/0!</v>
      </c>
      <c r="AA43" s="25">
        <f t="shared" si="4"/>
        <v>0</v>
      </c>
    </row>
    <row r="44" spans="1:27" s="31" customFormat="1" ht="31.5" hidden="1" customHeight="1" x14ac:dyDescent="0.25">
      <c r="A44" s="27"/>
      <c r="B44" s="27"/>
      <c r="C44" s="29" t="s">
        <v>383</v>
      </c>
      <c r="D44" s="30"/>
      <c r="E44" s="30"/>
      <c r="F44" s="30"/>
      <c r="G44" s="30"/>
      <c r="H44" s="30"/>
      <c r="I44" s="30"/>
      <c r="J44" s="30"/>
      <c r="K44" s="30"/>
      <c r="L44" s="120" t="e">
        <f t="shared" si="2"/>
        <v>#DIV/0!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120" t="e">
        <f t="shared" si="3"/>
        <v>#DIV/0!</v>
      </c>
      <c r="AA44" s="25">
        <f t="shared" si="4"/>
        <v>0</v>
      </c>
    </row>
    <row r="45" spans="1:27" s="31" customFormat="1" ht="63" hidden="1" customHeight="1" x14ac:dyDescent="0.25">
      <c r="A45" s="27"/>
      <c r="B45" s="27"/>
      <c r="C45" s="29" t="s">
        <v>379</v>
      </c>
      <c r="D45" s="30"/>
      <c r="E45" s="30"/>
      <c r="F45" s="30"/>
      <c r="G45" s="30"/>
      <c r="H45" s="30"/>
      <c r="I45" s="30"/>
      <c r="J45" s="30"/>
      <c r="K45" s="30"/>
      <c r="L45" s="120" t="e">
        <f t="shared" si="2"/>
        <v>#DIV/0!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120" t="e">
        <f t="shared" si="3"/>
        <v>#DIV/0!</v>
      </c>
      <c r="AA45" s="25">
        <f t="shared" si="4"/>
        <v>0</v>
      </c>
    </row>
    <row r="46" spans="1:27" ht="64.150000000000006" customHeight="1" x14ac:dyDescent="0.25">
      <c r="A46" s="24">
        <v>1022</v>
      </c>
      <c r="B46" s="1" t="s">
        <v>54</v>
      </c>
      <c r="C46" s="38" t="s">
        <v>628</v>
      </c>
      <c r="D46" s="25">
        <f>'дод 2'!E85+'дод 2'!E341</f>
        <v>19640200</v>
      </c>
      <c r="E46" s="25">
        <f>'дод 2'!F85+'дод 2'!F341</f>
        <v>19640200</v>
      </c>
      <c r="F46" s="25">
        <f>'дод 2'!G85+'дод 2'!G341</f>
        <v>11259000</v>
      </c>
      <c r="G46" s="25">
        <f>'дод 2'!H85+'дод 2'!H341</f>
        <v>2667000</v>
      </c>
      <c r="H46" s="25">
        <f>'дод 2'!I85+'дод 2'!I341</f>
        <v>0</v>
      </c>
      <c r="I46" s="25">
        <f>'дод 2'!J85+'дод 2'!J341</f>
        <v>8921607.5999999996</v>
      </c>
      <c r="J46" s="25">
        <f>'дод 2'!K85+'дод 2'!K341</f>
        <v>5217191.7</v>
      </c>
      <c r="K46" s="25">
        <f>'дод 2'!L85+'дод 2'!L341</f>
        <v>1625922.74</v>
      </c>
      <c r="L46" s="120">
        <f t="shared" si="2"/>
        <v>45.42523803219926</v>
      </c>
      <c r="M46" s="25">
        <f>'дод 2'!N85+'дод 2'!N341</f>
        <v>0</v>
      </c>
      <c r="N46" s="25">
        <f>'дод 2'!O85+'дод 2'!O341</f>
        <v>0</v>
      </c>
      <c r="O46" s="25">
        <f>'дод 2'!P85+'дод 2'!P341</f>
        <v>0</v>
      </c>
      <c r="P46" s="25">
        <f>'дод 2'!Q85+'дод 2'!Q341</f>
        <v>0</v>
      </c>
      <c r="Q46" s="25">
        <f>'дод 2'!R85+'дод 2'!R341</f>
        <v>0</v>
      </c>
      <c r="R46" s="25">
        <f>'дод 2'!S85+'дод 2'!S341</f>
        <v>0</v>
      </c>
      <c r="S46" s="25">
        <f>'дод 2'!T85+'дод 2'!T341</f>
        <v>19640200</v>
      </c>
      <c r="T46" s="25">
        <f>'дод 2'!U85+'дод 2'!U341</f>
        <v>765181.6</v>
      </c>
      <c r="U46" s="25">
        <f>'дод 2'!V85+'дод 2'!V341</f>
        <v>0</v>
      </c>
      <c r="V46" s="25">
        <f>'дод 2'!W85+'дод 2'!W341</f>
        <v>472411.61</v>
      </c>
      <c r="W46" s="25">
        <f>'дод 2'!X85+'дод 2'!X341</f>
        <v>143239.26999999999</v>
      </c>
      <c r="X46" s="25">
        <f>'дод 2'!Y85+'дод 2'!Y341</f>
        <v>0</v>
      </c>
      <c r="Y46" s="25">
        <f>'дод 2'!Z85+'дод 2'!Z341</f>
        <v>292769.99</v>
      </c>
      <c r="Z46" s="120"/>
      <c r="AA46" s="25">
        <f t="shared" si="4"/>
        <v>9686789.1999999993</v>
      </c>
    </row>
    <row r="47" spans="1:27" ht="78.75" hidden="1" customHeight="1" x14ac:dyDescent="0.25">
      <c r="A47" s="24"/>
      <c r="B47" s="24"/>
      <c r="C47" s="29" t="s">
        <v>381</v>
      </c>
      <c r="D47" s="25"/>
      <c r="E47" s="25"/>
      <c r="F47" s="25"/>
      <c r="G47" s="25"/>
      <c r="H47" s="25"/>
      <c r="I47" s="25"/>
      <c r="J47" s="25"/>
      <c r="K47" s="25"/>
      <c r="L47" s="120" t="e">
        <f t="shared" si="2"/>
        <v>#DIV/0!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20" t="e">
        <f t="shared" si="3"/>
        <v>#DIV/0!</v>
      </c>
      <c r="AA47" s="25">
        <f t="shared" si="4"/>
        <v>0</v>
      </c>
    </row>
    <row r="48" spans="1:27" ht="64.5" customHeight="1" x14ac:dyDescent="0.25">
      <c r="A48" s="24">
        <v>1025</v>
      </c>
      <c r="B48" s="24" t="s">
        <v>54</v>
      </c>
      <c r="C48" s="40" t="s">
        <v>629</v>
      </c>
      <c r="D48" s="25">
        <f>'дод 2'!E86</f>
        <v>14028100</v>
      </c>
      <c r="E48" s="25">
        <f>'дод 2'!F86</f>
        <v>14028100</v>
      </c>
      <c r="F48" s="25">
        <f>'дод 2'!G86</f>
        <v>9815000</v>
      </c>
      <c r="G48" s="25">
        <f>'дод 2'!H86</f>
        <v>1219000</v>
      </c>
      <c r="H48" s="25">
        <f>'дод 2'!I86</f>
        <v>0</v>
      </c>
      <c r="I48" s="25">
        <f>'дод 2'!J86</f>
        <v>6586485.5700000003</v>
      </c>
      <c r="J48" s="25">
        <f>'дод 2'!K86</f>
        <v>4750226.68</v>
      </c>
      <c r="K48" s="25">
        <f>'дод 2'!L86</f>
        <v>549415.49</v>
      </c>
      <c r="L48" s="120">
        <f t="shared" si="2"/>
        <v>46.952085956045373</v>
      </c>
      <c r="M48" s="25">
        <f>'дод 2'!N86</f>
        <v>0</v>
      </c>
      <c r="N48" s="25">
        <f>'дод 2'!O86</f>
        <v>0</v>
      </c>
      <c r="O48" s="25">
        <f>'дод 2'!P86</f>
        <v>0</v>
      </c>
      <c r="P48" s="25">
        <f>'дод 2'!Q86</f>
        <v>0</v>
      </c>
      <c r="Q48" s="25">
        <f>'дод 2'!R86</f>
        <v>0</v>
      </c>
      <c r="R48" s="25">
        <f>'дод 2'!S86</f>
        <v>0</v>
      </c>
      <c r="S48" s="25">
        <f>'дод 2'!T86</f>
        <v>14028100</v>
      </c>
      <c r="T48" s="25">
        <f>'дод 2'!U86</f>
        <v>182175.87</v>
      </c>
      <c r="U48" s="25">
        <f>'дод 2'!V86</f>
        <v>0</v>
      </c>
      <c r="V48" s="25">
        <f>'дод 2'!W86</f>
        <v>129947.87</v>
      </c>
      <c r="W48" s="25">
        <f>'дод 2'!X86</f>
        <v>0</v>
      </c>
      <c r="X48" s="25">
        <f>'дод 2'!Y86</f>
        <v>0</v>
      </c>
      <c r="Y48" s="25">
        <f>'дод 2'!Z86</f>
        <v>52228</v>
      </c>
      <c r="Z48" s="120"/>
      <c r="AA48" s="25">
        <f t="shared" si="4"/>
        <v>6768661.4400000004</v>
      </c>
    </row>
    <row r="49" spans="1:27" s="31" customFormat="1" ht="47.25" x14ac:dyDescent="0.25">
      <c r="A49" s="3">
        <v>1031</v>
      </c>
      <c r="B49" s="1" t="s">
        <v>50</v>
      </c>
      <c r="C49" s="38" t="s">
        <v>630</v>
      </c>
      <c r="D49" s="25">
        <f>'дод 2'!E87</f>
        <v>508400300</v>
      </c>
      <c r="E49" s="25">
        <f>'дод 2'!F87</f>
        <v>508400300</v>
      </c>
      <c r="F49" s="25">
        <f>'дод 2'!G87</f>
        <v>415576000</v>
      </c>
      <c r="G49" s="25">
        <f>'дод 2'!H87</f>
        <v>0</v>
      </c>
      <c r="H49" s="25">
        <f>'дод 2'!I87</f>
        <v>0</v>
      </c>
      <c r="I49" s="25">
        <f>'дод 2'!J87</f>
        <v>290050328.42000002</v>
      </c>
      <c r="J49" s="25">
        <f>'дод 2'!K87</f>
        <v>237984094.34</v>
      </c>
      <c r="K49" s="25">
        <f>'дод 2'!L87</f>
        <v>0</v>
      </c>
      <c r="L49" s="120">
        <f t="shared" si="2"/>
        <v>57.051565158399789</v>
      </c>
      <c r="M49" s="25">
        <f>'дод 2'!N87</f>
        <v>0</v>
      </c>
      <c r="N49" s="25">
        <f>'дод 2'!O87</f>
        <v>0</v>
      </c>
      <c r="O49" s="25">
        <f>'дод 2'!P87</f>
        <v>0</v>
      </c>
      <c r="P49" s="25">
        <f>'дод 2'!Q87</f>
        <v>0</v>
      </c>
      <c r="Q49" s="25">
        <f>'дод 2'!R87</f>
        <v>0</v>
      </c>
      <c r="R49" s="25">
        <f>'дод 2'!S87</f>
        <v>0</v>
      </c>
      <c r="S49" s="25">
        <f>'дод 2'!T87</f>
        <v>508400300</v>
      </c>
      <c r="T49" s="25">
        <f>'дод 2'!U87</f>
        <v>0</v>
      </c>
      <c r="U49" s="25">
        <f>'дод 2'!V87</f>
        <v>0</v>
      </c>
      <c r="V49" s="25">
        <f>'дод 2'!W87</f>
        <v>0</v>
      </c>
      <c r="W49" s="25">
        <f>'дод 2'!X87</f>
        <v>0</v>
      </c>
      <c r="X49" s="25">
        <f>'дод 2'!Y87</f>
        <v>0</v>
      </c>
      <c r="Y49" s="25">
        <f>'дод 2'!Z87</f>
        <v>0</v>
      </c>
      <c r="Z49" s="120"/>
      <c r="AA49" s="25">
        <f t="shared" si="4"/>
        <v>290050328.42000002</v>
      </c>
    </row>
    <row r="50" spans="1:27" s="31" customFormat="1" ht="18.75" customHeight="1" x14ac:dyDescent="0.25">
      <c r="A50" s="27"/>
      <c r="B50" s="27"/>
      <c r="C50" s="39" t="s">
        <v>383</v>
      </c>
      <c r="D50" s="30">
        <f>'дод 2'!E88</f>
        <v>506171900</v>
      </c>
      <c r="E50" s="30">
        <f>'дод 2'!F88</f>
        <v>506171900</v>
      </c>
      <c r="F50" s="30">
        <f>'дод 2'!G88</f>
        <v>415576000</v>
      </c>
      <c r="G50" s="30">
        <f>'дод 2'!H88</f>
        <v>0</v>
      </c>
      <c r="H50" s="30">
        <f>'дод 2'!I88</f>
        <v>0</v>
      </c>
      <c r="I50" s="30">
        <f>'дод 2'!J88</f>
        <v>289449552.17000002</v>
      </c>
      <c r="J50" s="30">
        <f>'дод 2'!K88</f>
        <v>237984094.34</v>
      </c>
      <c r="K50" s="30">
        <f>'дод 2'!L88</f>
        <v>0</v>
      </c>
      <c r="L50" s="120">
        <f t="shared" si="2"/>
        <v>57.184042055673189</v>
      </c>
      <c r="M50" s="30">
        <f>'дод 2'!N88</f>
        <v>0</v>
      </c>
      <c r="N50" s="30">
        <f>'дод 2'!O88</f>
        <v>0</v>
      </c>
      <c r="O50" s="30">
        <f>'дод 2'!P88</f>
        <v>0</v>
      </c>
      <c r="P50" s="30">
        <f>'дод 2'!Q88</f>
        <v>0</v>
      </c>
      <c r="Q50" s="30">
        <f>'дод 2'!R88</f>
        <v>0</v>
      </c>
      <c r="R50" s="30">
        <f>'дод 2'!S88</f>
        <v>0</v>
      </c>
      <c r="S50" s="30">
        <f>'дод 2'!T88</f>
        <v>506171900</v>
      </c>
      <c r="T50" s="30">
        <f>'дод 2'!U88</f>
        <v>0</v>
      </c>
      <c r="U50" s="30">
        <f>'дод 2'!V88</f>
        <v>0</v>
      </c>
      <c r="V50" s="30">
        <f>'дод 2'!W88</f>
        <v>0</v>
      </c>
      <c r="W50" s="30">
        <f>'дод 2'!X88</f>
        <v>0</v>
      </c>
      <c r="X50" s="30">
        <f>'дод 2'!Y88</f>
        <v>0</v>
      </c>
      <c r="Y50" s="30">
        <f>'дод 2'!Z88</f>
        <v>0</v>
      </c>
      <c r="Z50" s="120"/>
      <c r="AA50" s="30">
        <f t="shared" si="4"/>
        <v>289449552.17000002</v>
      </c>
    </row>
    <row r="51" spans="1:27" s="31" customFormat="1" ht="36" customHeight="1" x14ac:dyDescent="0.25">
      <c r="A51" s="27"/>
      <c r="B51" s="27"/>
      <c r="C51" s="39" t="s">
        <v>378</v>
      </c>
      <c r="D51" s="30">
        <f>'дод 2'!E89</f>
        <v>2228400</v>
      </c>
      <c r="E51" s="30">
        <f>'дод 2'!F89</f>
        <v>2228400</v>
      </c>
      <c r="F51" s="30">
        <f>'дод 2'!G89</f>
        <v>0</v>
      </c>
      <c r="G51" s="30">
        <f>'дод 2'!H89</f>
        <v>0</v>
      </c>
      <c r="H51" s="30">
        <f>'дод 2'!I89</f>
        <v>0</v>
      </c>
      <c r="I51" s="30">
        <f>'дод 2'!J89</f>
        <v>600776.25</v>
      </c>
      <c r="J51" s="30">
        <f>'дод 2'!K89</f>
        <v>0</v>
      </c>
      <c r="K51" s="30">
        <f>'дод 2'!L89</f>
        <v>0</v>
      </c>
      <c r="L51" s="120">
        <f t="shared" si="2"/>
        <v>26.959982498653744</v>
      </c>
      <c r="M51" s="30">
        <f>'дод 2'!N89</f>
        <v>0</v>
      </c>
      <c r="N51" s="30">
        <f>'дод 2'!O89</f>
        <v>0</v>
      </c>
      <c r="O51" s="30">
        <f>'дод 2'!P89</f>
        <v>0</v>
      </c>
      <c r="P51" s="30">
        <f>'дод 2'!Q89</f>
        <v>0</v>
      </c>
      <c r="Q51" s="30">
        <f>'дод 2'!R89</f>
        <v>0</v>
      </c>
      <c r="R51" s="30">
        <f>'дод 2'!S89</f>
        <v>0</v>
      </c>
      <c r="S51" s="30">
        <f>'дод 2'!T89</f>
        <v>2228400</v>
      </c>
      <c r="T51" s="30">
        <f>'дод 2'!U89</f>
        <v>0</v>
      </c>
      <c r="U51" s="30">
        <f>'дод 2'!V89</f>
        <v>0</v>
      </c>
      <c r="V51" s="30">
        <f>'дод 2'!W89</f>
        <v>0</v>
      </c>
      <c r="W51" s="30">
        <f>'дод 2'!X89</f>
        <v>0</v>
      </c>
      <c r="X51" s="30">
        <f>'дод 2'!Y89</f>
        <v>0</v>
      </c>
      <c r="Y51" s="30">
        <f>'дод 2'!Z89</f>
        <v>0</v>
      </c>
      <c r="Z51" s="120"/>
      <c r="AA51" s="30">
        <f t="shared" si="4"/>
        <v>600776.25</v>
      </c>
    </row>
    <row r="52" spans="1:27" ht="52.5" customHeight="1" x14ac:dyDescent="0.25">
      <c r="A52" s="1" t="s">
        <v>451</v>
      </c>
      <c r="B52" s="1" t="s">
        <v>54</v>
      </c>
      <c r="C52" s="38" t="s">
        <v>631</v>
      </c>
      <c r="D52" s="25">
        <f>'дод 2'!E90</f>
        <v>20154300</v>
      </c>
      <c r="E52" s="25">
        <f>'дод 2'!F90</f>
        <v>20154300</v>
      </c>
      <c r="F52" s="25">
        <f>'дод 2'!G90</f>
        <v>16520000</v>
      </c>
      <c r="G52" s="25">
        <f>'дод 2'!H90</f>
        <v>0</v>
      </c>
      <c r="H52" s="25">
        <f>'дод 2'!I90</f>
        <v>0</v>
      </c>
      <c r="I52" s="25">
        <f>'дод 2'!J90</f>
        <v>9694620.4499999993</v>
      </c>
      <c r="J52" s="25">
        <f>'дод 2'!K90</f>
        <v>7973569.8200000003</v>
      </c>
      <c r="K52" s="25">
        <f>'дод 2'!L90</f>
        <v>0</v>
      </c>
      <c r="L52" s="120">
        <f t="shared" si="2"/>
        <v>48.101995355829771</v>
      </c>
      <c r="M52" s="25">
        <f>'дод 2'!N90</f>
        <v>0</v>
      </c>
      <c r="N52" s="25">
        <f>'дод 2'!O90</f>
        <v>0</v>
      </c>
      <c r="O52" s="25">
        <f>'дод 2'!P90</f>
        <v>0</v>
      </c>
      <c r="P52" s="25">
        <f>'дод 2'!Q90</f>
        <v>0</v>
      </c>
      <c r="Q52" s="25">
        <f>'дод 2'!R90</f>
        <v>0</v>
      </c>
      <c r="R52" s="25">
        <f>'дод 2'!S90</f>
        <v>0</v>
      </c>
      <c r="S52" s="25">
        <f>'дод 2'!T90</f>
        <v>20154300</v>
      </c>
      <c r="T52" s="25">
        <f>'дод 2'!U90</f>
        <v>0</v>
      </c>
      <c r="U52" s="25">
        <f>'дод 2'!V90</f>
        <v>0</v>
      </c>
      <c r="V52" s="25">
        <f>'дод 2'!W90</f>
        <v>0</v>
      </c>
      <c r="W52" s="25">
        <f>'дод 2'!X90</f>
        <v>0</v>
      </c>
      <c r="X52" s="25">
        <f>'дод 2'!Y90</f>
        <v>0</v>
      </c>
      <c r="Y52" s="25">
        <f>'дод 2'!Z90</f>
        <v>0</v>
      </c>
      <c r="Z52" s="120"/>
      <c r="AA52" s="25">
        <f t="shared" si="4"/>
        <v>9694620.4499999993</v>
      </c>
    </row>
    <row r="53" spans="1:27" s="31" customFormat="1" ht="31.5" customHeight="1" x14ac:dyDescent="0.25">
      <c r="A53" s="27"/>
      <c r="B53" s="27"/>
      <c r="C53" s="39" t="s">
        <v>383</v>
      </c>
      <c r="D53" s="30">
        <f>'дод 2'!E91</f>
        <v>20154300</v>
      </c>
      <c r="E53" s="30">
        <f>'дод 2'!F91</f>
        <v>20154300</v>
      </c>
      <c r="F53" s="30">
        <f>'дод 2'!G91</f>
        <v>16520000</v>
      </c>
      <c r="G53" s="30">
        <f>'дод 2'!H91</f>
        <v>0</v>
      </c>
      <c r="H53" s="30">
        <f>'дод 2'!I91</f>
        <v>0</v>
      </c>
      <c r="I53" s="30">
        <f>'дод 2'!J91</f>
        <v>9694620.4499999993</v>
      </c>
      <c r="J53" s="30">
        <f>'дод 2'!K91</f>
        <v>7973569.8200000003</v>
      </c>
      <c r="K53" s="30">
        <f>'дод 2'!L91</f>
        <v>0</v>
      </c>
      <c r="L53" s="120">
        <f t="shared" si="2"/>
        <v>48.101995355829771</v>
      </c>
      <c r="M53" s="30">
        <f>'дод 2'!N91</f>
        <v>0</v>
      </c>
      <c r="N53" s="30">
        <f>'дод 2'!O91</f>
        <v>0</v>
      </c>
      <c r="O53" s="30">
        <f>'дод 2'!P91</f>
        <v>0</v>
      </c>
      <c r="P53" s="30">
        <f>'дод 2'!Q91</f>
        <v>0</v>
      </c>
      <c r="Q53" s="30">
        <f>'дод 2'!R91</f>
        <v>0</v>
      </c>
      <c r="R53" s="30">
        <f>'дод 2'!S91</f>
        <v>0</v>
      </c>
      <c r="S53" s="30">
        <f>'дод 2'!T91</f>
        <v>20154300</v>
      </c>
      <c r="T53" s="30">
        <f>'дод 2'!U91</f>
        <v>0</v>
      </c>
      <c r="U53" s="30">
        <f>'дод 2'!V91</f>
        <v>0</v>
      </c>
      <c r="V53" s="30">
        <f>'дод 2'!W91</f>
        <v>0</v>
      </c>
      <c r="W53" s="30">
        <f>'дод 2'!X91</f>
        <v>0</v>
      </c>
      <c r="X53" s="30">
        <f>'дод 2'!Y91</f>
        <v>0</v>
      </c>
      <c r="Y53" s="30">
        <f>'дод 2'!Z91</f>
        <v>0</v>
      </c>
      <c r="Z53" s="120"/>
      <c r="AA53" s="30">
        <f t="shared" si="4"/>
        <v>9694620.4499999993</v>
      </c>
    </row>
    <row r="54" spans="1:27" ht="69.400000000000006" customHeight="1" x14ac:dyDescent="0.25">
      <c r="A54" s="24">
        <v>1035</v>
      </c>
      <c r="B54" s="24" t="s">
        <v>54</v>
      </c>
      <c r="C54" s="38" t="s">
        <v>632</v>
      </c>
      <c r="D54" s="25">
        <f>'дод 2'!E92</f>
        <v>1773800</v>
      </c>
      <c r="E54" s="25">
        <f>'дод 2'!F92</f>
        <v>1773800</v>
      </c>
      <c r="F54" s="25">
        <f>'дод 2'!G92</f>
        <v>1454000</v>
      </c>
      <c r="G54" s="25">
        <f>'дод 2'!H92</f>
        <v>0</v>
      </c>
      <c r="H54" s="25">
        <f>'дод 2'!I92</f>
        <v>0</v>
      </c>
      <c r="I54" s="25">
        <f>'дод 2'!J92</f>
        <v>723682.73</v>
      </c>
      <c r="J54" s="25">
        <f>'дод 2'!K92</f>
        <v>607415.46</v>
      </c>
      <c r="K54" s="25">
        <f>'дод 2'!L92</f>
        <v>0</v>
      </c>
      <c r="L54" s="120">
        <f t="shared" si="2"/>
        <v>40.798440072161462</v>
      </c>
      <c r="M54" s="25">
        <f>'дод 2'!N92</f>
        <v>0</v>
      </c>
      <c r="N54" s="25">
        <f>'дод 2'!O92</f>
        <v>0</v>
      </c>
      <c r="O54" s="25">
        <f>'дод 2'!P92</f>
        <v>0</v>
      </c>
      <c r="P54" s="25">
        <f>'дод 2'!Q92</f>
        <v>0</v>
      </c>
      <c r="Q54" s="25">
        <f>'дод 2'!R92</f>
        <v>0</v>
      </c>
      <c r="R54" s="25">
        <f>'дод 2'!S92</f>
        <v>0</v>
      </c>
      <c r="S54" s="25">
        <f>'дод 2'!T92</f>
        <v>1773800</v>
      </c>
      <c r="T54" s="25">
        <f>'дод 2'!U92</f>
        <v>0</v>
      </c>
      <c r="U54" s="25">
        <f>'дод 2'!V92</f>
        <v>0</v>
      </c>
      <c r="V54" s="25">
        <f>'дод 2'!W92</f>
        <v>0</v>
      </c>
      <c r="W54" s="25">
        <f>'дод 2'!X92</f>
        <v>0</v>
      </c>
      <c r="X54" s="25">
        <f>'дод 2'!Y92</f>
        <v>0</v>
      </c>
      <c r="Y54" s="25">
        <f>'дод 2'!Z92</f>
        <v>0</v>
      </c>
      <c r="Z54" s="120"/>
      <c r="AA54" s="25">
        <f t="shared" si="4"/>
        <v>723682.73</v>
      </c>
    </row>
    <row r="55" spans="1:27" s="31" customFormat="1" ht="31.5" customHeight="1" x14ac:dyDescent="0.25">
      <c r="A55" s="27"/>
      <c r="B55" s="27"/>
      <c r="C55" s="39" t="s">
        <v>383</v>
      </c>
      <c r="D55" s="30">
        <f>'дод 2'!E93</f>
        <v>1773800</v>
      </c>
      <c r="E55" s="30">
        <f>'дод 2'!F93</f>
        <v>1773800</v>
      </c>
      <c r="F55" s="30">
        <f>'дод 2'!G93</f>
        <v>1454000</v>
      </c>
      <c r="G55" s="30">
        <f>'дод 2'!H93</f>
        <v>0</v>
      </c>
      <c r="H55" s="30">
        <f>'дод 2'!I93</f>
        <v>0</v>
      </c>
      <c r="I55" s="30">
        <f>'дод 2'!J93</f>
        <v>723682.73</v>
      </c>
      <c r="J55" s="30">
        <f>'дод 2'!K93</f>
        <v>607415.46</v>
      </c>
      <c r="K55" s="30">
        <f>'дод 2'!L93</f>
        <v>0</v>
      </c>
      <c r="L55" s="120">
        <f t="shared" si="2"/>
        <v>40.798440072161462</v>
      </c>
      <c r="M55" s="30">
        <f>'дод 2'!N93</f>
        <v>0</v>
      </c>
      <c r="N55" s="30">
        <f>'дод 2'!O93</f>
        <v>0</v>
      </c>
      <c r="O55" s="30">
        <f>'дод 2'!P93</f>
        <v>0</v>
      </c>
      <c r="P55" s="30">
        <f>'дод 2'!Q93</f>
        <v>0</v>
      </c>
      <c r="Q55" s="30">
        <f>'дод 2'!R93</f>
        <v>0</v>
      </c>
      <c r="R55" s="30">
        <f>'дод 2'!S93</f>
        <v>0</v>
      </c>
      <c r="S55" s="30">
        <f>'дод 2'!T93</f>
        <v>1773800</v>
      </c>
      <c r="T55" s="30">
        <f>'дод 2'!U93</f>
        <v>0</v>
      </c>
      <c r="U55" s="30">
        <f>'дод 2'!V93</f>
        <v>0</v>
      </c>
      <c r="V55" s="30">
        <f>'дод 2'!W93</f>
        <v>0</v>
      </c>
      <c r="W55" s="30">
        <f>'дод 2'!X93</f>
        <v>0</v>
      </c>
      <c r="X55" s="30">
        <f>'дод 2'!Y93</f>
        <v>0</v>
      </c>
      <c r="Y55" s="30">
        <f>'дод 2'!Z93</f>
        <v>0</v>
      </c>
      <c r="Z55" s="120"/>
      <c r="AA55" s="30">
        <f t="shared" si="4"/>
        <v>723682.73</v>
      </c>
    </row>
    <row r="56" spans="1:27" ht="31.5" customHeight="1" x14ac:dyDescent="0.25">
      <c r="A56" s="24">
        <v>1061</v>
      </c>
      <c r="B56" s="1" t="s">
        <v>50</v>
      </c>
      <c r="C56" s="38" t="s">
        <v>494</v>
      </c>
      <c r="D56" s="25">
        <f>'дод 2'!E94</f>
        <v>351767.89</v>
      </c>
      <c r="E56" s="25">
        <f>'дод 2'!F94</f>
        <v>351767.89</v>
      </c>
      <c r="F56" s="25">
        <f>'дод 2'!G94</f>
        <v>290000</v>
      </c>
      <c r="G56" s="25">
        <f>'дод 2'!H94</f>
        <v>0</v>
      </c>
      <c r="H56" s="25">
        <f>'дод 2'!I94</f>
        <v>0</v>
      </c>
      <c r="I56" s="25">
        <f>'дод 2'!J94</f>
        <v>351767.89</v>
      </c>
      <c r="J56" s="25">
        <f>'дод 2'!K94</f>
        <v>290000</v>
      </c>
      <c r="K56" s="25">
        <f>'дод 2'!L94</f>
        <v>0</v>
      </c>
      <c r="L56" s="120">
        <f t="shared" si="2"/>
        <v>100</v>
      </c>
      <c r="M56" s="25">
        <f>'дод 2'!N94</f>
        <v>0</v>
      </c>
      <c r="N56" s="25">
        <f>'дод 2'!O94</f>
        <v>0</v>
      </c>
      <c r="O56" s="25">
        <f>'дод 2'!P94</f>
        <v>0</v>
      </c>
      <c r="P56" s="25">
        <f>'дод 2'!Q94</f>
        <v>0</v>
      </c>
      <c r="Q56" s="25">
        <f>'дод 2'!R94</f>
        <v>0</v>
      </c>
      <c r="R56" s="25">
        <f>'дод 2'!S94</f>
        <v>0</v>
      </c>
      <c r="S56" s="25">
        <f>'дод 2'!T94</f>
        <v>351767.89</v>
      </c>
      <c r="T56" s="25">
        <f>'дод 2'!U94</f>
        <v>0</v>
      </c>
      <c r="U56" s="25">
        <f>'дод 2'!V94</f>
        <v>0</v>
      </c>
      <c r="V56" s="25">
        <f>'дод 2'!W94</f>
        <v>0</v>
      </c>
      <c r="W56" s="25">
        <f>'дод 2'!X94</f>
        <v>0</v>
      </c>
      <c r="X56" s="25">
        <f>'дод 2'!Y94</f>
        <v>0</v>
      </c>
      <c r="Y56" s="25">
        <f>'дод 2'!Z94</f>
        <v>0</v>
      </c>
      <c r="Z56" s="120"/>
      <c r="AA56" s="25">
        <f t="shared" si="4"/>
        <v>351767.89</v>
      </c>
    </row>
    <row r="57" spans="1:27" ht="47.25" hidden="1" customHeight="1" x14ac:dyDescent="0.25">
      <c r="A57" s="24"/>
      <c r="B57" s="1"/>
      <c r="C57" s="39" t="s">
        <v>504</v>
      </c>
      <c r="D57" s="30">
        <f>'дод 2'!E95</f>
        <v>0</v>
      </c>
      <c r="E57" s="30">
        <f>'дод 2'!F95</f>
        <v>0</v>
      </c>
      <c r="F57" s="30">
        <f>'дод 2'!G95</f>
        <v>0</v>
      </c>
      <c r="G57" s="30">
        <f>'дод 2'!H95</f>
        <v>0</v>
      </c>
      <c r="H57" s="30">
        <f>'дод 2'!I95</f>
        <v>0</v>
      </c>
      <c r="I57" s="30">
        <f>'дод 2'!J95</f>
        <v>0</v>
      </c>
      <c r="J57" s="30">
        <f>'дод 2'!K95</f>
        <v>0</v>
      </c>
      <c r="K57" s="30">
        <f>'дод 2'!L95</f>
        <v>0</v>
      </c>
      <c r="L57" s="120" t="e">
        <f t="shared" si="2"/>
        <v>#DIV/0!</v>
      </c>
      <c r="M57" s="30">
        <f>'дод 2'!N95</f>
        <v>0</v>
      </c>
      <c r="N57" s="30">
        <f>'дод 2'!O95</f>
        <v>0</v>
      </c>
      <c r="O57" s="30">
        <f>'дод 2'!P95</f>
        <v>0</v>
      </c>
      <c r="P57" s="30">
        <f>'дод 2'!Q95</f>
        <v>0</v>
      </c>
      <c r="Q57" s="30">
        <f>'дод 2'!R95</f>
        <v>0</v>
      </c>
      <c r="R57" s="30">
        <f>'дод 2'!S95</f>
        <v>0</v>
      </c>
      <c r="S57" s="30">
        <f>'дод 2'!T95</f>
        <v>0</v>
      </c>
      <c r="T57" s="30">
        <f>'дод 2'!U95</f>
        <v>0</v>
      </c>
      <c r="U57" s="30">
        <f>'дод 2'!V95</f>
        <v>0</v>
      </c>
      <c r="V57" s="30">
        <f>'дод 2'!W95</f>
        <v>0</v>
      </c>
      <c r="W57" s="30">
        <f>'дод 2'!X95</f>
        <v>0</v>
      </c>
      <c r="X57" s="30">
        <f>'дод 2'!Y95</f>
        <v>0</v>
      </c>
      <c r="Y57" s="30">
        <f>'дод 2'!Z95</f>
        <v>0</v>
      </c>
      <c r="Z57" s="120" t="e">
        <f t="shared" si="3"/>
        <v>#DIV/0!</v>
      </c>
      <c r="AA57" s="25">
        <f t="shared" si="4"/>
        <v>0</v>
      </c>
    </row>
    <row r="58" spans="1:27" s="31" customFormat="1" ht="31.5" customHeight="1" x14ac:dyDescent="0.25">
      <c r="A58" s="27"/>
      <c r="B58" s="41"/>
      <c r="C58" s="39" t="s">
        <v>501</v>
      </c>
      <c r="D58" s="30">
        <f>'дод 2'!E96</f>
        <v>351767.89</v>
      </c>
      <c r="E58" s="30">
        <f>'дод 2'!F96</f>
        <v>351767.89</v>
      </c>
      <c r="F58" s="30">
        <f>'дод 2'!G96</f>
        <v>290000</v>
      </c>
      <c r="G58" s="30">
        <f>'дод 2'!H96</f>
        <v>0</v>
      </c>
      <c r="H58" s="30">
        <f>'дод 2'!I96</f>
        <v>0</v>
      </c>
      <c r="I58" s="30">
        <f>'дод 2'!J96</f>
        <v>351767.89</v>
      </c>
      <c r="J58" s="30">
        <f>'дод 2'!K96</f>
        <v>290000</v>
      </c>
      <c r="K58" s="30">
        <f>'дод 2'!L96</f>
        <v>0</v>
      </c>
      <c r="L58" s="120">
        <f t="shared" si="2"/>
        <v>100</v>
      </c>
      <c r="M58" s="30">
        <f>'дод 2'!N96</f>
        <v>0</v>
      </c>
      <c r="N58" s="30">
        <f>'дод 2'!O96</f>
        <v>0</v>
      </c>
      <c r="O58" s="30">
        <f>'дод 2'!P96</f>
        <v>0</v>
      </c>
      <c r="P58" s="30">
        <f>'дод 2'!Q96</f>
        <v>0</v>
      </c>
      <c r="Q58" s="30">
        <f>'дод 2'!R96</f>
        <v>0</v>
      </c>
      <c r="R58" s="30">
        <f>'дод 2'!S96</f>
        <v>0</v>
      </c>
      <c r="S58" s="30">
        <f>'дод 2'!T96</f>
        <v>351767.89</v>
      </c>
      <c r="T58" s="30">
        <f>'дод 2'!U96</f>
        <v>0</v>
      </c>
      <c r="U58" s="30">
        <f>'дод 2'!V96</f>
        <v>0</v>
      </c>
      <c r="V58" s="30">
        <f>'дод 2'!W96</f>
        <v>0</v>
      </c>
      <c r="W58" s="30">
        <f>'дод 2'!X96</f>
        <v>0</v>
      </c>
      <c r="X58" s="30">
        <f>'дод 2'!Y96</f>
        <v>0</v>
      </c>
      <c r="Y58" s="30">
        <f>'дод 2'!Z96</f>
        <v>0</v>
      </c>
      <c r="Z58" s="120"/>
      <c r="AA58" s="30">
        <f t="shared" si="4"/>
        <v>351767.89</v>
      </c>
    </row>
    <row r="59" spans="1:27" s="31" customFormat="1" ht="63" hidden="1" customHeight="1" x14ac:dyDescent="0.25">
      <c r="A59" s="24">
        <v>1062</v>
      </c>
      <c r="B59" s="1" t="s">
        <v>54</v>
      </c>
      <c r="C59" s="38" t="s">
        <v>478</v>
      </c>
      <c r="D59" s="25">
        <f>'дод 2'!E97</f>
        <v>0</v>
      </c>
      <c r="E59" s="25">
        <f>'дод 2'!F97</f>
        <v>0</v>
      </c>
      <c r="F59" s="25">
        <f>'дод 2'!G97</f>
        <v>0</v>
      </c>
      <c r="G59" s="25">
        <f>'дод 2'!H97</f>
        <v>0</v>
      </c>
      <c r="H59" s="25">
        <f>'дод 2'!I97</f>
        <v>0</v>
      </c>
      <c r="I59" s="25">
        <f>'дод 2'!J97</f>
        <v>0</v>
      </c>
      <c r="J59" s="25">
        <f>'дод 2'!K97</f>
        <v>0</v>
      </c>
      <c r="K59" s="25">
        <f>'дод 2'!L97</f>
        <v>0</v>
      </c>
      <c r="L59" s="120" t="e">
        <f t="shared" si="2"/>
        <v>#DIV/0!</v>
      </c>
      <c r="M59" s="25">
        <f>'дод 2'!N97</f>
        <v>0</v>
      </c>
      <c r="N59" s="25">
        <f>'дод 2'!O97</f>
        <v>0</v>
      </c>
      <c r="O59" s="25">
        <f>'дод 2'!P97</f>
        <v>0</v>
      </c>
      <c r="P59" s="25">
        <f>'дод 2'!Q97</f>
        <v>0</v>
      </c>
      <c r="Q59" s="25">
        <f>'дод 2'!R97</f>
        <v>0</v>
      </c>
      <c r="R59" s="25">
        <f>'дод 2'!S97</f>
        <v>0</v>
      </c>
      <c r="S59" s="25">
        <f>'дод 2'!T97</f>
        <v>0</v>
      </c>
      <c r="T59" s="25">
        <f>'дод 2'!U97</f>
        <v>0</v>
      </c>
      <c r="U59" s="25">
        <f>'дод 2'!V97</f>
        <v>0</v>
      </c>
      <c r="V59" s="25">
        <f>'дод 2'!W97</f>
        <v>0</v>
      </c>
      <c r="W59" s="25">
        <f>'дод 2'!X97</f>
        <v>0</v>
      </c>
      <c r="X59" s="25">
        <f>'дод 2'!Y97</f>
        <v>0</v>
      </c>
      <c r="Y59" s="25">
        <f>'дод 2'!Z97</f>
        <v>0</v>
      </c>
      <c r="Z59" s="120" t="e">
        <f t="shared" si="3"/>
        <v>#DIV/0!</v>
      </c>
      <c r="AA59" s="25">
        <f t="shared" si="4"/>
        <v>0</v>
      </c>
    </row>
    <row r="60" spans="1:27" s="31" customFormat="1" ht="31.5" hidden="1" customHeight="1" x14ac:dyDescent="0.25">
      <c r="A60" s="27"/>
      <c r="B60" s="41"/>
      <c r="C60" s="39" t="str">
        <f>'дод 2'!D98</f>
        <v>залишку коштів освітньої субвенції , що утворився на початок бюджетного періоду</v>
      </c>
      <c r="D60" s="30">
        <f>'дод 2'!E98</f>
        <v>0</v>
      </c>
      <c r="E60" s="30">
        <f>'дод 2'!F98</f>
        <v>0</v>
      </c>
      <c r="F60" s="30">
        <f>'дод 2'!G98</f>
        <v>0</v>
      </c>
      <c r="G60" s="30">
        <f>'дод 2'!H98</f>
        <v>0</v>
      </c>
      <c r="H60" s="30">
        <f>'дод 2'!I98</f>
        <v>0</v>
      </c>
      <c r="I60" s="30">
        <f>'дод 2'!J98</f>
        <v>0</v>
      </c>
      <c r="J60" s="30">
        <f>'дод 2'!K98</f>
        <v>0</v>
      </c>
      <c r="K60" s="30">
        <f>'дод 2'!L98</f>
        <v>0</v>
      </c>
      <c r="L60" s="120" t="e">
        <f t="shared" si="2"/>
        <v>#DIV/0!</v>
      </c>
      <c r="M60" s="30">
        <f>'дод 2'!N98</f>
        <v>0</v>
      </c>
      <c r="N60" s="30">
        <f>'дод 2'!O98</f>
        <v>0</v>
      </c>
      <c r="O60" s="30">
        <f>'дод 2'!P98</f>
        <v>0</v>
      </c>
      <c r="P60" s="30">
        <f>'дод 2'!Q98</f>
        <v>0</v>
      </c>
      <c r="Q60" s="30">
        <f>'дод 2'!R98</f>
        <v>0</v>
      </c>
      <c r="R60" s="30">
        <f>'дод 2'!S98</f>
        <v>0</v>
      </c>
      <c r="S60" s="30">
        <f>'дод 2'!T98</f>
        <v>0</v>
      </c>
      <c r="T60" s="30">
        <f>'дод 2'!U98</f>
        <v>0</v>
      </c>
      <c r="U60" s="30">
        <f>'дод 2'!V98</f>
        <v>0</v>
      </c>
      <c r="V60" s="30">
        <f>'дод 2'!W98</f>
        <v>0</v>
      </c>
      <c r="W60" s="30">
        <f>'дод 2'!X98</f>
        <v>0</v>
      </c>
      <c r="X60" s="30">
        <f>'дод 2'!Y98</f>
        <v>0</v>
      </c>
      <c r="Y60" s="30">
        <f>'дод 2'!Z98</f>
        <v>0</v>
      </c>
      <c r="Z60" s="120" t="e">
        <f t="shared" si="3"/>
        <v>#DIV/0!</v>
      </c>
      <c r="AA60" s="25">
        <f t="shared" si="4"/>
        <v>0</v>
      </c>
    </row>
    <row r="61" spans="1:27" s="31" customFormat="1" ht="38.25" customHeight="1" x14ac:dyDescent="0.25">
      <c r="A61" s="1" t="s">
        <v>53</v>
      </c>
      <c r="B61" s="1" t="s">
        <v>56</v>
      </c>
      <c r="C61" s="38" t="s">
        <v>359</v>
      </c>
      <c r="D61" s="25">
        <f>'дод 2'!E99</f>
        <v>49233900</v>
      </c>
      <c r="E61" s="25">
        <f>'дод 2'!F99</f>
        <v>49233900</v>
      </c>
      <c r="F61" s="25">
        <f>'дод 2'!G99</f>
        <v>34500000</v>
      </c>
      <c r="G61" s="25">
        <f>'дод 2'!H99</f>
        <v>6479900</v>
      </c>
      <c r="H61" s="25">
        <f>'дод 2'!I99</f>
        <v>0</v>
      </c>
      <c r="I61" s="25">
        <f>'дод 2'!J99</f>
        <v>24220476.07</v>
      </c>
      <c r="J61" s="25">
        <f>'дод 2'!K99</f>
        <v>16725052.27</v>
      </c>
      <c r="K61" s="25">
        <f>'дод 2'!L99</f>
        <v>3581731.09</v>
      </c>
      <c r="L61" s="120">
        <f t="shared" si="2"/>
        <v>49.194713540873259</v>
      </c>
      <c r="M61" s="25">
        <f>'дод 2'!N99</f>
        <v>3255000</v>
      </c>
      <c r="N61" s="25">
        <f>'дод 2'!O99</f>
        <v>3255000</v>
      </c>
      <c r="O61" s="25">
        <f>'дод 2'!P99</f>
        <v>0</v>
      </c>
      <c r="P61" s="25">
        <f>'дод 2'!Q99</f>
        <v>0</v>
      </c>
      <c r="Q61" s="25">
        <f>'дод 2'!R99</f>
        <v>0</v>
      </c>
      <c r="R61" s="25">
        <f>'дод 2'!S99</f>
        <v>3255000</v>
      </c>
      <c r="S61" s="25">
        <f>'дод 2'!T99</f>
        <v>52488900</v>
      </c>
      <c r="T61" s="25">
        <f>'дод 2'!U99</f>
        <v>2607843.83</v>
      </c>
      <c r="U61" s="25">
        <f>'дод 2'!V99</f>
        <v>1672240.01</v>
      </c>
      <c r="V61" s="25">
        <f>'дод 2'!W99</f>
        <v>932174.71</v>
      </c>
      <c r="W61" s="25">
        <f>'дод 2'!X99</f>
        <v>148416.5</v>
      </c>
      <c r="X61" s="25">
        <f>'дод 2'!Y99</f>
        <v>0</v>
      </c>
      <c r="Y61" s="25">
        <f>'дод 2'!Z99</f>
        <v>1675669.12</v>
      </c>
      <c r="Z61" s="120">
        <f t="shared" si="3"/>
        <v>80.118090015360991</v>
      </c>
      <c r="AA61" s="25">
        <f t="shared" si="4"/>
        <v>26828319.899999999</v>
      </c>
    </row>
    <row r="62" spans="1:27" s="31" customFormat="1" ht="30" customHeight="1" x14ac:dyDescent="0.25">
      <c r="A62" s="3">
        <v>1080</v>
      </c>
      <c r="B62" s="1" t="s">
        <v>56</v>
      </c>
      <c r="C62" s="38" t="s">
        <v>545</v>
      </c>
      <c r="D62" s="25">
        <f>'дод 2'!E253</f>
        <v>63714300</v>
      </c>
      <c r="E62" s="25">
        <f>'дод 2'!F253</f>
        <v>63714300</v>
      </c>
      <c r="F62" s="25">
        <f>'дод 2'!G253</f>
        <v>49963100</v>
      </c>
      <c r="G62" s="25">
        <f>'дод 2'!H253</f>
        <v>1633100</v>
      </c>
      <c r="H62" s="25">
        <f>'дод 2'!I253</f>
        <v>0</v>
      </c>
      <c r="I62" s="25">
        <f>'дод 2'!J253</f>
        <v>34261481.979999997</v>
      </c>
      <c r="J62" s="25">
        <f>'дод 2'!K253</f>
        <v>27357637.41</v>
      </c>
      <c r="K62" s="25">
        <f>'дод 2'!L253</f>
        <v>857281.87</v>
      </c>
      <c r="L62" s="120">
        <f t="shared" si="2"/>
        <v>53.773614369144752</v>
      </c>
      <c r="M62" s="25">
        <f>'дод 2'!N253</f>
        <v>3692735</v>
      </c>
      <c r="N62" s="25">
        <f>'дод 2'!O253</f>
        <v>0</v>
      </c>
      <c r="O62" s="25">
        <f>'дод 2'!P253</f>
        <v>3690535</v>
      </c>
      <c r="P62" s="25">
        <f>'дод 2'!Q253</f>
        <v>3020273</v>
      </c>
      <c r="Q62" s="25">
        <f>'дод 2'!R253</f>
        <v>0</v>
      </c>
      <c r="R62" s="25">
        <f>'дод 2'!S253</f>
        <v>2200</v>
      </c>
      <c r="S62" s="25">
        <f>'дод 2'!T253</f>
        <v>67407035</v>
      </c>
      <c r="T62" s="25">
        <f>'дод 2'!U253</f>
        <v>2197488.7400000002</v>
      </c>
      <c r="U62" s="25">
        <f>'дод 2'!V253</f>
        <v>0</v>
      </c>
      <c r="V62" s="25">
        <f>'дод 2'!W253</f>
        <v>2194588.7400000002</v>
      </c>
      <c r="W62" s="25">
        <f>'дод 2'!X253</f>
        <v>1745455.67</v>
      </c>
      <c r="X62" s="25">
        <f>'дод 2'!Y253</f>
        <v>0</v>
      </c>
      <c r="Y62" s="25">
        <f>'дод 2'!Z253</f>
        <v>2900</v>
      </c>
      <c r="Z62" s="120">
        <f t="shared" si="3"/>
        <v>59.508433180285081</v>
      </c>
      <c r="AA62" s="25">
        <f t="shared" si="4"/>
        <v>36458970.719999999</v>
      </c>
    </row>
    <row r="63" spans="1:27" s="31" customFormat="1" ht="34.9" customHeight="1" x14ac:dyDescent="0.25">
      <c r="A63" s="3">
        <v>1091</v>
      </c>
      <c r="B63" s="1" t="s">
        <v>566</v>
      </c>
      <c r="C63" s="38" t="s">
        <v>567</v>
      </c>
      <c r="D63" s="25">
        <f>'дод 2'!E100</f>
        <v>164761300</v>
      </c>
      <c r="E63" s="25">
        <f>'дод 2'!F100</f>
        <v>164761300</v>
      </c>
      <c r="F63" s="25">
        <f>'дод 2'!G100</f>
        <v>90606400</v>
      </c>
      <c r="G63" s="25">
        <f>'дод 2'!H100</f>
        <v>18732100</v>
      </c>
      <c r="H63" s="25">
        <f>'дод 2'!I100</f>
        <v>0</v>
      </c>
      <c r="I63" s="25">
        <f>'дод 2'!J100</f>
        <v>79834431.430000007</v>
      </c>
      <c r="J63" s="25">
        <f>'дод 2'!K100</f>
        <v>44137658.140000001</v>
      </c>
      <c r="K63" s="25">
        <f>'дод 2'!L100</f>
        <v>10470561.470000001</v>
      </c>
      <c r="L63" s="120">
        <f t="shared" si="2"/>
        <v>48.454601553884316</v>
      </c>
      <c r="M63" s="25">
        <f>'дод 2'!N100</f>
        <v>14580725</v>
      </c>
      <c r="N63" s="25">
        <f>'дод 2'!O100</f>
        <v>0</v>
      </c>
      <c r="O63" s="25">
        <f>'дод 2'!P100</f>
        <v>14430725</v>
      </c>
      <c r="P63" s="25">
        <f>'дод 2'!Q100</f>
        <v>4542152</v>
      </c>
      <c r="Q63" s="25">
        <f>'дод 2'!R100</f>
        <v>5317700</v>
      </c>
      <c r="R63" s="25">
        <f>'дод 2'!S100</f>
        <v>150000</v>
      </c>
      <c r="S63" s="25">
        <f>'дод 2'!T100</f>
        <v>179342025</v>
      </c>
      <c r="T63" s="25">
        <f>'дод 2'!U100</f>
        <v>22155307.260000002</v>
      </c>
      <c r="U63" s="25">
        <f>'дод 2'!V100</f>
        <v>0</v>
      </c>
      <c r="V63" s="25">
        <f>'дод 2'!W100</f>
        <v>20518932.16</v>
      </c>
      <c r="W63" s="25">
        <f>'дод 2'!X100</f>
        <v>2863697.98</v>
      </c>
      <c r="X63" s="25">
        <f>'дод 2'!Y100</f>
        <v>2425703.19</v>
      </c>
      <c r="Y63" s="25">
        <f>'дод 2'!Z100</f>
        <v>1636375.1</v>
      </c>
      <c r="Z63" s="120" t="s">
        <v>725</v>
      </c>
      <c r="AA63" s="25">
        <f t="shared" si="4"/>
        <v>101989738.69000001</v>
      </c>
    </row>
    <row r="64" spans="1:27" s="31" customFormat="1" ht="45.75" customHeight="1" x14ac:dyDescent="0.25">
      <c r="A64" s="3">
        <v>1092</v>
      </c>
      <c r="B64" s="1" t="s">
        <v>566</v>
      </c>
      <c r="C64" s="38" t="s">
        <v>569</v>
      </c>
      <c r="D64" s="25">
        <f>'дод 2'!E101</f>
        <v>22978300</v>
      </c>
      <c r="E64" s="25">
        <f>'дод 2'!F101</f>
        <v>22978300</v>
      </c>
      <c r="F64" s="25">
        <f>'дод 2'!G101</f>
        <v>18834600</v>
      </c>
      <c r="G64" s="25">
        <f>'дод 2'!H101</f>
        <v>0</v>
      </c>
      <c r="H64" s="25">
        <f>'дод 2'!I101</f>
        <v>0</v>
      </c>
      <c r="I64" s="25">
        <f>'дод 2'!J101</f>
        <v>10449934.32</v>
      </c>
      <c r="J64" s="25">
        <f>'дод 2'!K101</f>
        <v>8610229.3300000001</v>
      </c>
      <c r="K64" s="25">
        <f>'дод 2'!L101</f>
        <v>0</v>
      </c>
      <c r="L64" s="120">
        <f t="shared" si="2"/>
        <v>45.477403985499365</v>
      </c>
      <c r="M64" s="25">
        <f>'дод 2'!N101</f>
        <v>0</v>
      </c>
      <c r="N64" s="25">
        <f>'дод 2'!O101</f>
        <v>0</v>
      </c>
      <c r="O64" s="25">
        <f>'дод 2'!P101</f>
        <v>0</v>
      </c>
      <c r="P64" s="25">
        <f>'дод 2'!Q101</f>
        <v>0</v>
      </c>
      <c r="Q64" s="25">
        <f>'дод 2'!R101</f>
        <v>0</v>
      </c>
      <c r="R64" s="25">
        <f>'дод 2'!S101</f>
        <v>0</v>
      </c>
      <c r="S64" s="25">
        <f>'дод 2'!T101</f>
        <v>22978300</v>
      </c>
      <c r="T64" s="25">
        <f>'дод 2'!U101</f>
        <v>0</v>
      </c>
      <c r="U64" s="25">
        <f>'дод 2'!V101</f>
        <v>0</v>
      </c>
      <c r="V64" s="25">
        <f>'дод 2'!W101</f>
        <v>0</v>
      </c>
      <c r="W64" s="25">
        <f>'дод 2'!X101</f>
        <v>0</v>
      </c>
      <c r="X64" s="25">
        <f>'дод 2'!Y101</f>
        <v>0</v>
      </c>
      <c r="Y64" s="25">
        <f>'дод 2'!Z101</f>
        <v>0</v>
      </c>
      <c r="Z64" s="120"/>
      <c r="AA64" s="25">
        <f t="shared" si="4"/>
        <v>10449934.32</v>
      </c>
    </row>
    <row r="65" spans="1:27" s="31" customFormat="1" ht="31.5" customHeight="1" x14ac:dyDescent="0.25">
      <c r="A65" s="28"/>
      <c r="B65" s="41"/>
      <c r="C65" s="39" t="s">
        <v>383</v>
      </c>
      <c r="D65" s="30">
        <f>'дод 2'!E102</f>
        <v>22978300</v>
      </c>
      <c r="E65" s="30">
        <f>'дод 2'!F102</f>
        <v>22978300</v>
      </c>
      <c r="F65" s="30">
        <f>'дод 2'!G102</f>
        <v>18834600</v>
      </c>
      <c r="G65" s="30">
        <f>'дод 2'!H102</f>
        <v>0</v>
      </c>
      <c r="H65" s="30">
        <f>'дод 2'!I102</f>
        <v>0</v>
      </c>
      <c r="I65" s="30">
        <f>'дод 2'!J102</f>
        <v>10449934.32</v>
      </c>
      <c r="J65" s="30">
        <f>'дод 2'!K102</f>
        <v>8610229.3300000001</v>
      </c>
      <c r="K65" s="30">
        <f>'дод 2'!L102</f>
        <v>0</v>
      </c>
      <c r="L65" s="125">
        <f t="shared" si="2"/>
        <v>45.477403985499365</v>
      </c>
      <c r="M65" s="30">
        <f>'дод 2'!N102</f>
        <v>0</v>
      </c>
      <c r="N65" s="30">
        <f>'дод 2'!O102</f>
        <v>0</v>
      </c>
      <c r="O65" s="30">
        <f>'дод 2'!P102</f>
        <v>0</v>
      </c>
      <c r="P65" s="30">
        <f>'дод 2'!Q102</f>
        <v>0</v>
      </c>
      <c r="Q65" s="30">
        <f>'дод 2'!R102</f>
        <v>0</v>
      </c>
      <c r="R65" s="30">
        <f>'дод 2'!S102</f>
        <v>0</v>
      </c>
      <c r="S65" s="30">
        <f>'дод 2'!T102</f>
        <v>22978300</v>
      </c>
      <c r="T65" s="30">
        <f>'дод 2'!U102</f>
        <v>0</v>
      </c>
      <c r="U65" s="30">
        <f>'дод 2'!V102</f>
        <v>0</v>
      </c>
      <c r="V65" s="30">
        <f>'дод 2'!W102</f>
        <v>0</v>
      </c>
      <c r="W65" s="30">
        <f>'дод 2'!X102</f>
        <v>0</v>
      </c>
      <c r="X65" s="30">
        <f>'дод 2'!Y102</f>
        <v>0</v>
      </c>
      <c r="Y65" s="30">
        <f>'дод 2'!Z102</f>
        <v>0</v>
      </c>
      <c r="Z65" s="120"/>
      <c r="AA65" s="30">
        <f t="shared" si="4"/>
        <v>10449934.32</v>
      </c>
    </row>
    <row r="66" spans="1:27" s="31" customFormat="1" ht="24.75" customHeight="1" x14ac:dyDescent="0.25">
      <c r="A66" s="1" t="s">
        <v>454</v>
      </c>
      <c r="B66" s="1" t="s">
        <v>57</v>
      </c>
      <c r="C66" s="38" t="s">
        <v>481</v>
      </c>
      <c r="D66" s="25">
        <f>'дод 2'!E103</f>
        <v>13653300</v>
      </c>
      <c r="E66" s="25">
        <f>'дод 2'!F103</f>
        <v>13653300</v>
      </c>
      <c r="F66" s="25">
        <f>'дод 2'!G103</f>
        <v>9562000</v>
      </c>
      <c r="G66" s="25">
        <f>'дод 2'!H103</f>
        <v>1300700</v>
      </c>
      <c r="H66" s="25">
        <f>'дод 2'!I103</f>
        <v>0</v>
      </c>
      <c r="I66" s="25">
        <f>'дод 2'!J103</f>
        <v>6136286.9699999997</v>
      </c>
      <c r="J66" s="25">
        <f>'дод 2'!K103</f>
        <v>4482022.83</v>
      </c>
      <c r="K66" s="25">
        <f>'дод 2'!L103</f>
        <v>398054.34</v>
      </c>
      <c r="L66" s="120">
        <f t="shared" si="2"/>
        <v>44.943617806684095</v>
      </c>
      <c r="M66" s="25">
        <f>'дод 2'!N103</f>
        <v>0</v>
      </c>
      <c r="N66" s="25">
        <f>'дод 2'!O103</f>
        <v>0</v>
      </c>
      <c r="O66" s="25">
        <f>'дод 2'!P103</f>
        <v>0</v>
      </c>
      <c r="P66" s="25">
        <f>'дод 2'!Q103</f>
        <v>0</v>
      </c>
      <c r="Q66" s="25">
        <f>'дод 2'!R103</f>
        <v>0</v>
      </c>
      <c r="R66" s="25">
        <f>'дод 2'!S103</f>
        <v>0</v>
      </c>
      <c r="S66" s="25">
        <f>'дод 2'!T103</f>
        <v>13653300</v>
      </c>
      <c r="T66" s="25">
        <f>'дод 2'!U103</f>
        <v>60692.95</v>
      </c>
      <c r="U66" s="25">
        <f>'дод 2'!V103</f>
        <v>0</v>
      </c>
      <c r="V66" s="25">
        <f>'дод 2'!W103</f>
        <v>60692.95</v>
      </c>
      <c r="W66" s="25">
        <f>'дод 2'!X103</f>
        <v>0</v>
      </c>
      <c r="X66" s="25">
        <f>'дод 2'!Y103</f>
        <v>0</v>
      </c>
      <c r="Y66" s="25">
        <f>'дод 2'!Z103</f>
        <v>0</v>
      </c>
      <c r="Z66" s="120"/>
      <c r="AA66" s="25">
        <f t="shared" si="4"/>
        <v>6196979.9199999999</v>
      </c>
    </row>
    <row r="67" spans="1:27" ht="24" customHeight="1" x14ac:dyDescent="0.25">
      <c r="A67" s="1" t="s">
        <v>456</v>
      </c>
      <c r="B67" s="1" t="s">
        <v>57</v>
      </c>
      <c r="C67" s="38" t="s">
        <v>278</v>
      </c>
      <c r="D67" s="25">
        <f>'дод 2'!E104</f>
        <v>134000</v>
      </c>
      <c r="E67" s="25">
        <f>'дод 2'!F104</f>
        <v>134000</v>
      </c>
      <c r="F67" s="25">
        <f>'дод 2'!G104</f>
        <v>0</v>
      </c>
      <c r="G67" s="25">
        <f>'дод 2'!H104</f>
        <v>0</v>
      </c>
      <c r="H67" s="25">
        <f>'дод 2'!I104</f>
        <v>0</v>
      </c>
      <c r="I67" s="25">
        <f>'дод 2'!J104</f>
        <v>46200</v>
      </c>
      <c r="J67" s="25">
        <f>'дод 2'!K104</f>
        <v>0</v>
      </c>
      <c r="K67" s="25">
        <f>'дод 2'!L104</f>
        <v>0</v>
      </c>
      <c r="L67" s="120">
        <f t="shared" si="2"/>
        <v>34.477611940298509</v>
      </c>
      <c r="M67" s="25">
        <f>'дод 2'!N104</f>
        <v>0</v>
      </c>
      <c r="N67" s="25">
        <f>'дод 2'!O104</f>
        <v>0</v>
      </c>
      <c r="O67" s="25">
        <f>'дод 2'!P104</f>
        <v>0</v>
      </c>
      <c r="P67" s="25">
        <f>'дод 2'!Q104</f>
        <v>0</v>
      </c>
      <c r="Q67" s="25">
        <f>'дод 2'!R104</f>
        <v>0</v>
      </c>
      <c r="R67" s="25">
        <f>'дод 2'!S104</f>
        <v>0</v>
      </c>
      <c r="S67" s="25">
        <f>'дод 2'!T104</f>
        <v>134000</v>
      </c>
      <c r="T67" s="25">
        <f>'дод 2'!U104</f>
        <v>0</v>
      </c>
      <c r="U67" s="25">
        <f>'дод 2'!V104</f>
        <v>0</v>
      </c>
      <c r="V67" s="25">
        <f>'дод 2'!W104</f>
        <v>0</v>
      </c>
      <c r="W67" s="25">
        <f>'дод 2'!X104</f>
        <v>0</v>
      </c>
      <c r="X67" s="25">
        <f>'дод 2'!Y104</f>
        <v>0</v>
      </c>
      <c r="Y67" s="25">
        <f>'дод 2'!Z104</f>
        <v>0</v>
      </c>
      <c r="Z67" s="120"/>
      <c r="AA67" s="25">
        <f t="shared" si="4"/>
        <v>46200</v>
      </c>
    </row>
    <row r="68" spans="1:27" ht="31.5" x14ac:dyDescent="0.25">
      <c r="A68" s="1" t="s">
        <v>458</v>
      </c>
      <c r="B68" s="1" t="s">
        <v>57</v>
      </c>
      <c r="C68" s="38" t="s">
        <v>459</v>
      </c>
      <c r="D68" s="25">
        <f>'дод 2'!E105</f>
        <v>174700</v>
      </c>
      <c r="E68" s="25">
        <f>'дод 2'!F105</f>
        <v>174700</v>
      </c>
      <c r="F68" s="25">
        <f>'дод 2'!G105</f>
        <v>0</v>
      </c>
      <c r="G68" s="25">
        <f>'дод 2'!H105</f>
        <v>122400</v>
      </c>
      <c r="H68" s="25">
        <f>'дод 2'!I105</f>
        <v>0</v>
      </c>
      <c r="I68" s="25">
        <f>'дод 2'!J105</f>
        <v>80078.33</v>
      </c>
      <c r="J68" s="25">
        <f>'дод 2'!K105</f>
        <v>0</v>
      </c>
      <c r="K68" s="25">
        <f>'дод 2'!L105</f>
        <v>73315.679999999993</v>
      </c>
      <c r="L68" s="120">
        <f t="shared" si="2"/>
        <v>45.837624499141391</v>
      </c>
      <c r="M68" s="25">
        <f>'дод 2'!N105</f>
        <v>0</v>
      </c>
      <c r="N68" s="25">
        <f>'дод 2'!O105</f>
        <v>0</v>
      </c>
      <c r="O68" s="25">
        <f>'дод 2'!P105</f>
        <v>0</v>
      </c>
      <c r="P68" s="25">
        <f>'дод 2'!Q105</f>
        <v>0</v>
      </c>
      <c r="Q68" s="25">
        <f>'дод 2'!R105</f>
        <v>0</v>
      </c>
      <c r="R68" s="25">
        <f>'дод 2'!S105</f>
        <v>0</v>
      </c>
      <c r="S68" s="25">
        <f>'дод 2'!T105</f>
        <v>174700</v>
      </c>
      <c r="T68" s="25">
        <f>'дод 2'!U105</f>
        <v>22010.42</v>
      </c>
      <c r="U68" s="25">
        <f>'дод 2'!V105</f>
        <v>0</v>
      </c>
      <c r="V68" s="25">
        <f>'дод 2'!W105</f>
        <v>22010.42</v>
      </c>
      <c r="W68" s="25">
        <f>'дод 2'!X105</f>
        <v>0</v>
      </c>
      <c r="X68" s="25">
        <f>'дод 2'!Y105</f>
        <v>0</v>
      </c>
      <c r="Y68" s="25">
        <f>'дод 2'!Z105</f>
        <v>0</v>
      </c>
      <c r="Z68" s="120"/>
      <c r="AA68" s="25">
        <f t="shared" si="4"/>
        <v>102088.75</v>
      </c>
    </row>
    <row r="69" spans="1:27" ht="45" customHeight="1" x14ac:dyDescent="0.25">
      <c r="A69" s="1" t="s">
        <v>461</v>
      </c>
      <c r="B69" s="1" t="s">
        <v>57</v>
      </c>
      <c r="C69" s="38" t="s">
        <v>482</v>
      </c>
      <c r="D69" s="25">
        <f>'дод 2'!E106</f>
        <v>2091775</v>
      </c>
      <c r="E69" s="25">
        <f>'дод 2'!F106</f>
        <v>2091775</v>
      </c>
      <c r="F69" s="25">
        <f>'дод 2'!G106</f>
        <v>1714570</v>
      </c>
      <c r="G69" s="25">
        <f>'дод 2'!H106</f>
        <v>0</v>
      </c>
      <c r="H69" s="25">
        <f>'дод 2'!I106</f>
        <v>0</v>
      </c>
      <c r="I69" s="25">
        <f>'дод 2'!J106</f>
        <v>996846.91</v>
      </c>
      <c r="J69" s="25">
        <f>'дод 2'!K106</f>
        <v>817087.62</v>
      </c>
      <c r="K69" s="25">
        <f>'дод 2'!L106</f>
        <v>0</v>
      </c>
      <c r="L69" s="120">
        <f t="shared" si="2"/>
        <v>47.655551385784797</v>
      </c>
      <c r="M69" s="25">
        <f>'дод 2'!N106</f>
        <v>0</v>
      </c>
      <c r="N69" s="25">
        <f>'дод 2'!O106</f>
        <v>0</v>
      </c>
      <c r="O69" s="25">
        <f>'дод 2'!P106</f>
        <v>0</v>
      </c>
      <c r="P69" s="25">
        <f>'дод 2'!Q106</f>
        <v>0</v>
      </c>
      <c r="Q69" s="25">
        <f>'дод 2'!R106</f>
        <v>0</v>
      </c>
      <c r="R69" s="25">
        <f>'дод 2'!S106</f>
        <v>0</v>
      </c>
      <c r="S69" s="25">
        <f>'дод 2'!T106</f>
        <v>2091775</v>
      </c>
      <c r="T69" s="25">
        <f>'дод 2'!U106</f>
        <v>0</v>
      </c>
      <c r="U69" s="25">
        <f>'дод 2'!V106</f>
        <v>0</v>
      </c>
      <c r="V69" s="25">
        <f>'дод 2'!W106</f>
        <v>0</v>
      </c>
      <c r="W69" s="25">
        <f>'дод 2'!X106</f>
        <v>0</v>
      </c>
      <c r="X69" s="25">
        <f>'дод 2'!Y106</f>
        <v>0</v>
      </c>
      <c r="Y69" s="25">
        <f>'дод 2'!Z106</f>
        <v>0</v>
      </c>
      <c r="Z69" s="120"/>
      <c r="AA69" s="25">
        <f t="shared" si="4"/>
        <v>996846.91</v>
      </c>
    </row>
    <row r="70" spans="1:27" s="31" customFormat="1" ht="39" customHeight="1" x14ac:dyDescent="0.25">
      <c r="A70" s="27"/>
      <c r="B70" s="27"/>
      <c r="C70" s="39" t="s">
        <v>378</v>
      </c>
      <c r="D70" s="30">
        <f>'дод 2'!E107</f>
        <v>2091775</v>
      </c>
      <c r="E70" s="30">
        <f>'дод 2'!F107</f>
        <v>2091775</v>
      </c>
      <c r="F70" s="30">
        <f>'дод 2'!G107</f>
        <v>1714570</v>
      </c>
      <c r="G70" s="30">
        <f>'дод 2'!H107</f>
        <v>0</v>
      </c>
      <c r="H70" s="30">
        <f>'дод 2'!I107</f>
        <v>0</v>
      </c>
      <c r="I70" s="30">
        <f>'дод 2'!J107</f>
        <v>996846.91</v>
      </c>
      <c r="J70" s="30">
        <f>'дод 2'!K107</f>
        <v>817087.62</v>
      </c>
      <c r="K70" s="30">
        <f>'дод 2'!L107</f>
        <v>0</v>
      </c>
      <c r="L70" s="120">
        <f t="shared" si="2"/>
        <v>47.655551385784797</v>
      </c>
      <c r="M70" s="30">
        <f>'дод 2'!N107</f>
        <v>0</v>
      </c>
      <c r="N70" s="30">
        <f>'дод 2'!O107</f>
        <v>0</v>
      </c>
      <c r="O70" s="30">
        <f>'дод 2'!P107</f>
        <v>0</v>
      </c>
      <c r="P70" s="30">
        <f>'дод 2'!Q107</f>
        <v>0</v>
      </c>
      <c r="Q70" s="30">
        <f>'дод 2'!R107</f>
        <v>0</v>
      </c>
      <c r="R70" s="30">
        <f>'дод 2'!S107</f>
        <v>0</v>
      </c>
      <c r="S70" s="30">
        <f>'дод 2'!T107</f>
        <v>2091775</v>
      </c>
      <c r="T70" s="30">
        <f>'дод 2'!U107</f>
        <v>0</v>
      </c>
      <c r="U70" s="30">
        <f>'дод 2'!V107</f>
        <v>0</v>
      </c>
      <c r="V70" s="30">
        <f>'дод 2'!W107</f>
        <v>0</v>
      </c>
      <c r="W70" s="30">
        <f>'дод 2'!X107</f>
        <v>0</v>
      </c>
      <c r="X70" s="30">
        <f>'дод 2'!Y107</f>
        <v>0</v>
      </c>
      <c r="Y70" s="30">
        <f>'дод 2'!Z107</f>
        <v>0</v>
      </c>
      <c r="Z70" s="120"/>
      <c r="AA70" s="30">
        <f t="shared" si="4"/>
        <v>996846.91</v>
      </c>
    </row>
    <row r="71" spans="1:27" s="31" customFormat="1" ht="31.5" x14ac:dyDescent="0.25">
      <c r="A71" s="1" t="s">
        <v>463</v>
      </c>
      <c r="B71" s="1" t="str">
        <f>'дод 5'!A18</f>
        <v>0160</v>
      </c>
      <c r="C71" s="38" t="s">
        <v>464</v>
      </c>
      <c r="D71" s="25">
        <f>'дод 2'!E108</f>
        <v>3905000</v>
      </c>
      <c r="E71" s="25">
        <f>'дод 2'!F108</f>
        <v>3905000</v>
      </c>
      <c r="F71" s="25">
        <f>'дод 2'!G108</f>
        <v>2825000</v>
      </c>
      <c r="G71" s="25">
        <f>'дод 2'!H108</f>
        <v>303800</v>
      </c>
      <c r="H71" s="25">
        <f>'дод 2'!I108</f>
        <v>0</v>
      </c>
      <c r="I71" s="25">
        <f>'дод 2'!J108</f>
        <v>1689824.31</v>
      </c>
      <c r="J71" s="25">
        <f>'дод 2'!K108</f>
        <v>1252950.77</v>
      </c>
      <c r="K71" s="25">
        <f>'дод 2'!L108</f>
        <v>152110.57999999999</v>
      </c>
      <c r="L71" s="120">
        <f t="shared" si="2"/>
        <v>43.273349807938544</v>
      </c>
      <c r="M71" s="25">
        <f>'дод 2'!N108</f>
        <v>0</v>
      </c>
      <c r="N71" s="25">
        <f>'дод 2'!O108</f>
        <v>0</v>
      </c>
      <c r="O71" s="25">
        <f>'дод 2'!P108</f>
        <v>0</v>
      </c>
      <c r="P71" s="25">
        <f>'дод 2'!Q108</f>
        <v>0</v>
      </c>
      <c r="Q71" s="25">
        <f>'дод 2'!R108</f>
        <v>0</v>
      </c>
      <c r="R71" s="25">
        <f>'дод 2'!S108</f>
        <v>0</v>
      </c>
      <c r="S71" s="25">
        <f>'дод 2'!T108</f>
        <v>3905000</v>
      </c>
      <c r="T71" s="25">
        <f>'дод 2'!U108</f>
        <v>46761.78</v>
      </c>
      <c r="U71" s="25">
        <f>'дод 2'!V108</f>
        <v>0</v>
      </c>
      <c r="V71" s="25">
        <f>'дод 2'!W108</f>
        <v>46761.78</v>
      </c>
      <c r="W71" s="25">
        <f>'дод 2'!X108</f>
        <v>0</v>
      </c>
      <c r="X71" s="25">
        <f>'дод 2'!Y108</f>
        <v>0</v>
      </c>
      <c r="Y71" s="25">
        <f>'дод 2'!Z108</f>
        <v>0</v>
      </c>
      <c r="Z71" s="120"/>
      <c r="AA71" s="25">
        <f t="shared" si="4"/>
        <v>1736586.09</v>
      </c>
    </row>
    <row r="72" spans="1:27" s="31" customFormat="1" ht="66" hidden="1" customHeight="1" x14ac:dyDescent="0.25">
      <c r="A72" s="1" t="s">
        <v>524</v>
      </c>
      <c r="B72" s="1" t="s">
        <v>57</v>
      </c>
      <c r="C72" s="38" t="s">
        <v>527</v>
      </c>
      <c r="D72" s="25">
        <f>'дод 2'!E109</f>
        <v>0</v>
      </c>
      <c r="E72" s="25">
        <f>'дод 2'!F109</f>
        <v>0</v>
      </c>
      <c r="F72" s="25">
        <f>'дод 2'!G109</f>
        <v>0</v>
      </c>
      <c r="G72" s="25">
        <f>'дод 2'!H109</f>
        <v>0</v>
      </c>
      <c r="H72" s="25">
        <f>'дод 2'!I109</f>
        <v>0</v>
      </c>
      <c r="I72" s="25">
        <f>'дод 2'!J109</f>
        <v>0</v>
      </c>
      <c r="J72" s="25">
        <f>'дод 2'!K109</f>
        <v>0</v>
      </c>
      <c r="K72" s="25">
        <f>'дод 2'!L109</f>
        <v>0</v>
      </c>
      <c r="L72" s="120" t="e">
        <f t="shared" si="2"/>
        <v>#DIV/0!</v>
      </c>
      <c r="M72" s="25">
        <f>'дод 2'!N109</f>
        <v>0</v>
      </c>
      <c r="N72" s="25">
        <f>'дод 2'!O109</f>
        <v>0</v>
      </c>
      <c r="O72" s="25">
        <f>'дод 2'!P109</f>
        <v>0</v>
      </c>
      <c r="P72" s="25">
        <f>'дод 2'!Q109</f>
        <v>0</v>
      </c>
      <c r="Q72" s="25">
        <f>'дод 2'!R109</f>
        <v>0</v>
      </c>
      <c r="R72" s="25">
        <f>'дод 2'!S109</f>
        <v>0</v>
      </c>
      <c r="S72" s="25">
        <f>'дод 2'!T109</f>
        <v>0</v>
      </c>
      <c r="T72" s="25">
        <f>'дод 2'!U109</f>
        <v>0</v>
      </c>
      <c r="U72" s="25">
        <f>'дод 2'!V109</f>
        <v>0</v>
      </c>
      <c r="V72" s="25">
        <f>'дод 2'!W109</f>
        <v>0</v>
      </c>
      <c r="W72" s="25">
        <f>'дод 2'!X109</f>
        <v>0</v>
      </c>
      <c r="X72" s="25">
        <f>'дод 2'!Y109</f>
        <v>0</v>
      </c>
      <c r="Y72" s="25">
        <f>'дод 2'!Z109</f>
        <v>0</v>
      </c>
      <c r="Z72" s="120"/>
      <c r="AA72" s="25">
        <f t="shared" si="4"/>
        <v>0</v>
      </c>
    </row>
    <row r="73" spans="1:27" s="31" customFormat="1" ht="65.25" hidden="1" customHeight="1" x14ac:dyDescent="0.25">
      <c r="A73" s="1" t="s">
        <v>516</v>
      </c>
      <c r="B73" s="1" t="s">
        <v>57</v>
      </c>
      <c r="C73" s="38" t="s">
        <v>543</v>
      </c>
      <c r="D73" s="2">
        <f>'дод 2'!E110</f>
        <v>0</v>
      </c>
      <c r="E73" s="2">
        <f>'дод 2'!F110</f>
        <v>0</v>
      </c>
      <c r="F73" s="2">
        <f>'дод 2'!G110</f>
        <v>0</v>
      </c>
      <c r="G73" s="2">
        <f>'дод 2'!H110</f>
        <v>0</v>
      </c>
      <c r="H73" s="2">
        <f>'дод 2'!I110</f>
        <v>0</v>
      </c>
      <c r="I73" s="2">
        <f>'дод 2'!J110</f>
        <v>0</v>
      </c>
      <c r="J73" s="2">
        <f>'дод 2'!K110</f>
        <v>0</v>
      </c>
      <c r="K73" s="2">
        <f>'дод 2'!L110</f>
        <v>0</v>
      </c>
      <c r="L73" s="120" t="e">
        <f t="shared" si="2"/>
        <v>#DIV/0!</v>
      </c>
      <c r="M73" s="2">
        <f>'дод 2'!N110</f>
        <v>0</v>
      </c>
      <c r="N73" s="2">
        <f>'дод 2'!O110</f>
        <v>0</v>
      </c>
      <c r="O73" s="2">
        <f>'дод 2'!P110</f>
        <v>0</v>
      </c>
      <c r="P73" s="2">
        <f>'дод 2'!Q110</f>
        <v>0</v>
      </c>
      <c r="Q73" s="2">
        <f>'дод 2'!R110</f>
        <v>0</v>
      </c>
      <c r="R73" s="2">
        <f>'дод 2'!S110</f>
        <v>0</v>
      </c>
      <c r="S73" s="2">
        <f>'дод 2'!T110</f>
        <v>0</v>
      </c>
      <c r="T73" s="2">
        <f>'дод 2'!U110</f>
        <v>0</v>
      </c>
      <c r="U73" s="2">
        <f>'дод 2'!V110</f>
        <v>0</v>
      </c>
      <c r="V73" s="2">
        <f>'дод 2'!W110</f>
        <v>0</v>
      </c>
      <c r="W73" s="2">
        <f>'дод 2'!X110</f>
        <v>0</v>
      </c>
      <c r="X73" s="2">
        <f>'дод 2'!Y110</f>
        <v>0</v>
      </c>
      <c r="Y73" s="2">
        <f>'дод 2'!Z110</f>
        <v>0</v>
      </c>
      <c r="Z73" s="120"/>
      <c r="AA73" s="25">
        <f t="shared" si="4"/>
        <v>0</v>
      </c>
    </row>
    <row r="74" spans="1:27" s="31" customFormat="1" ht="47.25" hidden="1" customHeight="1" x14ac:dyDescent="0.25">
      <c r="A74" s="41"/>
      <c r="B74" s="41"/>
      <c r="C74" s="39" t="s">
        <v>538</v>
      </c>
      <c r="D74" s="11">
        <f>'дод 2'!E111</f>
        <v>0</v>
      </c>
      <c r="E74" s="11">
        <f>'дод 2'!F111</f>
        <v>0</v>
      </c>
      <c r="F74" s="11">
        <f>'дод 2'!G111</f>
        <v>0</v>
      </c>
      <c r="G74" s="11">
        <f>'дод 2'!H111</f>
        <v>0</v>
      </c>
      <c r="H74" s="11">
        <f>'дод 2'!I111</f>
        <v>0</v>
      </c>
      <c r="I74" s="11">
        <f>'дод 2'!J111</f>
        <v>0</v>
      </c>
      <c r="J74" s="11">
        <f>'дод 2'!K111</f>
        <v>0</v>
      </c>
      <c r="K74" s="11">
        <f>'дод 2'!L111</f>
        <v>0</v>
      </c>
      <c r="L74" s="120" t="e">
        <f t="shared" si="2"/>
        <v>#DIV/0!</v>
      </c>
      <c r="M74" s="11">
        <f>'дод 2'!N111</f>
        <v>0</v>
      </c>
      <c r="N74" s="11">
        <f>'дод 2'!O111</f>
        <v>0</v>
      </c>
      <c r="O74" s="11">
        <f>'дод 2'!P111</f>
        <v>0</v>
      </c>
      <c r="P74" s="11">
        <f>'дод 2'!Q111</f>
        <v>0</v>
      </c>
      <c r="Q74" s="11">
        <f>'дод 2'!R111</f>
        <v>0</v>
      </c>
      <c r="R74" s="11">
        <f>'дод 2'!S111</f>
        <v>0</v>
      </c>
      <c r="S74" s="11">
        <f>'дод 2'!T111</f>
        <v>0</v>
      </c>
      <c r="T74" s="11">
        <f>'дод 2'!U111</f>
        <v>0</v>
      </c>
      <c r="U74" s="11">
        <f>'дод 2'!V111</f>
        <v>0</v>
      </c>
      <c r="V74" s="11">
        <f>'дод 2'!W111</f>
        <v>0</v>
      </c>
      <c r="W74" s="11">
        <f>'дод 2'!X111</f>
        <v>0</v>
      </c>
      <c r="X74" s="11">
        <f>'дод 2'!Y111</f>
        <v>0</v>
      </c>
      <c r="Y74" s="11">
        <f>'дод 2'!Z111</f>
        <v>0</v>
      </c>
      <c r="Z74" s="120"/>
      <c r="AA74" s="25">
        <f t="shared" si="4"/>
        <v>0</v>
      </c>
    </row>
    <row r="75" spans="1:27" s="31" customFormat="1" ht="63" hidden="1" customHeight="1" x14ac:dyDescent="0.25">
      <c r="A75" s="1" t="s">
        <v>526</v>
      </c>
      <c r="B75" s="1" t="s">
        <v>57</v>
      </c>
      <c r="C75" s="38" t="s">
        <v>555</v>
      </c>
      <c r="D75" s="2">
        <f>'дод 2'!E112</f>
        <v>0</v>
      </c>
      <c r="E75" s="2">
        <f>'дод 2'!F112</f>
        <v>0</v>
      </c>
      <c r="F75" s="2">
        <f>'дод 2'!G112</f>
        <v>0</v>
      </c>
      <c r="G75" s="2">
        <f>'дод 2'!H112</f>
        <v>0</v>
      </c>
      <c r="H75" s="2">
        <f>'дод 2'!I112</f>
        <v>0</v>
      </c>
      <c r="I75" s="2">
        <f>'дод 2'!J112</f>
        <v>0</v>
      </c>
      <c r="J75" s="2">
        <f>'дод 2'!K112</f>
        <v>0</v>
      </c>
      <c r="K75" s="2">
        <f>'дод 2'!L112</f>
        <v>0</v>
      </c>
      <c r="L75" s="120" t="e">
        <f t="shared" si="2"/>
        <v>#DIV/0!</v>
      </c>
      <c r="M75" s="2">
        <f>'дод 2'!N112</f>
        <v>0</v>
      </c>
      <c r="N75" s="2">
        <f>'дод 2'!O112</f>
        <v>0</v>
      </c>
      <c r="O75" s="2">
        <f>'дод 2'!P112</f>
        <v>0</v>
      </c>
      <c r="P75" s="2">
        <f>'дод 2'!Q112</f>
        <v>0</v>
      </c>
      <c r="Q75" s="2">
        <f>'дод 2'!R112</f>
        <v>0</v>
      </c>
      <c r="R75" s="2">
        <f>'дод 2'!S112</f>
        <v>0</v>
      </c>
      <c r="S75" s="2">
        <f>'дод 2'!T112</f>
        <v>0</v>
      </c>
      <c r="T75" s="2">
        <f>'дод 2'!U112</f>
        <v>0</v>
      </c>
      <c r="U75" s="2">
        <f>'дод 2'!V112</f>
        <v>0</v>
      </c>
      <c r="V75" s="2">
        <f>'дод 2'!W112</f>
        <v>0</v>
      </c>
      <c r="W75" s="2">
        <f>'дод 2'!X112</f>
        <v>0</v>
      </c>
      <c r="X75" s="2">
        <f>'дод 2'!Y112</f>
        <v>0</v>
      </c>
      <c r="Y75" s="2">
        <f>'дод 2'!Z112</f>
        <v>0</v>
      </c>
      <c r="Z75" s="120"/>
      <c r="AA75" s="25">
        <f t="shared" si="4"/>
        <v>0</v>
      </c>
    </row>
    <row r="76" spans="1:27" s="31" customFormat="1" ht="15.75" hidden="1" customHeight="1" x14ac:dyDescent="0.25">
      <c r="A76" s="41"/>
      <c r="B76" s="41"/>
      <c r="C76" s="39" t="s">
        <v>388</v>
      </c>
      <c r="D76" s="11">
        <f>'дод 2'!E113</f>
        <v>0</v>
      </c>
      <c r="E76" s="11">
        <f>'дод 2'!F113</f>
        <v>0</v>
      </c>
      <c r="F76" s="11">
        <f>'дод 2'!G113</f>
        <v>0</v>
      </c>
      <c r="G76" s="11">
        <f>'дод 2'!H113</f>
        <v>0</v>
      </c>
      <c r="H76" s="11">
        <f>'дод 2'!I113</f>
        <v>0</v>
      </c>
      <c r="I76" s="11">
        <f>'дод 2'!J113</f>
        <v>0</v>
      </c>
      <c r="J76" s="11">
        <f>'дод 2'!K113</f>
        <v>0</v>
      </c>
      <c r="K76" s="11">
        <f>'дод 2'!L113</f>
        <v>0</v>
      </c>
      <c r="L76" s="120" t="e">
        <f t="shared" si="2"/>
        <v>#DIV/0!</v>
      </c>
      <c r="M76" s="11">
        <f>'дод 2'!N113</f>
        <v>0</v>
      </c>
      <c r="N76" s="11">
        <f>'дод 2'!O113</f>
        <v>0</v>
      </c>
      <c r="O76" s="11">
        <f>'дод 2'!P113</f>
        <v>0</v>
      </c>
      <c r="P76" s="11">
        <f>'дод 2'!Q113</f>
        <v>0</v>
      </c>
      <c r="Q76" s="11">
        <f>'дод 2'!R113</f>
        <v>0</v>
      </c>
      <c r="R76" s="11">
        <f>'дод 2'!S113</f>
        <v>0</v>
      </c>
      <c r="S76" s="11">
        <f>'дод 2'!T113</f>
        <v>0</v>
      </c>
      <c r="T76" s="11">
        <f>'дод 2'!U113</f>
        <v>0</v>
      </c>
      <c r="U76" s="11">
        <f>'дод 2'!V113</f>
        <v>0</v>
      </c>
      <c r="V76" s="11">
        <f>'дод 2'!W113</f>
        <v>0</v>
      </c>
      <c r="W76" s="11">
        <f>'дод 2'!X113</f>
        <v>0</v>
      </c>
      <c r="X76" s="11">
        <f>'дод 2'!Y113</f>
        <v>0</v>
      </c>
      <c r="Y76" s="11">
        <f>'дод 2'!Z113</f>
        <v>0</v>
      </c>
      <c r="Z76" s="120"/>
      <c r="AA76" s="25">
        <f t="shared" si="4"/>
        <v>0</v>
      </c>
    </row>
    <row r="77" spans="1:27" s="31" customFormat="1" ht="78.75" hidden="1" customHeight="1" x14ac:dyDescent="0.25">
      <c r="A77" s="1" t="s">
        <v>517</v>
      </c>
      <c r="B77" s="1" t="s">
        <v>57</v>
      </c>
      <c r="C77" s="38" t="s">
        <v>539</v>
      </c>
      <c r="D77" s="25">
        <f>'дод 2'!E114</f>
        <v>0</v>
      </c>
      <c r="E77" s="25">
        <f>'дод 2'!F114</f>
        <v>0</v>
      </c>
      <c r="F77" s="25">
        <f>'дод 2'!G114</f>
        <v>0</v>
      </c>
      <c r="G77" s="25">
        <f>'дод 2'!H114</f>
        <v>0</v>
      </c>
      <c r="H77" s="25">
        <f>'дод 2'!I114</f>
        <v>0</v>
      </c>
      <c r="I77" s="25">
        <f>'дод 2'!J114</f>
        <v>0</v>
      </c>
      <c r="J77" s="25">
        <f>'дод 2'!K114</f>
        <v>0</v>
      </c>
      <c r="K77" s="25">
        <f>'дод 2'!L114</f>
        <v>0</v>
      </c>
      <c r="L77" s="120" t="e">
        <f t="shared" si="2"/>
        <v>#DIV/0!</v>
      </c>
      <c r="M77" s="25">
        <f>'дод 2'!N114</f>
        <v>0</v>
      </c>
      <c r="N77" s="25">
        <f>'дод 2'!O114</f>
        <v>0</v>
      </c>
      <c r="O77" s="25">
        <f>'дод 2'!P114</f>
        <v>0</v>
      </c>
      <c r="P77" s="25">
        <f>'дод 2'!Q114</f>
        <v>0</v>
      </c>
      <c r="Q77" s="25">
        <f>'дод 2'!R114</f>
        <v>0</v>
      </c>
      <c r="R77" s="25">
        <f>'дод 2'!S114</f>
        <v>0</v>
      </c>
      <c r="S77" s="25">
        <f>'дод 2'!T114</f>
        <v>0</v>
      </c>
      <c r="T77" s="25">
        <f>'дод 2'!U114</f>
        <v>0</v>
      </c>
      <c r="U77" s="25">
        <f>'дод 2'!V114</f>
        <v>0</v>
      </c>
      <c r="V77" s="25">
        <f>'дод 2'!W114</f>
        <v>0</v>
      </c>
      <c r="W77" s="25">
        <f>'дод 2'!X114</f>
        <v>0</v>
      </c>
      <c r="X77" s="25">
        <f>'дод 2'!Y114</f>
        <v>0</v>
      </c>
      <c r="Y77" s="25">
        <f>'дод 2'!Z114</f>
        <v>0</v>
      </c>
      <c r="Z77" s="120"/>
      <c r="AA77" s="25">
        <f t="shared" si="4"/>
        <v>0</v>
      </c>
    </row>
    <row r="78" spans="1:27" s="31" customFormat="1" ht="68.25" hidden="1" customHeight="1" x14ac:dyDescent="0.25">
      <c r="A78" s="41"/>
      <c r="B78" s="41"/>
      <c r="C78" s="39" t="s">
        <v>518</v>
      </c>
      <c r="D78" s="30">
        <f>'дод 2'!E115</f>
        <v>0</v>
      </c>
      <c r="E78" s="30">
        <f>'дод 2'!F115</f>
        <v>0</v>
      </c>
      <c r="F78" s="30">
        <f>'дод 2'!G115</f>
        <v>0</v>
      </c>
      <c r="G78" s="30">
        <f>'дод 2'!H115</f>
        <v>0</v>
      </c>
      <c r="H78" s="30">
        <f>'дод 2'!I115</f>
        <v>0</v>
      </c>
      <c r="I78" s="30">
        <f>'дод 2'!J115</f>
        <v>0</v>
      </c>
      <c r="J78" s="30">
        <f>'дод 2'!K115</f>
        <v>0</v>
      </c>
      <c r="K78" s="30">
        <f>'дод 2'!L115</f>
        <v>0</v>
      </c>
      <c r="L78" s="120" t="e">
        <f t="shared" si="2"/>
        <v>#DIV/0!</v>
      </c>
      <c r="M78" s="30">
        <f>'дод 2'!N115</f>
        <v>0</v>
      </c>
      <c r="N78" s="30">
        <f>'дод 2'!O115</f>
        <v>0</v>
      </c>
      <c r="O78" s="30">
        <f>'дод 2'!P115</f>
        <v>0</v>
      </c>
      <c r="P78" s="30">
        <f>'дод 2'!Q115</f>
        <v>0</v>
      </c>
      <c r="Q78" s="30">
        <f>'дод 2'!R115</f>
        <v>0</v>
      </c>
      <c r="R78" s="30">
        <f>'дод 2'!S115</f>
        <v>0</v>
      </c>
      <c r="S78" s="30">
        <f>'дод 2'!T115</f>
        <v>0</v>
      </c>
      <c r="T78" s="30">
        <f>'дод 2'!U115</f>
        <v>0</v>
      </c>
      <c r="U78" s="30">
        <f>'дод 2'!V115</f>
        <v>0</v>
      </c>
      <c r="V78" s="30">
        <f>'дод 2'!W115</f>
        <v>0</v>
      </c>
      <c r="W78" s="30">
        <f>'дод 2'!X115</f>
        <v>0</v>
      </c>
      <c r="X78" s="30">
        <f>'дод 2'!Y115</f>
        <v>0</v>
      </c>
      <c r="Y78" s="30">
        <f>'дод 2'!Z115</f>
        <v>0</v>
      </c>
      <c r="Z78" s="120"/>
      <c r="AA78" s="25">
        <f t="shared" si="4"/>
        <v>0</v>
      </c>
    </row>
    <row r="79" spans="1:27" s="31" customFormat="1" ht="63" customHeight="1" x14ac:dyDescent="0.25">
      <c r="A79" s="1" t="s">
        <v>466</v>
      </c>
      <c r="B79" s="1" t="s">
        <v>57</v>
      </c>
      <c r="C79" s="42" t="s">
        <v>483</v>
      </c>
      <c r="D79" s="25">
        <f>'дод 2'!E116</f>
        <v>1331125</v>
      </c>
      <c r="E79" s="25">
        <f>'дод 2'!F116</f>
        <v>1331125</v>
      </c>
      <c r="F79" s="25">
        <f>'дод 2'!G116</f>
        <v>1091086</v>
      </c>
      <c r="G79" s="25">
        <f>'дод 2'!H116</f>
        <v>0</v>
      </c>
      <c r="H79" s="25">
        <f>'дод 2'!I116</f>
        <v>0</v>
      </c>
      <c r="I79" s="25">
        <f>'дод 2'!J116</f>
        <v>996666.68</v>
      </c>
      <c r="J79" s="25">
        <f>'дод 2'!K116</f>
        <v>816936.14</v>
      </c>
      <c r="K79" s="25">
        <f>'дод 2'!L116</f>
        <v>0</v>
      </c>
      <c r="L79" s="120">
        <f t="shared" si="2"/>
        <v>74.874011080852668</v>
      </c>
      <c r="M79" s="25">
        <f>'дод 2'!N116</f>
        <v>0</v>
      </c>
      <c r="N79" s="25">
        <f>'дод 2'!O116</f>
        <v>0</v>
      </c>
      <c r="O79" s="25">
        <f>'дод 2'!P116</f>
        <v>0</v>
      </c>
      <c r="P79" s="25">
        <f>'дод 2'!Q116</f>
        <v>0</v>
      </c>
      <c r="Q79" s="25">
        <f>'дод 2'!R116</f>
        <v>0</v>
      </c>
      <c r="R79" s="25">
        <f>'дод 2'!S116</f>
        <v>0</v>
      </c>
      <c r="S79" s="25">
        <f>'дод 2'!T116</f>
        <v>1331125</v>
      </c>
      <c r="T79" s="25">
        <f>'дод 2'!U116</f>
        <v>0</v>
      </c>
      <c r="U79" s="25">
        <f>'дод 2'!V116</f>
        <v>0</v>
      </c>
      <c r="V79" s="25">
        <f>'дод 2'!W116</f>
        <v>0</v>
      </c>
      <c r="W79" s="25">
        <f>'дод 2'!X116</f>
        <v>0</v>
      </c>
      <c r="X79" s="25">
        <f>'дод 2'!Y116</f>
        <v>0</v>
      </c>
      <c r="Y79" s="25">
        <f>'дод 2'!Z116</f>
        <v>0</v>
      </c>
      <c r="Z79" s="120"/>
      <c r="AA79" s="25">
        <f t="shared" si="4"/>
        <v>996666.68</v>
      </c>
    </row>
    <row r="80" spans="1:27" s="31" customFormat="1" ht="65.25" customHeight="1" x14ac:dyDescent="0.25">
      <c r="A80" s="41"/>
      <c r="B80" s="41"/>
      <c r="C80" s="39" t="s">
        <v>694</v>
      </c>
      <c r="D80" s="30">
        <f>'дод 2'!E117</f>
        <v>1331125</v>
      </c>
      <c r="E80" s="30">
        <f>'дод 2'!F117</f>
        <v>1331125</v>
      </c>
      <c r="F80" s="30">
        <f>'дод 2'!G117</f>
        <v>1091086</v>
      </c>
      <c r="G80" s="30">
        <f>'дод 2'!H117</f>
        <v>0</v>
      </c>
      <c r="H80" s="30">
        <f>'дод 2'!I117</f>
        <v>0</v>
      </c>
      <c r="I80" s="30">
        <f>'дод 2'!J117</f>
        <v>996666.68</v>
      </c>
      <c r="J80" s="30">
        <f>'дод 2'!K117</f>
        <v>816936.14</v>
      </c>
      <c r="K80" s="30">
        <f>'дод 2'!L117</f>
        <v>0</v>
      </c>
      <c r="L80" s="125">
        <f t="shared" si="2"/>
        <v>74.874011080852668</v>
      </c>
      <c r="M80" s="30">
        <f>'дод 2'!N117</f>
        <v>0</v>
      </c>
      <c r="N80" s="30">
        <f>'дод 2'!O117</f>
        <v>0</v>
      </c>
      <c r="O80" s="30">
        <f>'дод 2'!P117</f>
        <v>0</v>
      </c>
      <c r="P80" s="30">
        <f>'дод 2'!Q117</f>
        <v>0</v>
      </c>
      <c r="Q80" s="30">
        <f>'дод 2'!R117</f>
        <v>0</v>
      </c>
      <c r="R80" s="30">
        <f>'дод 2'!S117</f>
        <v>0</v>
      </c>
      <c r="S80" s="30">
        <f>'дод 2'!T117</f>
        <v>1331125</v>
      </c>
      <c r="T80" s="30">
        <f>'дод 2'!U117</f>
        <v>0</v>
      </c>
      <c r="U80" s="30">
        <f>'дод 2'!V117</f>
        <v>0</v>
      </c>
      <c r="V80" s="30">
        <f>'дод 2'!W117</f>
        <v>0</v>
      </c>
      <c r="W80" s="30">
        <f>'дод 2'!X117</f>
        <v>0</v>
      </c>
      <c r="X80" s="30">
        <f>'дод 2'!Y117</f>
        <v>0</v>
      </c>
      <c r="Y80" s="30">
        <f>'дод 2'!Z117</f>
        <v>0</v>
      </c>
      <c r="Z80" s="120"/>
      <c r="AA80" s="30">
        <f t="shared" si="4"/>
        <v>996666.68</v>
      </c>
    </row>
    <row r="81" spans="1:27" s="31" customFormat="1" ht="63" customHeight="1" x14ac:dyDescent="0.25">
      <c r="A81" s="1" t="s">
        <v>488</v>
      </c>
      <c r="B81" s="1" t="s">
        <v>57</v>
      </c>
      <c r="C81" s="38" t="s">
        <v>487</v>
      </c>
      <c r="D81" s="25">
        <f>'дод 2'!E118</f>
        <v>714100.24</v>
      </c>
      <c r="E81" s="25">
        <f>'дод 2'!F118</f>
        <v>714100.24</v>
      </c>
      <c r="F81" s="25">
        <f>'дод 2'!G118</f>
        <v>585328</v>
      </c>
      <c r="G81" s="25">
        <f>'дод 2'!H118</f>
        <v>0</v>
      </c>
      <c r="H81" s="25">
        <f>'дод 2'!I118</f>
        <v>0</v>
      </c>
      <c r="I81" s="25">
        <f>'дод 2'!J118</f>
        <v>714066.65</v>
      </c>
      <c r="J81" s="25">
        <f>'дод 2'!K118</f>
        <v>585304.28</v>
      </c>
      <c r="K81" s="25">
        <f>'дод 2'!L118</f>
        <v>0</v>
      </c>
      <c r="L81" s="120">
        <f t="shared" ref="L81:L144" si="17">I81/D81*100</f>
        <v>99.995296178586926</v>
      </c>
      <c r="M81" s="25">
        <f>'дод 2'!N118</f>
        <v>0</v>
      </c>
      <c r="N81" s="25">
        <f>'дод 2'!O118</f>
        <v>0</v>
      </c>
      <c r="O81" s="25">
        <f>'дод 2'!P118</f>
        <v>0</v>
      </c>
      <c r="P81" s="25">
        <f>'дод 2'!Q118</f>
        <v>0</v>
      </c>
      <c r="Q81" s="25">
        <f>'дод 2'!R118</f>
        <v>0</v>
      </c>
      <c r="R81" s="25">
        <f>'дод 2'!S118</f>
        <v>0</v>
      </c>
      <c r="S81" s="25">
        <f>'дод 2'!T118</f>
        <v>714100.24</v>
      </c>
      <c r="T81" s="25">
        <f>'дод 2'!U118</f>
        <v>0</v>
      </c>
      <c r="U81" s="25">
        <f>'дод 2'!V118</f>
        <v>0</v>
      </c>
      <c r="V81" s="25">
        <f>'дод 2'!W118</f>
        <v>0</v>
      </c>
      <c r="W81" s="25">
        <f>'дод 2'!X118</f>
        <v>0</v>
      </c>
      <c r="X81" s="25">
        <f>'дод 2'!Y118</f>
        <v>0</v>
      </c>
      <c r="Y81" s="25">
        <f>'дод 2'!Z118</f>
        <v>0</v>
      </c>
      <c r="Z81" s="120"/>
      <c r="AA81" s="25">
        <f t="shared" ref="AA81:AA144" si="18">I81+T81</f>
        <v>714066.65</v>
      </c>
    </row>
    <row r="82" spans="1:27" s="31" customFormat="1" ht="63" customHeight="1" x14ac:dyDescent="0.25">
      <c r="A82" s="41"/>
      <c r="B82" s="41"/>
      <c r="C82" s="39" t="s">
        <v>695</v>
      </c>
      <c r="D82" s="30">
        <f>'дод 2'!E119</f>
        <v>714100.24</v>
      </c>
      <c r="E82" s="30">
        <f>'дод 2'!F119</f>
        <v>714100.24</v>
      </c>
      <c r="F82" s="30">
        <f>'дод 2'!G119</f>
        <v>585328</v>
      </c>
      <c r="G82" s="30">
        <f>'дод 2'!H119</f>
        <v>0</v>
      </c>
      <c r="H82" s="30">
        <f>'дод 2'!I119</f>
        <v>0</v>
      </c>
      <c r="I82" s="30">
        <f>'дод 2'!J119</f>
        <v>714066.65</v>
      </c>
      <c r="J82" s="30">
        <f>'дод 2'!K119</f>
        <v>585304.28</v>
      </c>
      <c r="K82" s="30">
        <f>'дод 2'!L119</f>
        <v>0</v>
      </c>
      <c r="L82" s="125">
        <f t="shared" si="17"/>
        <v>99.995296178586926</v>
      </c>
      <c r="M82" s="30">
        <f>'дод 2'!N119</f>
        <v>0</v>
      </c>
      <c r="N82" s="30">
        <f>'дод 2'!O119</f>
        <v>0</v>
      </c>
      <c r="O82" s="30">
        <f>'дод 2'!P119</f>
        <v>0</v>
      </c>
      <c r="P82" s="30">
        <f>'дод 2'!Q119</f>
        <v>0</v>
      </c>
      <c r="Q82" s="30">
        <f>'дод 2'!R119</f>
        <v>0</v>
      </c>
      <c r="R82" s="30">
        <f>'дод 2'!S119</f>
        <v>0</v>
      </c>
      <c r="S82" s="30">
        <f>'дод 2'!T119</f>
        <v>714100.24</v>
      </c>
      <c r="T82" s="30">
        <f>'дод 2'!U119</f>
        <v>0</v>
      </c>
      <c r="U82" s="30">
        <f>'дод 2'!V119</f>
        <v>0</v>
      </c>
      <c r="V82" s="30">
        <f>'дод 2'!W119</f>
        <v>0</v>
      </c>
      <c r="W82" s="30">
        <f>'дод 2'!X119</f>
        <v>0</v>
      </c>
      <c r="X82" s="30">
        <f>'дод 2'!Y119</f>
        <v>0</v>
      </c>
      <c r="Y82" s="30">
        <f>'дод 2'!Z119</f>
        <v>0</v>
      </c>
      <c r="Z82" s="120"/>
      <c r="AA82" s="30">
        <f t="shared" si="18"/>
        <v>714066.65</v>
      </c>
    </row>
    <row r="83" spans="1:27" s="31" customFormat="1" ht="63" customHeight="1" x14ac:dyDescent="0.25">
      <c r="A83" s="1" t="s">
        <v>704</v>
      </c>
      <c r="B83" s="1" t="s">
        <v>57</v>
      </c>
      <c r="C83" s="38" t="s">
        <v>705</v>
      </c>
      <c r="D83" s="25">
        <f>'дод 2'!E121</f>
        <v>2000000</v>
      </c>
      <c r="E83" s="25">
        <f>'дод 2'!F121</f>
        <v>2000000</v>
      </c>
      <c r="F83" s="25">
        <f>'дод 2'!G121</f>
        <v>0</v>
      </c>
      <c r="G83" s="25">
        <f>'дод 2'!H121</f>
        <v>0</v>
      </c>
      <c r="H83" s="25">
        <f>'дод 2'!I121</f>
        <v>0</v>
      </c>
      <c r="I83" s="25">
        <f>'дод 2'!J121</f>
        <v>0</v>
      </c>
      <c r="J83" s="25">
        <f>'дод 2'!K121</f>
        <v>0</v>
      </c>
      <c r="K83" s="25">
        <f>'дод 2'!L121</f>
        <v>0</v>
      </c>
      <c r="L83" s="120">
        <f t="shared" si="17"/>
        <v>0</v>
      </c>
      <c r="M83" s="25">
        <f>'дод 2'!N121</f>
        <v>0</v>
      </c>
      <c r="N83" s="25">
        <f>'дод 2'!O121</f>
        <v>0</v>
      </c>
      <c r="O83" s="25">
        <f>'дод 2'!P121</f>
        <v>0</v>
      </c>
      <c r="P83" s="25">
        <f>'дод 2'!Q121</f>
        <v>0</v>
      </c>
      <c r="Q83" s="25">
        <f>'дод 2'!R121</f>
        <v>0</v>
      </c>
      <c r="R83" s="25">
        <f>'дод 2'!S121</f>
        <v>0</v>
      </c>
      <c r="S83" s="25">
        <f>'дод 2'!T121</f>
        <v>2000000</v>
      </c>
      <c r="T83" s="25">
        <f>'дод 2'!U121</f>
        <v>0</v>
      </c>
      <c r="U83" s="25">
        <f>'дод 2'!V121</f>
        <v>0</v>
      </c>
      <c r="V83" s="25">
        <f>'дод 2'!W121</f>
        <v>0</v>
      </c>
      <c r="W83" s="25">
        <f>'дод 2'!X121</f>
        <v>0</v>
      </c>
      <c r="X83" s="25">
        <f>'дод 2'!Y121</f>
        <v>0</v>
      </c>
      <c r="Y83" s="25">
        <f>'дод 2'!Z121</f>
        <v>0</v>
      </c>
      <c r="Z83" s="120"/>
      <c r="AA83" s="25">
        <f t="shared" si="18"/>
        <v>0</v>
      </c>
    </row>
    <row r="84" spans="1:27" ht="63" customHeight="1" x14ac:dyDescent="0.25">
      <c r="A84" s="1" t="s">
        <v>698</v>
      </c>
      <c r="B84" s="1" t="s">
        <v>57</v>
      </c>
      <c r="C84" s="38" t="s">
        <v>699</v>
      </c>
      <c r="D84" s="25">
        <f>'дод 2'!E122</f>
        <v>2843700</v>
      </c>
      <c r="E84" s="25">
        <f>'дод 2'!F122</f>
        <v>2843700</v>
      </c>
      <c r="F84" s="25">
        <f>'дод 2'!G122</f>
        <v>0</v>
      </c>
      <c r="G84" s="25">
        <f>'дод 2'!H122</f>
        <v>0</v>
      </c>
      <c r="H84" s="25">
        <f>'дод 2'!I122</f>
        <v>0</v>
      </c>
      <c r="I84" s="25">
        <f>'дод 2'!J122</f>
        <v>0</v>
      </c>
      <c r="J84" s="25">
        <f>'дод 2'!K122</f>
        <v>0</v>
      </c>
      <c r="K84" s="25">
        <f>'дод 2'!L122</f>
        <v>0</v>
      </c>
      <c r="L84" s="120">
        <f t="shared" si="17"/>
        <v>0</v>
      </c>
      <c r="M84" s="25">
        <f>'дод 2'!N122</f>
        <v>5556300</v>
      </c>
      <c r="N84" s="25">
        <f>'дод 2'!O122</f>
        <v>5556300</v>
      </c>
      <c r="O84" s="25">
        <f>'дод 2'!P122</f>
        <v>0</v>
      </c>
      <c r="P84" s="25">
        <f>'дод 2'!Q122</f>
        <v>0</v>
      </c>
      <c r="Q84" s="25">
        <f>'дод 2'!R122</f>
        <v>0</v>
      </c>
      <c r="R84" s="25">
        <f>'дод 2'!S122</f>
        <v>5556300</v>
      </c>
      <c r="S84" s="25">
        <f>'дод 2'!T122</f>
        <v>8400000</v>
      </c>
      <c r="T84" s="25">
        <f>'дод 2'!U122</f>
        <v>0</v>
      </c>
      <c r="U84" s="25">
        <f>'дод 2'!V122</f>
        <v>0</v>
      </c>
      <c r="V84" s="25">
        <f>'дод 2'!W122</f>
        <v>0</v>
      </c>
      <c r="W84" s="25">
        <f>'дод 2'!X122</f>
        <v>0</v>
      </c>
      <c r="X84" s="25">
        <f>'дод 2'!Y122</f>
        <v>0</v>
      </c>
      <c r="Y84" s="25">
        <f>'дод 2'!Z122</f>
        <v>0</v>
      </c>
      <c r="Z84" s="120">
        <f t="shared" ref="Z84:Z136" si="19">T84/M84*100</f>
        <v>0</v>
      </c>
      <c r="AA84" s="25">
        <f t="shared" si="18"/>
        <v>0</v>
      </c>
    </row>
    <row r="85" spans="1:27" s="31" customFormat="1" ht="63" customHeight="1" x14ac:dyDescent="0.25">
      <c r="A85" s="41"/>
      <c r="B85" s="41"/>
      <c r="C85" s="39" t="s">
        <v>700</v>
      </c>
      <c r="D85" s="30">
        <f>'дод 2'!E123</f>
        <v>2843700</v>
      </c>
      <c r="E85" s="30">
        <f>'дод 2'!F123</f>
        <v>2843700</v>
      </c>
      <c r="F85" s="30">
        <f>'дод 2'!G123</f>
        <v>0</v>
      </c>
      <c r="G85" s="30">
        <f>'дод 2'!H123</f>
        <v>0</v>
      </c>
      <c r="H85" s="30">
        <f>'дод 2'!I123</f>
        <v>0</v>
      </c>
      <c r="I85" s="30">
        <f>'дод 2'!J123</f>
        <v>0</v>
      </c>
      <c r="J85" s="30">
        <f>'дод 2'!K123</f>
        <v>0</v>
      </c>
      <c r="K85" s="30">
        <f>'дод 2'!L123</f>
        <v>0</v>
      </c>
      <c r="L85" s="120">
        <f t="shared" si="17"/>
        <v>0</v>
      </c>
      <c r="M85" s="30">
        <f>'дод 2'!N123</f>
        <v>5556300</v>
      </c>
      <c r="N85" s="30">
        <f>'дод 2'!O123</f>
        <v>5556300</v>
      </c>
      <c r="O85" s="30">
        <f>'дод 2'!P123</f>
        <v>0</v>
      </c>
      <c r="P85" s="30">
        <f>'дод 2'!Q123</f>
        <v>0</v>
      </c>
      <c r="Q85" s="30">
        <f>'дод 2'!R123</f>
        <v>0</v>
      </c>
      <c r="R85" s="30">
        <f>'дод 2'!S123</f>
        <v>5556300</v>
      </c>
      <c r="S85" s="30">
        <f>'дод 2'!T123</f>
        <v>8400000</v>
      </c>
      <c r="T85" s="30">
        <f>'дод 2'!U123</f>
        <v>0</v>
      </c>
      <c r="U85" s="30">
        <f>'дод 2'!V123</f>
        <v>0</v>
      </c>
      <c r="V85" s="30">
        <f>'дод 2'!W123</f>
        <v>0</v>
      </c>
      <c r="W85" s="30">
        <f>'дод 2'!X123</f>
        <v>0</v>
      </c>
      <c r="X85" s="30">
        <f>'дод 2'!Y123</f>
        <v>0</v>
      </c>
      <c r="Y85" s="30">
        <f>'дод 2'!Z123</f>
        <v>0</v>
      </c>
      <c r="Z85" s="120">
        <f t="shared" si="19"/>
        <v>0</v>
      </c>
      <c r="AA85" s="30">
        <f t="shared" si="18"/>
        <v>0</v>
      </c>
    </row>
    <row r="86" spans="1:27" s="31" customFormat="1" ht="63" customHeight="1" x14ac:dyDescent="0.25">
      <c r="A86" s="1" t="s">
        <v>653</v>
      </c>
      <c r="B86" s="1" t="s">
        <v>57</v>
      </c>
      <c r="C86" s="38" t="s">
        <v>674</v>
      </c>
      <c r="D86" s="30">
        <f>'дод 2'!E124+'дод 2'!E344</f>
        <v>0</v>
      </c>
      <c r="E86" s="30">
        <f>'дод 2'!F124+'дод 2'!F344</f>
        <v>0</v>
      </c>
      <c r="F86" s="30">
        <f>'дод 2'!G124+'дод 2'!G344</f>
        <v>0</v>
      </c>
      <c r="G86" s="30">
        <f>'дод 2'!H124+'дод 2'!H344</f>
        <v>0</v>
      </c>
      <c r="H86" s="30">
        <f>'дод 2'!I124+'дод 2'!I344</f>
        <v>0</v>
      </c>
      <c r="I86" s="30">
        <f>'дод 2'!J124+'дод 2'!J344</f>
        <v>0</v>
      </c>
      <c r="J86" s="30">
        <f>'дод 2'!K124+'дод 2'!K344</f>
        <v>0</v>
      </c>
      <c r="K86" s="30">
        <f>'дод 2'!L124+'дод 2'!L344</f>
        <v>0</v>
      </c>
      <c r="L86" s="120"/>
      <c r="M86" s="30">
        <f>'дод 2'!N124+'дод 2'!N344</f>
        <v>10976319</v>
      </c>
      <c r="N86" s="30">
        <f>'дод 2'!O124+'дод 2'!O344</f>
        <v>10976319</v>
      </c>
      <c r="O86" s="30">
        <f>'дод 2'!P124+'дод 2'!P344</f>
        <v>0</v>
      </c>
      <c r="P86" s="30">
        <f>'дод 2'!Q124+'дод 2'!Q344</f>
        <v>0</v>
      </c>
      <c r="Q86" s="30">
        <f>'дод 2'!R124+'дод 2'!R344</f>
        <v>0</v>
      </c>
      <c r="R86" s="30">
        <f>'дод 2'!S124+'дод 2'!S344</f>
        <v>10976319</v>
      </c>
      <c r="S86" s="30">
        <f>'дод 2'!T124+'дод 2'!T344</f>
        <v>10976319</v>
      </c>
      <c r="T86" s="30">
        <f>'дод 2'!U124+'дод 2'!U344</f>
        <v>2568423.92</v>
      </c>
      <c r="U86" s="30">
        <f>'дод 2'!V124+'дод 2'!V344</f>
        <v>2568423.92</v>
      </c>
      <c r="V86" s="30">
        <f>'дод 2'!W124+'дод 2'!W344</f>
        <v>0</v>
      </c>
      <c r="W86" s="30">
        <f>'дод 2'!X124+'дод 2'!X344</f>
        <v>0</v>
      </c>
      <c r="X86" s="30">
        <f>'дод 2'!Y124+'дод 2'!Y344</f>
        <v>0</v>
      </c>
      <c r="Y86" s="30">
        <f>'дод 2'!Z124+'дод 2'!Z344</f>
        <v>2568423.92</v>
      </c>
      <c r="Z86" s="120">
        <f t="shared" si="19"/>
        <v>23.399683627999512</v>
      </c>
      <c r="AA86" s="25">
        <f t="shared" si="18"/>
        <v>2568423.92</v>
      </c>
    </row>
    <row r="87" spans="1:27" s="31" customFormat="1" ht="63" x14ac:dyDescent="0.25">
      <c r="A87" s="1" t="s">
        <v>654</v>
      </c>
      <c r="B87" s="1" t="s">
        <v>57</v>
      </c>
      <c r="C87" s="43" t="s">
        <v>708</v>
      </c>
      <c r="D87" s="30">
        <f>'дод 2'!E125+'дод 2'!E345</f>
        <v>0</v>
      </c>
      <c r="E87" s="30">
        <f>'дод 2'!F125+'дод 2'!F345</f>
        <v>0</v>
      </c>
      <c r="F87" s="30">
        <f>'дод 2'!G125+'дод 2'!G345</f>
        <v>0</v>
      </c>
      <c r="G87" s="30">
        <f>'дод 2'!H125+'дод 2'!H345</f>
        <v>0</v>
      </c>
      <c r="H87" s="30">
        <f>'дод 2'!I125+'дод 2'!I345</f>
        <v>0</v>
      </c>
      <c r="I87" s="30">
        <f>'дод 2'!J125+'дод 2'!J345</f>
        <v>0</v>
      </c>
      <c r="J87" s="30">
        <f>'дод 2'!K125+'дод 2'!K345</f>
        <v>0</v>
      </c>
      <c r="K87" s="30">
        <f>'дод 2'!L125+'дод 2'!L345</f>
        <v>0</v>
      </c>
      <c r="L87" s="120"/>
      <c r="M87" s="30">
        <f>'дод 2'!N125+'дод 2'!N345</f>
        <v>17211412</v>
      </c>
      <c r="N87" s="30">
        <f>'дод 2'!O125+'дод 2'!O345</f>
        <v>17211412</v>
      </c>
      <c r="O87" s="30">
        <f>'дод 2'!P125+'дод 2'!P345</f>
        <v>0</v>
      </c>
      <c r="P87" s="30">
        <f>'дод 2'!Q125+'дод 2'!Q345</f>
        <v>0</v>
      </c>
      <c r="Q87" s="30">
        <f>'дод 2'!R125+'дод 2'!R345</f>
        <v>0</v>
      </c>
      <c r="R87" s="30">
        <f>'дод 2'!S125+'дод 2'!S345</f>
        <v>17211412</v>
      </c>
      <c r="S87" s="30">
        <f>'дод 2'!T125+'дод 2'!T345</f>
        <v>17211412</v>
      </c>
      <c r="T87" s="30">
        <f>'дод 2'!U125+'дод 2'!U345</f>
        <v>4732732</v>
      </c>
      <c r="U87" s="30">
        <f>'дод 2'!V125+'дод 2'!V345</f>
        <v>4732732</v>
      </c>
      <c r="V87" s="30">
        <f>'дод 2'!W125+'дод 2'!W345</f>
        <v>0</v>
      </c>
      <c r="W87" s="30">
        <f>'дод 2'!X125+'дод 2'!X345</f>
        <v>0</v>
      </c>
      <c r="X87" s="30">
        <f>'дод 2'!Y125+'дод 2'!Y345</f>
        <v>0</v>
      </c>
      <c r="Y87" s="30">
        <f>'дод 2'!Z125+'дод 2'!Z345</f>
        <v>4732732</v>
      </c>
      <c r="Z87" s="120">
        <f t="shared" si="19"/>
        <v>27.497639356956881</v>
      </c>
      <c r="AA87" s="25">
        <f t="shared" si="18"/>
        <v>4732732</v>
      </c>
    </row>
    <row r="88" spans="1:27" s="31" customFormat="1" ht="50.25" customHeight="1" x14ac:dyDescent="0.25">
      <c r="A88" s="41"/>
      <c r="B88" s="41"/>
      <c r="C88" s="39" t="s">
        <v>706</v>
      </c>
      <c r="D88" s="30">
        <f>'дод 2'!E126+'дод 2'!E346</f>
        <v>0</v>
      </c>
      <c r="E88" s="30">
        <f>'дод 2'!F126+'дод 2'!F346</f>
        <v>0</v>
      </c>
      <c r="F88" s="30">
        <f>'дод 2'!G126+'дод 2'!G346</f>
        <v>0</v>
      </c>
      <c r="G88" s="30">
        <f>'дод 2'!H126+'дод 2'!H346</f>
        <v>0</v>
      </c>
      <c r="H88" s="30">
        <f>'дод 2'!I126+'дод 2'!I346</f>
        <v>0</v>
      </c>
      <c r="I88" s="30">
        <f>'дод 2'!J126+'дод 2'!J346</f>
        <v>0</v>
      </c>
      <c r="J88" s="30">
        <f>'дод 2'!K126+'дод 2'!K346</f>
        <v>0</v>
      </c>
      <c r="K88" s="30">
        <f>'дод 2'!L126+'дод 2'!L346</f>
        <v>0</v>
      </c>
      <c r="L88" s="120"/>
      <c r="M88" s="30">
        <f>'дод 2'!N126+'дод 2'!N346</f>
        <v>17211412</v>
      </c>
      <c r="N88" s="30">
        <f>'дод 2'!O126+'дод 2'!O346</f>
        <v>17211412</v>
      </c>
      <c r="O88" s="30">
        <f>'дод 2'!P126+'дод 2'!P346</f>
        <v>0</v>
      </c>
      <c r="P88" s="30">
        <f>'дод 2'!Q126+'дод 2'!Q346</f>
        <v>0</v>
      </c>
      <c r="Q88" s="30">
        <f>'дод 2'!R126+'дод 2'!R346</f>
        <v>0</v>
      </c>
      <c r="R88" s="30">
        <f>'дод 2'!S126+'дод 2'!S346</f>
        <v>17211412</v>
      </c>
      <c r="S88" s="30">
        <f>'дод 2'!T126+'дод 2'!T346</f>
        <v>17211412</v>
      </c>
      <c r="T88" s="30">
        <f>'дод 2'!U126+'дод 2'!U346</f>
        <v>4732732</v>
      </c>
      <c r="U88" s="30">
        <f>'дод 2'!V126+'дод 2'!V346</f>
        <v>4732732</v>
      </c>
      <c r="V88" s="30">
        <f>'дод 2'!W126+'дод 2'!W346</f>
        <v>0</v>
      </c>
      <c r="W88" s="30">
        <f>'дод 2'!X126+'дод 2'!X346</f>
        <v>0</v>
      </c>
      <c r="X88" s="30">
        <f>'дод 2'!Y126+'дод 2'!Y346</f>
        <v>0</v>
      </c>
      <c r="Y88" s="30">
        <f>'дод 2'!Z126+'дод 2'!Z346</f>
        <v>4732732</v>
      </c>
      <c r="Z88" s="125">
        <f t="shared" si="19"/>
        <v>27.497639356956881</v>
      </c>
      <c r="AA88" s="30">
        <f t="shared" si="18"/>
        <v>4732732</v>
      </c>
    </row>
    <row r="89" spans="1:27" s="31" customFormat="1" ht="94.5" customHeight="1" x14ac:dyDescent="0.25">
      <c r="A89" s="3">
        <v>1291</v>
      </c>
      <c r="B89" s="1" t="s">
        <v>57</v>
      </c>
      <c r="C89" s="4" t="s">
        <v>697</v>
      </c>
      <c r="D89" s="25">
        <f>'дод 2'!E127</f>
        <v>0</v>
      </c>
      <c r="E89" s="25">
        <f>'дод 2'!F127</f>
        <v>0</v>
      </c>
      <c r="F89" s="25">
        <f>'дод 2'!G127</f>
        <v>0</v>
      </c>
      <c r="G89" s="25">
        <f>'дод 2'!H127</f>
        <v>0</v>
      </c>
      <c r="H89" s="25">
        <f>'дод 2'!I127</f>
        <v>0</v>
      </c>
      <c r="I89" s="25">
        <f>'дод 2'!J127</f>
        <v>0</v>
      </c>
      <c r="J89" s="25">
        <f>'дод 2'!K127</f>
        <v>0</v>
      </c>
      <c r="K89" s="25">
        <f>'дод 2'!L127</f>
        <v>0</v>
      </c>
      <c r="L89" s="120"/>
      <c r="M89" s="25">
        <f>'дод 2'!N127</f>
        <v>3097872</v>
      </c>
      <c r="N89" s="25">
        <f>'дод 2'!O127</f>
        <v>3097872</v>
      </c>
      <c r="O89" s="25">
        <f>'дод 2'!P127</f>
        <v>0</v>
      </c>
      <c r="P89" s="25">
        <f>'дод 2'!Q127</f>
        <v>0</v>
      </c>
      <c r="Q89" s="25">
        <f>'дод 2'!R127</f>
        <v>0</v>
      </c>
      <c r="R89" s="25">
        <f>'дод 2'!S127</f>
        <v>3097872</v>
      </c>
      <c r="S89" s="25">
        <f>'дод 2'!T127</f>
        <v>3097872</v>
      </c>
      <c r="T89" s="25">
        <f>'дод 2'!U127</f>
        <v>0</v>
      </c>
      <c r="U89" s="25">
        <f>'дод 2'!V127</f>
        <v>0</v>
      </c>
      <c r="V89" s="25">
        <f>'дод 2'!W127</f>
        <v>0</v>
      </c>
      <c r="W89" s="25">
        <f>'дод 2'!X127</f>
        <v>0</v>
      </c>
      <c r="X89" s="25">
        <f>'дод 2'!Y127</f>
        <v>0</v>
      </c>
      <c r="Y89" s="25">
        <f>'дод 2'!Z127</f>
        <v>0</v>
      </c>
      <c r="Z89" s="120">
        <f t="shared" si="19"/>
        <v>0</v>
      </c>
      <c r="AA89" s="25">
        <f t="shared" si="18"/>
        <v>0</v>
      </c>
    </row>
    <row r="90" spans="1:27" s="31" customFormat="1" ht="72" customHeight="1" x14ac:dyDescent="0.25">
      <c r="A90" s="1" t="s">
        <v>692</v>
      </c>
      <c r="B90" s="1" t="s">
        <v>57</v>
      </c>
      <c r="C90" s="38" t="s">
        <v>693</v>
      </c>
      <c r="D90" s="30">
        <f>'дод 2'!E128</f>
        <v>0</v>
      </c>
      <c r="E90" s="30">
        <f>'дод 2'!F128</f>
        <v>0</v>
      </c>
      <c r="F90" s="30">
        <f>'дод 2'!G128</f>
        <v>0</v>
      </c>
      <c r="G90" s="30">
        <f>'дод 2'!H128</f>
        <v>0</v>
      </c>
      <c r="H90" s="30">
        <f>'дод 2'!I128</f>
        <v>0</v>
      </c>
      <c r="I90" s="30">
        <f>'дод 2'!J128</f>
        <v>0</v>
      </c>
      <c r="J90" s="30">
        <f>'дод 2'!K128</f>
        <v>0</v>
      </c>
      <c r="K90" s="30">
        <f>'дод 2'!L128</f>
        <v>0</v>
      </c>
      <c r="L90" s="120"/>
      <c r="M90" s="30">
        <f>'дод 2'!N128</f>
        <v>7490430</v>
      </c>
      <c r="N90" s="30">
        <f>'дод 2'!O128</f>
        <v>0</v>
      </c>
      <c r="O90" s="30">
        <f>'дод 2'!P128</f>
        <v>262064</v>
      </c>
      <c r="P90" s="30">
        <f>'дод 2'!Q128</f>
        <v>0</v>
      </c>
      <c r="Q90" s="30">
        <f>'дод 2'!R128</f>
        <v>0</v>
      </c>
      <c r="R90" s="30">
        <f>'дод 2'!S128</f>
        <v>7228366</v>
      </c>
      <c r="S90" s="30">
        <f>'дод 2'!T128</f>
        <v>7490430</v>
      </c>
      <c r="T90" s="30">
        <f>'дод 2'!U128</f>
        <v>0</v>
      </c>
      <c r="U90" s="30">
        <f>'дод 2'!V128</f>
        <v>0</v>
      </c>
      <c r="V90" s="30">
        <f>'дод 2'!W128</f>
        <v>0</v>
      </c>
      <c r="W90" s="30">
        <f>'дод 2'!X128</f>
        <v>0</v>
      </c>
      <c r="X90" s="30">
        <f>'дод 2'!Y128</f>
        <v>0</v>
      </c>
      <c r="Y90" s="30">
        <f>'дод 2'!Z128</f>
        <v>0</v>
      </c>
      <c r="Z90" s="120">
        <f t="shared" si="19"/>
        <v>0</v>
      </c>
      <c r="AA90" s="25">
        <f t="shared" si="18"/>
        <v>0</v>
      </c>
    </row>
    <row r="91" spans="1:27" s="31" customFormat="1" ht="40.5" customHeight="1" x14ac:dyDescent="0.25">
      <c r="A91" s="41"/>
      <c r="B91" s="41"/>
      <c r="C91" s="39" t="s">
        <v>504</v>
      </c>
      <c r="D91" s="30">
        <f>'дод 2'!E129</f>
        <v>0</v>
      </c>
      <c r="E91" s="30">
        <f>'дод 2'!F129</f>
        <v>0</v>
      </c>
      <c r="F91" s="30">
        <f>'дод 2'!G129</f>
        <v>0</v>
      </c>
      <c r="G91" s="30">
        <f>'дод 2'!H129</f>
        <v>0</v>
      </c>
      <c r="H91" s="30">
        <f>'дод 2'!I129</f>
        <v>0</v>
      </c>
      <c r="I91" s="30">
        <f>'дод 2'!J129</f>
        <v>0</v>
      </c>
      <c r="J91" s="30">
        <f>'дод 2'!K129</f>
        <v>0</v>
      </c>
      <c r="K91" s="30">
        <f>'дод 2'!L129</f>
        <v>0</v>
      </c>
      <c r="L91" s="120"/>
      <c r="M91" s="30">
        <f>'дод 2'!N129</f>
        <v>7490430</v>
      </c>
      <c r="N91" s="30">
        <f>'дод 2'!O129</f>
        <v>0</v>
      </c>
      <c r="O91" s="30">
        <f>'дод 2'!P129</f>
        <v>262064</v>
      </c>
      <c r="P91" s="30">
        <f>'дод 2'!Q129</f>
        <v>0</v>
      </c>
      <c r="Q91" s="30">
        <f>'дод 2'!R129</f>
        <v>0</v>
      </c>
      <c r="R91" s="30">
        <f>'дод 2'!S129</f>
        <v>7228366</v>
      </c>
      <c r="S91" s="30">
        <f>'дод 2'!T129</f>
        <v>7490430</v>
      </c>
      <c r="T91" s="30">
        <f>'дод 2'!U129</f>
        <v>0</v>
      </c>
      <c r="U91" s="30">
        <f>'дод 2'!V129</f>
        <v>0</v>
      </c>
      <c r="V91" s="30">
        <f>'дод 2'!W129</f>
        <v>0</v>
      </c>
      <c r="W91" s="30">
        <f>'дод 2'!X129</f>
        <v>0</v>
      </c>
      <c r="X91" s="30">
        <f>'дод 2'!Y129</f>
        <v>0</v>
      </c>
      <c r="Y91" s="30">
        <f>'дод 2'!Z129</f>
        <v>0</v>
      </c>
      <c r="Z91" s="120">
        <f t="shared" si="19"/>
        <v>0</v>
      </c>
      <c r="AA91" s="30">
        <f t="shared" si="18"/>
        <v>0</v>
      </c>
    </row>
    <row r="92" spans="1:27" s="19" customFormat="1" ht="19.5" customHeight="1" x14ac:dyDescent="0.25">
      <c r="A92" s="32" t="s">
        <v>58</v>
      </c>
      <c r="B92" s="33"/>
      <c r="C92" s="22" t="s">
        <v>622</v>
      </c>
      <c r="D92" s="23">
        <f>D99+D105+D108+D110+D112+D115+D116+D103+D107</f>
        <v>121290740</v>
      </c>
      <c r="E92" s="23">
        <f t="shared" ref="E92:Y92" si="20">E99+E105+E108+E110+E112+E115+E116+E103+E107</f>
        <v>121290740</v>
      </c>
      <c r="F92" s="23">
        <f t="shared" si="20"/>
        <v>3079800</v>
      </c>
      <c r="G92" s="23">
        <f t="shared" si="20"/>
        <v>154200</v>
      </c>
      <c r="H92" s="23">
        <f t="shared" si="20"/>
        <v>0</v>
      </c>
      <c r="I92" s="23">
        <f t="shared" si="20"/>
        <v>53125690.670000002</v>
      </c>
      <c r="J92" s="23">
        <f t="shared" si="20"/>
        <v>1501519.72</v>
      </c>
      <c r="K92" s="23">
        <f t="shared" si="20"/>
        <v>74827</v>
      </c>
      <c r="L92" s="123">
        <f t="shared" si="17"/>
        <v>43.800285718431596</v>
      </c>
      <c r="M92" s="23">
        <f t="shared" si="20"/>
        <v>67113814</v>
      </c>
      <c r="N92" s="23">
        <f t="shared" si="20"/>
        <v>67113814</v>
      </c>
      <c r="O92" s="23">
        <f t="shared" si="20"/>
        <v>0</v>
      </c>
      <c r="P92" s="23">
        <f t="shared" si="20"/>
        <v>0</v>
      </c>
      <c r="Q92" s="23">
        <f t="shared" si="20"/>
        <v>0</v>
      </c>
      <c r="R92" s="23">
        <f t="shared" si="20"/>
        <v>67113814</v>
      </c>
      <c r="S92" s="23">
        <f t="shared" si="20"/>
        <v>188404554</v>
      </c>
      <c r="T92" s="23">
        <f t="shared" si="20"/>
        <v>50667713</v>
      </c>
      <c r="U92" s="23">
        <f t="shared" si="20"/>
        <v>50476644</v>
      </c>
      <c r="V92" s="23">
        <f t="shared" si="20"/>
        <v>191069</v>
      </c>
      <c r="W92" s="23">
        <f t="shared" si="20"/>
        <v>0</v>
      </c>
      <c r="X92" s="23">
        <f t="shared" si="20"/>
        <v>0</v>
      </c>
      <c r="Y92" s="23">
        <f t="shared" si="20"/>
        <v>50476644</v>
      </c>
      <c r="Z92" s="123">
        <f t="shared" si="19"/>
        <v>75.495207290707683</v>
      </c>
      <c r="AA92" s="23">
        <f t="shared" si="18"/>
        <v>103793403.67</v>
      </c>
    </row>
    <row r="93" spans="1:27" s="37" customFormat="1" ht="31.5" hidden="1" customHeight="1" x14ac:dyDescent="0.25">
      <c r="A93" s="34"/>
      <c r="B93" s="7"/>
      <c r="C93" s="35" t="s">
        <v>384</v>
      </c>
      <c r="D93" s="36">
        <f>D100+D106+D109</f>
        <v>0</v>
      </c>
      <c r="E93" s="36">
        <f t="shared" ref="E93:Y93" si="21">E100+E106+E109</f>
        <v>0</v>
      </c>
      <c r="F93" s="36">
        <f t="shared" si="21"/>
        <v>0</v>
      </c>
      <c r="G93" s="36">
        <f t="shared" si="21"/>
        <v>0</v>
      </c>
      <c r="H93" s="36">
        <f t="shared" si="21"/>
        <v>0</v>
      </c>
      <c r="I93" s="36">
        <f t="shared" si="21"/>
        <v>0</v>
      </c>
      <c r="J93" s="36">
        <f t="shared" si="21"/>
        <v>0</v>
      </c>
      <c r="K93" s="36">
        <f t="shared" si="21"/>
        <v>0</v>
      </c>
      <c r="L93" s="120" t="e">
        <f t="shared" si="17"/>
        <v>#DIV/0!</v>
      </c>
      <c r="M93" s="36">
        <f t="shared" si="21"/>
        <v>0</v>
      </c>
      <c r="N93" s="36">
        <f t="shared" si="21"/>
        <v>0</v>
      </c>
      <c r="O93" s="36">
        <f t="shared" si="21"/>
        <v>0</v>
      </c>
      <c r="P93" s="36">
        <f t="shared" si="21"/>
        <v>0</v>
      </c>
      <c r="Q93" s="36">
        <f t="shared" si="21"/>
        <v>0</v>
      </c>
      <c r="R93" s="36">
        <f t="shared" si="21"/>
        <v>0</v>
      </c>
      <c r="S93" s="36">
        <f t="shared" si="21"/>
        <v>0</v>
      </c>
      <c r="T93" s="36">
        <f t="shared" si="21"/>
        <v>0</v>
      </c>
      <c r="U93" s="36">
        <f t="shared" si="21"/>
        <v>0</v>
      </c>
      <c r="V93" s="36">
        <f t="shared" si="21"/>
        <v>0</v>
      </c>
      <c r="W93" s="36">
        <f t="shared" si="21"/>
        <v>0</v>
      </c>
      <c r="X93" s="36">
        <f t="shared" si="21"/>
        <v>0</v>
      </c>
      <c r="Y93" s="36">
        <f t="shared" si="21"/>
        <v>0</v>
      </c>
      <c r="Z93" s="120" t="e">
        <f t="shared" si="19"/>
        <v>#DIV/0!</v>
      </c>
      <c r="AA93" s="25">
        <f t="shared" si="18"/>
        <v>0</v>
      </c>
    </row>
    <row r="94" spans="1:27" s="37" customFormat="1" ht="47.25" hidden="1" customHeight="1" x14ac:dyDescent="0.25">
      <c r="A94" s="34"/>
      <c r="B94" s="7"/>
      <c r="C94" s="35" t="s">
        <v>385</v>
      </c>
      <c r="D94" s="36">
        <f>D101+D113</f>
        <v>0</v>
      </c>
      <c r="E94" s="36">
        <f t="shared" ref="E94:Y94" si="22">E101+E113</f>
        <v>0</v>
      </c>
      <c r="F94" s="36">
        <f t="shared" si="22"/>
        <v>0</v>
      </c>
      <c r="G94" s="36">
        <f t="shared" si="22"/>
        <v>0</v>
      </c>
      <c r="H94" s="36">
        <f t="shared" si="22"/>
        <v>0</v>
      </c>
      <c r="I94" s="36">
        <f t="shared" si="22"/>
        <v>0</v>
      </c>
      <c r="J94" s="36">
        <f t="shared" si="22"/>
        <v>0</v>
      </c>
      <c r="K94" s="36">
        <f t="shared" si="22"/>
        <v>0</v>
      </c>
      <c r="L94" s="120" t="e">
        <f t="shared" si="17"/>
        <v>#DIV/0!</v>
      </c>
      <c r="M94" s="36">
        <f t="shared" si="22"/>
        <v>0</v>
      </c>
      <c r="N94" s="36">
        <f t="shared" si="22"/>
        <v>0</v>
      </c>
      <c r="O94" s="36">
        <f t="shared" si="22"/>
        <v>0</v>
      </c>
      <c r="P94" s="36">
        <f t="shared" si="22"/>
        <v>0</v>
      </c>
      <c r="Q94" s="36">
        <f t="shared" si="22"/>
        <v>0</v>
      </c>
      <c r="R94" s="36">
        <f t="shared" si="22"/>
        <v>0</v>
      </c>
      <c r="S94" s="36">
        <f t="shared" si="22"/>
        <v>0</v>
      </c>
      <c r="T94" s="36">
        <f t="shared" si="22"/>
        <v>0</v>
      </c>
      <c r="U94" s="36">
        <f t="shared" si="22"/>
        <v>0</v>
      </c>
      <c r="V94" s="36">
        <f t="shared" si="22"/>
        <v>0</v>
      </c>
      <c r="W94" s="36">
        <f t="shared" si="22"/>
        <v>0</v>
      </c>
      <c r="X94" s="36">
        <f t="shared" si="22"/>
        <v>0</v>
      </c>
      <c r="Y94" s="36">
        <f t="shared" si="22"/>
        <v>0</v>
      </c>
      <c r="Z94" s="120" t="e">
        <f t="shared" si="19"/>
        <v>#DIV/0!</v>
      </c>
      <c r="AA94" s="25">
        <f t="shared" si="18"/>
        <v>0</v>
      </c>
    </row>
    <row r="95" spans="1:27" s="37" customFormat="1" ht="66.75" hidden="1" customHeight="1" x14ac:dyDescent="0.25">
      <c r="A95" s="34"/>
      <c r="B95" s="7"/>
      <c r="C95" s="35" t="s">
        <v>386</v>
      </c>
      <c r="D95" s="36">
        <f>D111+D114</f>
        <v>0</v>
      </c>
      <c r="E95" s="36">
        <f t="shared" ref="E95:Y95" si="23">E111+E114</f>
        <v>0</v>
      </c>
      <c r="F95" s="36">
        <f t="shared" si="23"/>
        <v>0</v>
      </c>
      <c r="G95" s="36">
        <f t="shared" si="23"/>
        <v>0</v>
      </c>
      <c r="H95" s="36">
        <f t="shared" si="23"/>
        <v>0</v>
      </c>
      <c r="I95" s="36">
        <f t="shared" si="23"/>
        <v>0</v>
      </c>
      <c r="J95" s="36">
        <f t="shared" si="23"/>
        <v>0</v>
      </c>
      <c r="K95" s="36">
        <f t="shared" si="23"/>
        <v>0</v>
      </c>
      <c r="L95" s="120" t="e">
        <f t="shared" si="17"/>
        <v>#DIV/0!</v>
      </c>
      <c r="M95" s="36">
        <f t="shared" si="23"/>
        <v>0</v>
      </c>
      <c r="N95" s="36">
        <f t="shared" si="23"/>
        <v>0</v>
      </c>
      <c r="O95" s="36">
        <f t="shared" si="23"/>
        <v>0</v>
      </c>
      <c r="P95" s="36">
        <f t="shared" si="23"/>
        <v>0</v>
      </c>
      <c r="Q95" s="36">
        <f t="shared" si="23"/>
        <v>0</v>
      </c>
      <c r="R95" s="36">
        <f t="shared" si="23"/>
        <v>0</v>
      </c>
      <c r="S95" s="36">
        <f t="shared" si="23"/>
        <v>0</v>
      </c>
      <c r="T95" s="36">
        <f t="shared" si="23"/>
        <v>0</v>
      </c>
      <c r="U95" s="36">
        <f t="shared" si="23"/>
        <v>0</v>
      </c>
      <c r="V95" s="36">
        <f t="shared" si="23"/>
        <v>0</v>
      </c>
      <c r="W95" s="36">
        <f t="shared" si="23"/>
        <v>0</v>
      </c>
      <c r="X95" s="36">
        <f t="shared" si="23"/>
        <v>0</v>
      </c>
      <c r="Y95" s="36">
        <f t="shared" si="23"/>
        <v>0</v>
      </c>
      <c r="Z95" s="120" t="e">
        <f t="shared" si="19"/>
        <v>#DIV/0!</v>
      </c>
      <c r="AA95" s="25">
        <f t="shared" si="18"/>
        <v>0</v>
      </c>
    </row>
    <row r="96" spans="1:27" s="37" customFormat="1" ht="15.75" hidden="1" customHeight="1" x14ac:dyDescent="0.25">
      <c r="A96" s="34"/>
      <c r="B96" s="7"/>
      <c r="C96" s="35" t="s">
        <v>387</v>
      </c>
      <c r="D96" s="36">
        <f>D102</f>
        <v>0</v>
      </c>
      <c r="E96" s="36">
        <f t="shared" ref="E96:Y96" si="24">E102</f>
        <v>0</v>
      </c>
      <c r="F96" s="36">
        <f t="shared" si="24"/>
        <v>0</v>
      </c>
      <c r="G96" s="36">
        <f t="shared" si="24"/>
        <v>0</v>
      </c>
      <c r="H96" s="36">
        <f t="shared" si="24"/>
        <v>0</v>
      </c>
      <c r="I96" s="36">
        <f t="shared" si="24"/>
        <v>0</v>
      </c>
      <c r="J96" s="36">
        <f t="shared" si="24"/>
        <v>0</v>
      </c>
      <c r="K96" s="36">
        <f t="shared" si="24"/>
        <v>0</v>
      </c>
      <c r="L96" s="120" t="e">
        <f t="shared" si="17"/>
        <v>#DIV/0!</v>
      </c>
      <c r="M96" s="36">
        <f t="shared" si="24"/>
        <v>0</v>
      </c>
      <c r="N96" s="36">
        <f t="shared" si="24"/>
        <v>0</v>
      </c>
      <c r="O96" s="36">
        <f t="shared" si="24"/>
        <v>0</v>
      </c>
      <c r="P96" s="36">
        <f t="shared" si="24"/>
        <v>0</v>
      </c>
      <c r="Q96" s="36">
        <f t="shared" si="24"/>
        <v>0</v>
      </c>
      <c r="R96" s="36">
        <f t="shared" si="24"/>
        <v>0</v>
      </c>
      <c r="S96" s="36">
        <f t="shared" si="24"/>
        <v>0</v>
      </c>
      <c r="T96" s="36">
        <f t="shared" si="24"/>
        <v>0</v>
      </c>
      <c r="U96" s="36">
        <f t="shared" si="24"/>
        <v>0</v>
      </c>
      <c r="V96" s="36">
        <f t="shared" si="24"/>
        <v>0</v>
      </c>
      <c r="W96" s="36">
        <f t="shared" si="24"/>
        <v>0</v>
      </c>
      <c r="X96" s="36">
        <f t="shared" si="24"/>
        <v>0</v>
      </c>
      <c r="Y96" s="36">
        <f t="shared" si="24"/>
        <v>0</v>
      </c>
      <c r="Z96" s="120" t="e">
        <f t="shared" si="19"/>
        <v>#DIV/0!</v>
      </c>
      <c r="AA96" s="25">
        <f t="shared" si="18"/>
        <v>0</v>
      </c>
    </row>
    <row r="97" spans="1:27" s="37" customFormat="1" ht="15.75" hidden="1" customHeight="1" x14ac:dyDescent="0.25">
      <c r="A97" s="34"/>
      <c r="B97" s="7"/>
      <c r="C97" s="44" t="str">
        <f>'дод 2'!D161</f>
        <v>місцевого запозичення</v>
      </c>
      <c r="D97" s="36"/>
      <c r="E97" s="36"/>
      <c r="F97" s="36"/>
      <c r="G97" s="36"/>
      <c r="H97" s="36"/>
      <c r="I97" s="36"/>
      <c r="J97" s="36"/>
      <c r="K97" s="36"/>
      <c r="L97" s="120" t="e">
        <f t="shared" si="17"/>
        <v>#DIV/0!</v>
      </c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120" t="e">
        <f t="shared" si="19"/>
        <v>#DIV/0!</v>
      </c>
      <c r="AA97" s="25">
        <f t="shared" si="18"/>
        <v>0</v>
      </c>
    </row>
    <row r="98" spans="1:27" s="37" customFormat="1" ht="94.5" hidden="1" customHeight="1" x14ac:dyDescent="0.25">
      <c r="A98" s="34"/>
      <c r="B98" s="7"/>
      <c r="C98" s="45" t="s">
        <v>600</v>
      </c>
      <c r="D98" s="36">
        <f>D104</f>
        <v>0</v>
      </c>
      <c r="E98" s="36">
        <f t="shared" ref="E98:Y98" si="25">E104</f>
        <v>0</v>
      </c>
      <c r="F98" s="36">
        <f t="shared" si="25"/>
        <v>0</v>
      </c>
      <c r="G98" s="36">
        <f t="shared" si="25"/>
        <v>0</v>
      </c>
      <c r="H98" s="36">
        <f t="shared" si="25"/>
        <v>0</v>
      </c>
      <c r="I98" s="36">
        <f t="shared" si="25"/>
        <v>0</v>
      </c>
      <c r="J98" s="36">
        <f t="shared" si="25"/>
        <v>0</v>
      </c>
      <c r="K98" s="36">
        <f t="shared" si="25"/>
        <v>0</v>
      </c>
      <c r="L98" s="120" t="e">
        <f t="shared" si="17"/>
        <v>#DIV/0!</v>
      </c>
      <c r="M98" s="36">
        <f t="shared" si="25"/>
        <v>0</v>
      </c>
      <c r="N98" s="36">
        <f t="shared" si="25"/>
        <v>0</v>
      </c>
      <c r="O98" s="36">
        <f t="shared" si="25"/>
        <v>0</v>
      </c>
      <c r="P98" s="36">
        <f t="shared" si="25"/>
        <v>0</v>
      </c>
      <c r="Q98" s="36">
        <f t="shared" si="25"/>
        <v>0</v>
      </c>
      <c r="R98" s="36">
        <f t="shared" si="25"/>
        <v>0</v>
      </c>
      <c r="S98" s="36">
        <f t="shared" si="25"/>
        <v>0</v>
      </c>
      <c r="T98" s="36">
        <f t="shared" si="25"/>
        <v>0</v>
      </c>
      <c r="U98" s="36">
        <f t="shared" si="25"/>
        <v>0</v>
      </c>
      <c r="V98" s="36">
        <f t="shared" si="25"/>
        <v>0</v>
      </c>
      <c r="W98" s="36">
        <f t="shared" si="25"/>
        <v>0</v>
      </c>
      <c r="X98" s="36">
        <f t="shared" si="25"/>
        <v>0</v>
      </c>
      <c r="Y98" s="36">
        <f t="shared" si="25"/>
        <v>0</v>
      </c>
      <c r="Z98" s="120" t="e">
        <f t="shared" si="19"/>
        <v>#DIV/0!</v>
      </c>
      <c r="AA98" s="25">
        <f t="shared" si="18"/>
        <v>0</v>
      </c>
    </row>
    <row r="99" spans="1:27" ht="33" customHeight="1" x14ac:dyDescent="0.25">
      <c r="A99" s="24" t="s">
        <v>59</v>
      </c>
      <c r="B99" s="24" t="s">
        <v>60</v>
      </c>
      <c r="C99" s="4" t="s">
        <v>556</v>
      </c>
      <c r="D99" s="25">
        <f>'дод 2'!E164+'дод 2'!E342</f>
        <v>68478300</v>
      </c>
      <c r="E99" s="25">
        <f>'дод 2'!F164+'дод 2'!F342</f>
        <v>68478300</v>
      </c>
      <c r="F99" s="25">
        <f>'дод 2'!G164+'дод 2'!G342</f>
        <v>0</v>
      </c>
      <c r="G99" s="25">
        <f>'дод 2'!H164+'дод 2'!H342</f>
        <v>0</v>
      </c>
      <c r="H99" s="25">
        <f>'дод 2'!I164+'дод 2'!I342</f>
        <v>0</v>
      </c>
      <c r="I99" s="25">
        <f>'дод 2'!J164+'дод 2'!J342</f>
        <v>30418238.190000001</v>
      </c>
      <c r="J99" s="25">
        <f>'дод 2'!K164+'дод 2'!K342</f>
        <v>0</v>
      </c>
      <c r="K99" s="25">
        <f>'дод 2'!L164+'дод 2'!L342</f>
        <v>0</v>
      </c>
      <c r="L99" s="120">
        <f t="shared" si="17"/>
        <v>44.420258957947262</v>
      </c>
      <c r="M99" s="25">
        <f>'дод 2'!N164+'дод 2'!N342</f>
        <v>15475687</v>
      </c>
      <c r="N99" s="25">
        <f>'дод 2'!O164+'дод 2'!O342</f>
        <v>15475687</v>
      </c>
      <c r="O99" s="25">
        <f>'дод 2'!P164+'дод 2'!P342</f>
        <v>0</v>
      </c>
      <c r="P99" s="25">
        <f>'дод 2'!Q164+'дод 2'!Q342</f>
        <v>0</v>
      </c>
      <c r="Q99" s="25">
        <f>'дод 2'!R164+'дод 2'!R342</f>
        <v>0</v>
      </c>
      <c r="R99" s="25">
        <f>'дод 2'!S164+'дод 2'!S342</f>
        <v>15475687</v>
      </c>
      <c r="S99" s="25">
        <f>'дод 2'!T164+'дод 2'!T342</f>
        <v>83953987</v>
      </c>
      <c r="T99" s="25">
        <f>'дод 2'!U164+'дод 2'!U342</f>
        <v>476644</v>
      </c>
      <c r="U99" s="25">
        <f>'дод 2'!V164+'дод 2'!V342</f>
        <v>476644</v>
      </c>
      <c r="V99" s="25">
        <f>'дод 2'!W164+'дод 2'!W342</f>
        <v>0</v>
      </c>
      <c r="W99" s="25">
        <f>'дод 2'!X164+'дод 2'!X342</f>
        <v>0</v>
      </c>
      <c r="X99" s="25">
        <f>'дод 2'!Y164+'дод 2'!Y342</f>
        <v>0</v>
      </c>
      <c r="Y99" s="25">
        <f>'дод 2'!Z164+'дод 2'!Z342</f>
        <v>476644</v>
      </c>
      <c r="Z99" s="120">
        <f t="shared" si="19"/>
        <v>3.0799537364641711</v>
      </c>
      <c r="AA99" s="25">
        <f t="shared" si="18"/>
        <v>30894882.190000001</v>
      </c>
    </row>
    <row r="100" spans="1:27" s="31" customFormat="1" ht="31.5" hidden="1" customHeight="1" x14ac:dyDescent="0.25">
      <c r="A100" s="27"/>
      <c r="B100" s="27"/>
      <c r="C100" s="29" t="s">
        <v>384</v>
      </c>
      <c r="D100" s="30">
        <f>'дод 2'!E165</f>
        <v>0</v>
      </c>
      <c r="E100" s="30">
        <f>'дод 2'!F165</f>
        <v>0</v>
      </c>
      <c r="F100" s="30">
        <f>'дод 2'!G165</f>
        <v>0</v>
      </c>
      <c r="G100" s="30">
        <f>'дод 2'!H165</f>
        <v>0</v>
      </c>
      <c r="H100" s="30">
        <f>'дод 2'!I165</f>
        <v>0</v>
      </c>
      <c r="I100" s="30">
        <f>'дод 2'!J165</f>
        <v>0</v>
      </c>
      <c r="J100" s="30">
        <f>'дод 2'!K165</f>
        <v>0</v>
      </c>
      <c r="K100" s="30">
        <f>'дод 2'!L165</f>
        <v>0</v>
      </c>
      <c r="L100" s="120" t="e">
        <f t="shared" si="17"/>
        <v>#DIV/0!</v>
      </c>
      <c r="M100" s="30">
        <f>'дод 2'!N165</f>
        <v>0</v>
      </c>
      <c r="N100" s="30">
        <f>'дод 2'!O165</f>
        <v>0</v>
      </c>
      <c r="O100" s="30">
        <f>'дод 2'!P165</f>
        <v>0</v>
      </c>
      <c r="P100" s="30">
        <f>'дод 2'!Q165</f>
        <v>0</v>
      </c>
      <c r="Q100" s="30">
        <f>'дод 2'!R165</f>
        <v>0</v>
      </c>
      <c r="R100" s="30">
        <f>'дод 2'!S165</f>
        <v>0</v>
      </c>
      <c r="S100" s="30">
        <f>'дод 2'!T165</f>
        <v>0</v>
      </c>
      <c r="T100" s="30">
        <f>'дод 2'!U165</f>
        <v>0</v>
      </c>
      <c r="U100" s="30">
        <f>'дод 2'!V165</f>
        <v>0</v>
      </c>
      <c r="V100" s="30">
        <f>'дод 2'!W165</f>
        <v>0</v>
      </c>
      <c r="W100" s="30">
        <f>'дод 2'!X165</f>
        <v>0</v>
      </c>
      <c r="X100" s="30">
        <f>'дод 2'!Y165</f>
        <v>0</v>
      </c>
      <c r="Y100" s="30">
        <f>'дод 2'!Z165</f>
        <v>0</v>
      </c>
      <c r="Z100" s="120" t="e">
        <f t="shared" si="19"/>
        <v>#DIV/0!</v>
      </c>
      <c r="AA100" s="25">
        <f t="shared" si="18"/>
        <v>0</v>
      </c>
    </row>
    <row r="101" spans="1:27" s="31" customFormat="1" ht="47.25" hidden="1" customHeight="1" x14ac:dyDescent="0.25">
      <c r="A101" s="27"/>
      <c r="B101" s="27"/>
      <c r="C101" s="29" t="s">
        <v>385</v>
      </c>
      <c r="D101" s="30">
        <f>'дод 2'!E166</f>
        <v>0</v>
      </c>
      <c r="E101" s="30">
        <f>'дод 2'!F166</f>
        <v>0</v>
      </c>
      <c r="F101" s="30">
        <f>'дод 2'!G166</f>
        <v>0</v>
      </c>
      <c r="G101" s="30">
        <f>'дод 2'!H166</f>
        <v>0</v>
      </c>
      <c r="H101" s="30">
        <f>'дод 2'!I166</f>
        <v>0</v>
      </c>
      <c r="I101" s="30">
        <f>'дод 2'!J166</f>
        <v>0</v>
      </c>
      <c r="J101" s="30">
        <f>'дод 2'!K166</f>
        <v>0</v>
      </c>
      <c r="K101" s="30">
        <f>'дод 2'!L166</f>
        <v>0</v>
      </c>
      <c r="L101" s="120" t="e">
        <f t="shared" si="17"/>
        <v>#DIV/0!</v>
      </c>
      <c r="M101" s="30">
        <f>'дод 2'!N166</f>
        <v>0</v>
      </c>
      <c r="N101" s="30">
        <f>'дод 2'!O166</f>
        <v>0</v>
      </c>
      <c r="O101" s="30">
        <f>'дод 2'!P166</f>
        <v>0</v>
      </c>
      <c r="P101" s="30">
        <f>'дод 2'!Q166</f>
        <v>0</v>
      </c>
      <c r="Q101" s="30">
        <f>'дод 2'!R166</f>
        <v>0</v>
      </c>
      <c r="R101" s="30">
        <f>'дод 2'!S166</f>
        <v>0</v>
      </c>
      <c r="S101" s="30">
        <f>'дод 2'!T166</f>
        <v>0</v>
      </c>
      <c r="T101" s="30">
        <f>'дод 2'!U166</f>
        <v>0</v>
      </c>
      <c r="U101" s="30">
        <f>'дод 2'!V166</f>
        <v>0</v>
      </c>
      <c r="V101" s="30">
        <f>'дод 2'!W166</f>
        <v>0</v>
      </c>
      <c r="W101" s="30">
        <f>'дод 2'!X166</f>
        <v>0</v>
      </c>
      <c r="X101" s="30">
        <f>'дод 2'!Y166</f>
        <v>0</v>
      </c>
      <c r="Y101" s="30">
        <f>'дод 2'!Z166</f>
        <v>0</v>
      </c>
      <c r="Z101" s="120" t="e">
        <f t="shared" si="19"/>
        <v>#DIV/0!</v>
      </c>
      <c r="AA101" s="25">
        <f t="shared" si="18"/>
        <v>0</v>
      </c>
    </row>
    <row r="102" spans="1:27" s="31" customFormat="1" ht="15.75" hidden="1" customHeight="1" x14ac:dyDescent="0.25">
      <c r="A102" s="27"/>
      <c r="B102" s="27"/>
      <c r="C102" s="29" t="s">
        <v>387</v>
      </c>
      <c r="D102" s="30">
        <f>'дод 2'!E167</f>
        <v>0</v>
      </c>
      <c r="E102" s="30">
        <f>'дод 2'!F167</f>
        <v>0</v>
      </c>
      <c r="F102" s="30">
        <f>'дод 2'!G167</f>
        <v>0</v>
      </c>
      <c r="G102" s="30">
        <f>'дод 2'!H167</f>
        <v>0</v>
      </c>
      <c r="H102" s="30">
        <f>'дод 2'!I167</f>
        <v>0</v>
      </c>
      <c r="I102" s="30">
        <f>'дод 2'!J167</f>
        <v>0</v>
      </c>
      <c r="J102" s="30">
        <f>'дод 2'!K167</f>
        <v>0</v>
      </c>
      <c r="K102" s="30">
        <f>'дод 2'!L167</f>
        <v>0</v>
      </c>
      <c r="L102" s="120" t="e">
        <f t="shared" si="17"/>
        <v>#DIV/0!</v>
      </c>
      <c r="M102" s="30">
        <f>'дод 2'!N167</f>
        <v>0</v>
      </c>
      <c r="N102" s="30">
        <f>'дод 2'!O167</f>
        <v>0</v>
      </c>
      <c r="O102" s="30">
        <f>'дод 2'!P167</f>
        <v>0</v>
      </c>
      <c r="P102" s="30">
        <f>'дод 2'!Q167</f>
        <v>0</v>
      </c>
      <c r="Q102" s="30">
        <f>'дод 2'!R167</f>
        <v>0</v>
      </c>
      <c r="R102" s="30">
        <f>'дод 2'!S167</f>
        <v>0</v>
      </c>
      <c r="S102" s="30">
        <f>'дод 2'!T167</f>
        <v>0</v>
      </c>
      <c r="T102" s="30">
        <f>'дод 2'!U167</f>
        <v>0</v>
      </c>
      <c r="U102" s="30">
        <f>'дод 2'!V167</f>
        <v>0</v>
      </c>
      <c r="V102" s="30">
        <f>'дод 2'!W167</f>
        <v>0</v>
      </c>
      <c r="W102" s="30">
        <f>'дод 2'!X167</f>
        <v>0</v>
      </c>
      <c r="X102" s="30">
        <f>'дод 2'!Y167</f>
        <v>0</v>
      </c>
      <c r="Y102" s="30">
        <f>'дод 2'!Z167</f>
        <v>0</v>
      </c>
      <c r="Z102" s="120" t="e">
        <f t="shared" si="19"/>
        <v>#DIV/0!</v>
      </c>
      <c r="AA102" s="25">
        <f t="shared" si="18"/>
        <v>0</v>
      </c>
    </row>
    <row r="103" spans="1:27" ht="31.5" hidden="1" customHeight="1" x14ac:dyDescent="0.25">
      <c r="A103" s="24">
        <v>2020</v>
      </c>
      <c r="B103" s="26" t="s">
        <v>428</v>
      </c>
      <c r="C103" s="4" t="s">
        <v>429</v>
      </c>
      <c r="D103" s="25">
        <f>'дод 2'!E169</f>
        <v>0</v>
      </c>
      <c r="E103" s="25">
        <f>'дод 2'!F169</f>
        <v>0</v>
      </c>
      <c r="F103" s="25">
        <f>'дод 2'!G169</f>
        <v>0</v>
      </c>
      <c r="G103" s="25">
        <f>'дод 2'!H169</f>
        <v>0</v>
      </c>
      <c r="H103" s="25">
        <f>'дод 2'!I169</f>
        <v>0</v>
      </c>
      <c r="I103" s="25">
        <f>'дод 2'!J169</f>
        <v>0</v>
      </c>
      <c r="J103" s="25">
        <f>'дод 2'!K169</f>
        <v>0</v>
      </c>
      <c r="K103" s="25">
        <f>'дод 2'!L169</f>
        <v>0</v>
      </c>
      <c r="L103" s="120" t="e">
        <f t="shared" si="17"/>
        <v>#DIV/0!</v>
      </c>
      <c r="M103" s="25">
        <f>'дод 2'!N169</f>
        <v>0</v>
      </c>
      <c r="N103" s="25">
        <f>'дод 2'!O169</f>
        <v>0</v>
      </c>
      <c r="O103" s="25">
        <f>'дод 2'!P169</f>
        <v>0</v>
      </c>
      <c r="P103" s="25">
        <f>'дод 2'!Q169</f>
        <v>0</v>
      </c>
      <c r="Q103" s="25">
        <f>'дод 2'!R169</f>
        <v>0</v>
      </c>
      <c r="R103" s="25">
        <f>'дод 2'!S169</f>
        <v>0</v>
      </c>
      <c r="S103" s="25">
        <f>'дод 2'!T169</f>
        <v>0</v>
      </c>
      <c r="T103" s="25">
        <f>'дод 2'!U169</f>
        <v>0</v>
      </c>
      <c r="U103" s="25">
        <f>'дод 2'!V169</f>
        <v>0</v>
      </c>
      <c r="V103" s="25">
        <f>'дод 2'!W169</f>
        <v>0</v>
      </c>
      <c r="W103" s="25">
        <f>'дод 2'!X169</f>
        <v>0</v>
      </c>
      <c r="X103" s="25">
        <f>'дод 2'!Y169</f>
        <v>0</v>
      </c>
      <c r="Y103" s="25">
        <f>'дод 2'!Z169</f>
        <v>0</v>
      </c>
      <c r="Z103" s="120" t="e">
        <f t="shared" si="19"/>
        <v>#DIV/0!</v>
      </c>
      <c r="AA103" s="25">
        <f t="shared" si="18"/>
        <v>0</v>
      </c>
    </row>
    <row r="104" spans="1:27" s="31" customFormat="1" ht="96.75" hidden="1" customHeight="1" x14ac:dyDescent="0.25">
      <c r="A104" s="27"/>
      <c r="B104" s="46"/>
      <c r="C104" s="47" t="str">
        <f>'дод 2'!D168</f>
        <v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v>
      </c>
      <c r="D104" s="30">
        <f>'дод 2'!E168</f>
        <v>0</v>
      </c>
      <c r="E104" s="30">
        <f>'дод 2'!F168</f>
        <v>0</v>
      </c>
      <c r="F104" s="30">
        <f>'дод 2'!G168</f>
        <v>0</v>
      </c>
      <c r="G104" s="30">
        <f>'дод 2'!H168</f>
        <v>0</v>
      </c>
      <c r="H104" s="30">
        <f>'дод 2'!I168</f>
        <v>0</v>
      </c>
      <c r="I104" s="30">
        <f>'дод 2'!J168</f>
        <v>0</v>
      </c>
      <c r="J104" s="30">
        <f>'дод 2'!K168</f>
        <v>0</v>
      </c>
      <c r="K104" s="30">
        <f>'дод 2'!L168</f>
        <v>0</v>
      </c>
      <c r="L104" s="120" t="e">
        <f t="shared" si="17"/>
        <v>#DIV/0!</v>
      </c>
      <c r="M104" s="30">
        <f>'дод 2'!N168</f>
        <v>0</v>
      </c>
      <c r="N104" s="30">
        <f>'дод 2'!O168</f>
        <v>0</v>
      </c>
      <c r="O104" s="30">
        <f>'дод 2'!P168</f>
        <v>0</v>
      </c>
      <c r="P104" s="30">
        <f>'дод 2'!Q168</f>
        <v>0</v>
      </c>
      <c r="Q104" s="30">
        <f>'дод 2'!R168</f>
        <v>0</v>
      </c>
      <c r="R104" s="30">
        <f>'дод 2'!S168</f>
        <v>0</v>
      </c>
      <c r="S104" s="30">
        <f>'дод 2'!T168</f>
        <v>0</v>
      </c>
      <c r="T104" s="30">
        <f>'дод 2'!U168</f>
        <v>0</v>
      </c>
      <c r="U104" s="30">
        <f>'дод 2'!V168</f>
        <v>0</v>
      </c>
      <c r="V104" s="30">
        <f>'дод 2'!W168</f>
        <v>0</v>
      </c>
      <c r="W104" s="30">
        <f>'дод 2'!X168</f>
        <v>0</v>
      </c>
      <c r="X104" s="30">
        <f>'дод 2'!Y168</f>
        <v>0</v>
      </c>
      <c r="Y104" s="30">
        <f>'дод 2'!Z168</f>
        <v>0</v>
      </c>
      <c r="Z104" s="120" t="e">
        <f t="shared" si="19"/>
        <v>#DIV/0!</v>
      </c>
      <c r="AA104" s="25">
        <f t="shared" si="18"/>
        <v>0</v>
      </c>
    </row>
    <row r="105" spans="1:27" ht="36.75" customHeight="1" x14ac:dyDescent="0.25">
      <c r="A105" s="24" t="s">
        <v>118</v>
      </c>
      <c r="B105" s="24" t="s">
        <v>61</v>
      </c>
      <c r="C105" s="4" t="s">
        <v>442</v>
      </c>
      <c r="D105" s="25">
        <f>'дод 2'!E170</f>
        <v>6012400</v>
      </c>
      <c r="E105" s="25">
        <f>'дод 2'!F170</f>
        <v>6012400</v>
      </c>
      <c r="F105" s="25">
        <f>'дод 2'!G170</f>
        <v>0</v>
      </c>
      <c r="G105" s="25">
        <f>'дод 2'!H170</f>
        <v>0</v>
      </c>
      <c r="H105" s="25">
        <f>'дод 2'!I170</f>
        <v>0</v>
      </c>
      <c r="I105" s="25">
        <f>'дод 2'!J170</f>
        <v>2392603.04</v>
      </c>
      <c r="J105" s="25">
        <f>'дод 2'!K170</f>
        <v>0</v>
      </c>
      <c r="K105" s="25">
        <f>'дод 2'!L170</f>
        <v>0</v>
      </c>
      <c r="L105" s="120">
        <f t="shared" si="17"/>
        <v>39.794475417470558</v>
      </c>
      <c r="M105" s="25">
        <f>'дод 2'!N170</f>
        <v>0</v>
      </c>
      <c r="N105" s="25">
        <f>'дод 2'!O170</f>
        <v>0</v>
      </c>
      <c r="O105" s="25">
        <f>'дод 2'!P170</f>
        <v>0</v>
      </c>
      <c r="P105" s="25">
        <f>'дод 2'!Q170</f>
        <v>0</v>
      </c>
      <c r="Q105" s="25">
        <f>'дод 2'!R170</f>
        <v>0</v>
      </c>
      <c r="R105" s="25">
        <f>'дод 2'!S170</f>
        <v>0</v>
      </c>
      <c r="S105" s="25">
        <f>'дод 2'!T170</f>
        <v>6012400</v>
      </c>
      <c r="T105" s="25">
        <f>'дод 2'!U170</f>
        <v>0</v>
      </c>
      <c r="U105" s="25">
        <f>'дод 2'!V170</f>
        <v>0</v>
      </c>
      <c r="V105" s="25">
        <f>'дод 2'!W170</f>
        <v>0</v>
      </c>
      <c r="W105" s="25">
        <f>'дод 2'!X170</f>
        <v>0</v>
      </c>
      <c r="X105" s="25">
        <f>'дод 2'!Y170</f>
        <v>0</v>
      </c>
      <c r="Y105" s="25">
        <f>'дод 2'!Z170</f>
        <v>0</v>
      </c>
      <c r="Z105" s="120"/>
      <c r="AA105" s="25">
        <f t="shared" si="18"/>
        <v>2392603.04</v>
      </c>
    </row>
    <row r="106" spans="1:27" s="31" customFormat="1" ht="31.5" hidden="1" customHeight="1" x14ac:dyDescent="0.25">
      <c r="A106" s="27"/>
      <c r="B106" s="27"/>
      <c r="C106" s="29" t="s">
        <v>384</v>
      </c>
      <c r="D106" s="30">
        <f>'дод 2'!E171</f>
        <v>0</v>
      </c>
      <c r="E106" s="30">
        <f>'дод 2'!F171</f>
        <v>0</v>
      </c>
      <c r="F106" s="30">
        <f>'дод 2'!G171</f>
        <v>0</v>
      </c>
      <c r="G106" s="30">
        <f>'дод 2'!H171</f>
        <v>0</v>
      </c>
      <c r="H106" s="30">
        <f>'дод 2'!I171</f>
        <v>0</v>
      </c>
      <c r="I106" s="30">
        <f>'дод 2'!J171</f>
        <v>0</v>
      </c>
      <c r="J106" s="30">
        <f>'дод 2'!K171</f>
        <v>0</v>
      </c>
      <c r="K106" s="30">
        <f>'дод 2'!L171</f>
        <v>0</v>
      </c>
      <c r="L106" s="120" t="e">
        <f t="shared" si="17"/>
        <v>#DIV/0!</v>
      </c>
      <c r="M106" s="30">
        <f>'дод 2'!N171</f>
        <v>0</v>
      </c>
      <c r="N106" s="30">
        <f>'дод 2'!O171</f>
        <v>0</v>
      </c>
      <c r="O106" s="30">
        <f>'дод 2'!P171</f>
        <v>0</v>
      </c>
      <c r="P106" s="30">
        <f>'дод 2'!Q171</f>
        <v>0</v>
      </c>
      <c r="Q106" s="30">
        <f>'дод 2'!R171</f>
        <v>0</v>
      </c>
      <c r="R106" s="30">
        <f>'дод 2'!S171</f>
        <v>0</v>
      </c>
      <c r="S106" s="30">
        <f>'дод 2'!T171</f>
        <v>0</v>
      </c>
      <c r="T106" s="30">
        <f>'дод 2'!U171</f>
        <v>0</v>
      </c>
      <c r="U106" s="30">
        <f>'дод 2'!V171</f>
        <v>0</v>
      </c>
      <c r="V106" s="30">
        <f>'дод 2'!W171</f>
        <v>0</v>
      </c>
      <c r="W106" s="30">
        <f>'дод 2'!X171</f>
        <v>0</v>
      </c>
      <c r="X106" s="30">
        <f>'дод 2'!Y171</f>
        <v>0</v>
      </c>
      <c r="Y106" s="30">
        <f>'дод 2'!Z171</f>
        <v>0</v>
      </c>
      <c r="Z106" s="120"/>
      <c r="AA106" s="25">
        <f t="shared" si="18"/>
        <v>0</v>
      </c>
    </row>
    <row r="107" spans="1:27" ht="24" hidden="1" customHeight="1" x14ac:dyDescent="0.25">
      <c r="A107" s="24">
        <v>2070</v>
      </c>
      <c r="B107" s="24" t="s">
        <v>577</v>
      </c>
      <c r="C107" s="4" t="s">
        <v>578</v>
      </c>
      <c r="D107" s="25">
        <f>'дод 2'!E172</f>
        <v>0</v>
      </c>
      <c r="E107" s="25">
        <f>'дод 2'!F172</f>
        <v>0</v>
      </c>
      <c r="F107" s="25">
        <f>'дод 2'!G172</f>
        <v>0</v>
      </c>
      <c r="G107" s="25">
        <f>'дод 2'!H172</f>
        <v>0</v>
      </c>
      <c r="H107" s="25">
        <f>'дод 2'!I172</f>
        <v>0</v>
      </c>
      <c r="I107" s="25">
        <f>'дод 2'!J172</f>
        <v>0</v>
      </c>
      <c r="J107" s="25">
        <f>'дод 2'!K172</f>
        <v>0</v>
      </c>
      <c r="K107" s="25">
        <f>'дод 2'!L172</f>
        <v>0</v>
      </c>
      <c r="L107" s="120" t="e">
        <f t="shared" si="17"/>
        <v>#DIV/0!</v>
      </c>
      <c r="M107" s="25">
        <f>'дод 2'!N172</f>
        <v>0</v>
      </c>
      <c r="N107" s="25">
        <f>'дод 2'!O172</f>
        <v>0</v>
      </c>
      <c r="O107" s="25">
        <f>'дод 2'!P172</f>
        <v>0</v>
      </c>
      <c r="P107" s="25">
        <f>'дод 2'!Q172</f>
        <v>0</v>
      </c>
      <c r="Q107" s="25">
        <f>'дод 2'!R172</f>
        <v>0</v>
      </c>
      <c r="R107" s="25">
        <f>'дод 2'!S172</f>
        <v>0</v>
      </c>
      <c r="S107" s="25">
        <f>'дод 2'!T172</f>
        <v>0</v>
      </c>
      <c r="T107" s="25">
        <f>'дод 2'!U172</f>
        <v>0</v>
      </c>
      <c r="U107" s="25">
        <f>'дод 2'!V172</f>
        <v>0</v>
      </c>
      <c r="V107" s="25">
        <f>'дод 2'!W172</f>
        <v>0</v>
      </c>
      <c r="W107" s="25">
        <f>'дод 2'!X172</f>
        <v>0</v>
      </c>
      <c r="X107" s="25">
        <f>'дод 2'!Y172</f>
        <v>0</v>
      </c>
      <c r="Y107" s="25">
        <f>'дод 2'!Z172</f>
        <v>0</v>
      </c>
      <c r="Z107" s="120"/>
      <c r="AA107" s="25">
        <f t="shared" si="18"/>
        <v>0</v>
      </c>
    </row>
    <row r="108" spans="1:27" ht="19.5" customHeight="1" x14ac:dyDescent="0.25">
      <c r="A108" s="24" t="s">
        <v>119</v>
      </c>
      <c r="B108" s="24" t="s">
        <v>62</v>
      </c>
      <c r="C108" s="4" t="s">
        <v>443</v>
      </c>
      <c r="D108" s="25">
        <f>'дод 2'!E173</f>
        <v>12460400</v>
      </c>
      <c r="E108" s="25">
        <f>'дод 2'!F173</f>
        <v>12460400</v>
      </c>
      <c r="F108" s="25">
        <f>'дод 2'!G173</f>
        <v>0</v>
      </c>
      <c r="G108" s="25">
        <f>'дод 2'!H173</f>
        <v>0</v>
      </c>
      <c r="H108" s="25">
        <f>'дод 2'!I173</f>
        <v>0</v>
      </c>
      <c r="I108" s="25">
        <f>'дод 2'!J173</f>
        <v>6090030.7800000003</v>
      </c>
      <c r="J108" s="25">
        <f>'дод 2'!K173</f>
        <v>0</v>
      </c>
      <c r="K108" s="25">
        <f>'дод 2'!L173</f>
        <v>0</v>
      </c>
      <c r="L108" s="120">
        <f t="shared" si="17"/>
        <v>48.875082501364325</v>
      </c>
      <c r="M108" s="25">
        <f>'дод 2'!N173</f>
        <v>0</v>
      </c>
      <c r="N108" s="25">
        <f>'дод 2'!O173</f>
        <v>0</v>
      </c>
      <c r="O108" s="25">
        <f>'дод 2'!P173</f>
        <v>0</v>
      </c>
      <c r="P108" s="25">
        <f>'дод 2'!Q173</f>
        <v>0</v>
      </c>
      <c r="Q108" s="25">
        <f>'дод 2'!R173</f>
        <v>0</v>
      </c>
      <c r="R108" s="25">
        <f>'дод 2'!S173</f>
        <v>0</v>
      </c>
      <c r="S108" s="25">
        <f>'дод 2'!T173</f>
        <v>12460400</v>
      </c>
      <c r="T108" s="25">
        <f>'дод 2'!U173</f>
        <v>0</v>
      </c>
      <c r="U108" s="25">
        <f>'дод 2'!V173</f>
        <v>0</v>
      </c>
      <c r="V108" s="25">
        <f>'дод 2'!W173</f>
        <v>0</v>
      </c>
      <c r="W108" s="25">
        <f>'дод 2'!X173</f>
        <v>0</v>
      </c>
      <c r="X108" s="25">
        <f>'дод 2'!Y173</f>
        <v>0</v>
      </c>
      <c r="Y108" s="25">
        <f>'дод 2'!Z173</f>
        <v>0</v>
      </c>
      <c r="Z108" s="120"/>
      <c r="AA108" s="25">
        <f t="shared" si="18"/>
        <v>6090030.7800000003</v>
      </c>
    </row>
    <row r="109" spans="1:27" s="31" customFormat="1" ht="31.5" hidden="1" customHeight="1" x14ac:dyDescent="0.25">
      <c r="A109" s="27"/>
      <c r="B109" s="27"/>
      <c r="C109" s="29" t="s">
        <v>384</v>
      </c>
      <c r="D109" s="30">
        <f>'дод 2'!E174</f>
        <v>0</v>
      </c>
      <c r="E109" s="30">
        <f>'дод 2'!F174</f>
        <v>0</v>
      </c>
      <c r="F109" s="30">
        <f>'дод 2'!G174</f>
        <v>0</v>
      </c>
      <c r="G109" s="30">
        <f>'дод 2'!H174</f>
        <v>0</v>
      </c>
      <c r="H109" s="30">
        <f>'дод 2'!I174</f>
        <v>0</v>
      </c>
      <c r="I109" s="30">
        <f>'дод 2'!J174</f>
        <v>0</v>
      </c>
      <c r="J109" s="30">
        <f>'дод 2'!K174</f>
        <v>0</v>
      </c>
      <c r="K109" s="30">
        <f>'дод 2'!L174</f>
        <v>0</v>
      </c>
      <c r="L109" s="120" t="e">
        <f t="shared" si="17"/>
        <v>#DIV/0!</v>
      </c>
      <c r="M109" s="30">
        <f>'дод 2'!N174</f>
        <v>0</v>
      </c>
      <c r="N109" s="30">
        <f>'дод 2'!O174</f>
        <v>0</v>
      </c>
      <c r="O109" s="30">
        <f>'дод 2'!P174</f>
        <v>0</v>
      </c>
      <c r="P109" s="30">
        <f>'дод 2'!Q174</f>
        <v>0</v>
      </c>
      <c r="Q109" s="30">
        <f>'дод 2'!R174</f>
        <v>0</v>
      </c>
      <c r="R109" s="30">
        <f>'дод 2'!S174</f>
        <v>0</v>
      </c>
      <c r="S109" s="30">
        <f>'дод 2'!T174</f>
        <v>0</v>
      </c>
      <c r="T109" s="30">
        <f>'дод 2'!U174</f>
        <v>0</v>
      </c>
      <c r="U109" s="30">
        <f>'дод 2'!V174</f>
        <v>0</v>
      </c>
      <c r="V109" s="30">
        <f>'дод 2'!W174</f>
        <v>0</v>
      </c>
      <c r="W109" s="30">
        <f>'дод 2'!X174</f>
        <v>0</v>
      </c>
      <c r="X109" s="30">
        <f>'дод 2'!Y174</f>
        <v>0</v>
      </c>
      <c r="Y109" s="30">
        <f>'дод 2'!Z174</f>
        <v>0</v>
      </c>
      <c r="Z109" s="120" t="e">
        <f t="shared" si="19"/>
        <v>#DIV/0!</v>
      </c>
      <c r="AA109" s="25">
        <f t="shared" si="18"/>
        <v>0</v>
      </c>
    </row>
    <row r="110" spans="1:27" ht="48.75" customHeight="1" x14ac:dyDescent="0.25">
      <c r="A110" s="24" t="s">
        <v>120</v>
      </c>
      <c r="B110" s="24" t="s">
        <v>307</v>
      </c>
      <c r="C110" s="4" t="s">
        <v>444</v>
      </c>
      <c r="D110" s="25">
        <f>'дод 2'!E175</f>
        <v>5716100</v>
      </c>
      <c r="E110" s="25">
        <f>'дод 2'!F175</f>
        <v>5716100</v>
      </c>
      <c r="F110" s="25">
        <f>'дод 2'!G175</f>
        <v>0</v>
      </c>
      <c r="G110" s="25">
        <f>'дод 2'!H175</f>
        <v>0</v>
      </c>
      <c r="H110" s="25">
        <f>'дод 2'!I175</f>
        <v>0</v>
      </c>
      <c r="I110" s="25">
        <f>'дод 2'!J175</f>
        <v>2487778.02</v>
      </c>
      <c r="J110" s="25">
        <f>'дод 2'!K175</f>
        <v>0</v>
      </c>
      <c r="K110" s="25">
        <f>'дод 2'!L175</f>
        <v>0</v>
      </c>
      <c r="L110" s="120">
        <f t="shared" si="17"/>
        <v>43.52229702069593</v>
      </c>
      <c r="M110" s="25">
        <f>'дод 2'!N175</f>
        <v>1638127</v>
      </c>
      <c r="N110" s="25">
        <f>'дод 2'!O175</f>
        <v>1638127</v>
      </c>
      <c r="O110" s="25">
        <f>'дод 2'!P175</f>
        <v>0</v>
      </c>
      <c r="P110" s="25">
        <f>'дод 2'!Q175</f>
        <v>0</v>
      </c>
      <c r="Q110" s="25">
        <f>'дод 2'!R175</f>
        <v>0</v>
      </c>
      <c r="R110" s="25">
        <f>'дод 2'!S175</f>
        <v>1638127</v>
      </c>
      <c r="S110" s="25">
        <f>'дод 2'!T175</f>
        <v>7354227</v>
      </c>
      <c r="T110" s="25">
        <f>'дод 2'!U175</f>
        <v>0</v>
      </c>
      <c r="U110" s="25">
        <f>'дод 2'!V175</f>
        <v>0</v>
      </c>
      <c r="V110" s="25">
        <f>'дод 2'!W175</f>
        <v>0</v>
      </c>
      <c r="W110" s="25">
        <f>'дод 2'!X175</f>
        <v>0</v>
      </c>
      <c r="X110" s="25">
        <f>'дод 2'!Y175</f>
        <v>0</v>
      </c>
      <c r="Y110" s="25">
        <f>'дод 2'!Z175</f>
        <v>0</v>
      </c>
      <c r="Z110" s="120">
        <f t="shared" si="19"/>
        <v>0</v>
      </c>
      <c r="AA110" s="25">
        <f t="shared" si="18"/>
        <v>2487778.02</v>
      </c>
    </row>
    <row r="111" spans="1:27" s="31" customFormat="1" ht="47.25" hidden="1" customHeight="1" x14ac:dyDescent="0.25">
      <c r="A111" s="27"/>
      <c r="B111" s="27"/>
      <c r="C111" s="48" t="s">
        <v>386</v>
      </c>
      <c r="D111" s="30">
        <f>'дод 2'!E176</f>
        <v>0</v>
      </c>
      <c r="E111" s="30">
        <f>'дод 2'!F176</f>
        <v>0</v>
      </c>
      <c r="F111" s="30">
        <f>'дод 2'!G176</f>
        <v>0</v>
      </c>
      <c r="G111" s="30">
        <f>'дод 2'!H176</f>
        <v>0</v>
      </c>
      <c r="H111" s="30">
        <f>'дод 2'!I176</f>
        <v>0</v>
      </c>
      <c r="I111" s="30">
        <f>'дод 2'!J176</f>
        <v>0</v>
      </c>
      <c r="J111" s="30">
        <f>'дод 2'!K176</f>
        <v>0</v>
      </c>
      <c r="K111" s="30">
        <f>'дод 2'!L176</f>
        <v>0</v>
      </c>
      <c r="L111" s="120" t="e">
        <f t="shared" si="17"/>
        <v>#DIV/0!</v>
      </c>
      <c r="M111" s="30">
        <f>'дод 2'!N176</f>
        <v>0</v>
      </c>
      <c r="N111" s="30">
        <f>'дод 2'!O176</f>
        <v>0</v>
      </c>
      <c r="O111" s="30">
        <f>'дод 2'!P176</f>
        <v>0</v>
      </c>
      <c r="P111" s="30">
        <f>'дод 2'!Q176</f>
        <v>0</v>
      </c>
      <c r="Q111" s="30">
        <f>'дод 2'!R176</f>
        <v>0</v>
      </c>
      <c r="R111" s="30">
        <f>'дод 2'!S176</f>
        <v>0</v>
      </c>
      <c r="S111" s="30">
        <f>'дод 2'!T176</f>
        <v>0</v>
      </c>
      <c r="T111" s="30">
        <f>'дод 2'!U176</f>
        <v>0</v>
      </c>
      <c r="U111" s="30">
        <f>'дод 2'!V176</f>
        <v>0</v>
      </c>
      <c r="V111" s="30">
        <f>'дод 2'!W176</f>
        <v>0</v>
      </c>
      <c r="W111" s="30">
        <f>'дод 2'!X176</f>
        <v>0</v>
      </c>
      <c r="X111" s="30">
        <f>'дод 2'!Y176</f>
        <v>0</v>
      </c>
      <c r="Y111" s="30">
        <f>'дод 2'!Z176</f>
        <v>0</v>
      </c>
      <c r="Z111" s="120" t="e">
        <f t="shared" si="19"/>
        <v>#DIV/0!</v>
      </c>
      <c r="AA111" s="25">
        <f t="shared" si="18"/>
        <v>0</v>
      </c>
    </row>
    <row r="112" spans="1:27" ht="31.5" hidden="1" customHeight="1" x14ac:dyDescent="0.25">
      <c r="A112" s="24">
        <v>2144</v>
      </c>
      <c r="B112" s="24" t="s">
        <v>63</v>
      </c>
      <c r="C112" s="4" t="s">
        <v>393</v>
      </c>
      <c r="D112" s="25">
        <f>'дод 2'!E177</f>
        <v>0</v>
      </c>
      <c r="E112" s="25">
        <f>'дод 2'!F177</f>
        <v>0</v>
      </c>
      <c r="F112" s="25">
        <f>'дод 2'!G177</f>
        <v>0</v>
      </c>
      <c r="G112" s="25">
        <f>'дод 2'!H177</f>
        <v>0</v>
      </c>
      <c r="H112" s="25">
        <f>'дод 2'!I177</f>
        <v>0</v>
      </c>
      <c r="I112" s="25">
        <f>'дод 2'!J177</f>
        <v>0</v>
      </c>
      <c r="J112" s="25">
        <f>'дод 2'!K177</f>
        <v>0</v>
      </c>
      <c r="K112" s="25">
        <f>'дод 2'!L177</f>
        <v>0</v>
      </c>
      <c r="L112" s="120" t="e">
        <f t="shared" si="17"/>
        <v>#DIV/0!</v>
      </c>
      <c r="M112" s="25">
        <f>'дод 2'!N177</f>
        <v>0</v>
      </c>
      <c r="N112" s="25">
        <f>'дод 2'!O177</f>
        <v>0</v>
      </c>
      <c r="O112" s="25">
        <f>'дод 2'!P177</f>
        <v>0</v>
      </c>
      <c r="P112" s="25">
        <f>'дод 2'!Q177</f>
        <v>0</v>
      </c>
      <c r="Q112" s="25">
        <f>'дод 2'!R177</f>
        <v>0</v>
      </c>
      <c r="R112" s="25">
        <f>'дод 2'!S177</f>
        <v>0</v>
      </c>
      <c r="S112" s="25">
        <f>'дод 2'!T177</f>
        <v>0</v>
      </c>
      <c r="T112" s="25">
        <f>'дод 2'!U177</f>
        <v>0</v>
      </c>
      <c r="U112" s="25">
        <f>'дод 2'!V177</f>
        <v>0</v>
      </c>
      <c r="V112" s="25">
        <f>'дод 2'!W177</f>
        <v>0</v>
      </c>
      <c r="W112" s="25">
        <f>'дод 2'!X177</f>
        <v>0</v>
      </c>
      <c r="X112" s="25">
        <f>'дод 2'!Y177</f>
        <v>0</v>
      </c>
      <c r="Y112" s="25">
        <f>'дод 2'!Z177</f>
        <v>0</v>
      </c>
      <c r="Z112" s="120" t="e">
        <f t="shared" si="19"/>
        <v>#DIV/0!</v>
      </c>
      <c r="AA112" s="25">
        <f t="shared" si="18"/>
        <v>0</v>
      </c>
    </row>
    <row r="113" spans="1:27" s="31" customFormat="1" ht="47.25" hidden="1" customHeight="1" x14ac:dyDescent="0.25">
      <c r="A113" s="27"/>
      <c r="B113" s="27"/>
      <c r="C113" s="29" t="s">
        <v>385</v>
      </c>
      <c r="D113" s="30">
        <f>'дод 2'!E178</f>
        <v>0</v>
      </c>
      <c r="E113" s="30">
        <f>'дод 2'!F178</f>
        <v>0</v>
      </c>
      <c r="F113" s="30">
        <f>'дод 2'!G178</f>
        <v>0</v>
      </c>
      <c r="G113" s="30">
        <f>'дод 2'!H178</f>
        <v>0</v>
      </c>
      <c r="H113" s="30">
        <f>'дод 2'!I178</f>
        <v>0</v>
      </c>
      <c r="I113" s="30">
        <f>'дод 2'!J178</f>
        <v>0</v>
      </c>
      <c r="J113" s="30">
        <f>'дод 2'!K178</f>
        <v>0</v>
      </c>
      <c r="K113" s="30">
        <f>'дод 2'!L178</f>
        <v>0</v>
      </c>
      <c r="L113" s="120" t="e">
        <f t="shared" si="17"/>
        <v>#DIV/0!</v>
      </c>
      <c r="M113" s="30">
        <f>'дод 2'!N178</f>
        <v>0</v>
      </c>
      <c r="N113" s="30">
        <f>'дод 2'!O178</f>
        <v>0</v>
      </c>
      <c r="O113" s="30">
        <f>'дод 2'!P178</f>
        <v>0</v>
      </c>
      <c r="P113" s="30">
        <f>'дод 2'!Q178</f>
        <v>0</v>
      </c>
      <c r="Q113" s="30">
        <f>'дод 2'!R178</f>
        <v>0</v>
      </c>
      <c r="R113" s="30">
        <f>'дод 2'!S178</f>
        <v>0</v>
      </c>
      <c r="S113" s="30">
        <f>'дод 2'!T178</f>
        <v>0</v>
      </c>
      <c r="T113" s="30">
        <f>'дод 2'!U178</f>
        <v>0</v>
      </c>
      <c r="U113" s="30">
        <f>'дод 2'!V178</f>
        <v>0</v>
      </c>
      <c r="V113" s="30">
        <f>'дод 2'!W178</f>
        <v>0</v>
      </c>
      <c r="W113" s="30">
        <f>'дод 2'!X178</f>
        <v>0</v>
      </c>
      <c r="X113" s="30">
        <f>'дод 2'!Y178</f>
        <v>0</v>
      </c>
      <c r="Y113" s="30">
        <f>'дод 2'!Z178</f>
        <v>0</v>
      </c>
      <c r="Z113" s="120" t="e">
        <f t="shared" si="19"/>
        <v>#DIV/0!</v>
      </c>
      <c r="AA113" s="25">
        <f t="shared" si="18"/>
        <v>0</v>
      </c>
    </row>
    <row r="114" spans="1:27" s="31" customFormat="1" ht="63" hidden="1" customHeight="1" x14ac:dyDescent="0.25">
      <c r="A114" s="27"/>
      <c r="B114" s="27"/>
      <c r="C114" s="29" t="s">
        <v>386</v>
      </c>
      <c r="D114" s="30">
        <f>'дод 2'!E179</f>
        <v>0</v>
      </c>
      <c r="E114" s="30">
        <f>'дод 2'!F179</f>
        <v>0</v>
      </c>
      <c r="F114" s="30">
        <f>'дод 2'!G179</f>
        <v>0</v>
      </c>
      <c r="G114" s="30">
        <f>'дод 2'!H179</f>
        <v>0</v>
      </c>
      <c r="H114" s="30">
        <f>'дод 2'!I179</f>
        <v>0</v>
      </c>
      <c r="I114" s="30">
        <f>'дод 2'!J179</f>
        <v>0</v>
      </c>
      <c r="J114" s="30">
        <f>'дод 2'!K179</f>
        <v>0</v>
      </c>
      <c r="K114" s="30">
        <f>'дод 2'!L179</f>
        <v>0</v>
      </c>
      <c r="L114" s="120" t="e">
        <f t="shared" si="17"/>
        <v>#DIV/0!</v>
      </c>
      <c r="M114" s="30">
        <f>'дод 2'!N179</f>
        <v>0</v>
      </c>
      <c r="N114" s="30">
        <f>'дод 2'!O179</f>
        <v>0</v>
      </c>
      <c r="O114" s="30">
        <f>'дод 2'!P179</f>
        <v>0</v>
      </c>
      <c r="P114" s="30">
        <f>'дод 2'!Q179</f>
        <v>0</v>
      </c>
      <c r="Q114" s="30">
        <f>'дод 2'!R179</f>
        <v>0</v>
      </c>
      <c r="R114" s="30">
        <f>'дод 2'!S179</f>
        <v>0</v>
      </c>
      <c r="S114" s="30">
        <f>'дод 2'!T179</f>
        <v>0</v>
      </c>
      <c r="T114" s="30">
        <f>'дод 2'!U179</f>
        <v>0</v>
      </c>
      <c r="U114" s="30">
        <f>'дод 2'!V179</f>
        <v>0</v>
      </c>
      <c r="V114" s="30">
        <f>'дод 2'!W179</f>
        <v>0</v>
      </c>
      <c r="W114" s="30">
        <f>'дод 2'!X179</f>
        <v>0</v>
      </c>
      <c r="X114" s="30">
        <f>'дод 2'!Y179</f>
        <v>0</v>
      </c>
      <c r="Y114" s="30">
        <f>'дод 2'!Z179</f>
        <v>0</v>
      </c>
      <c r="Z114" s="120" t="e">
        <f t="shared" si="19"/>
        <v>#DIV/0!</v>
      </c>
      <c r="AA114" s="25">
        <f t="shared" si="18"/>
        <v>0</v>
      </c>
    </row>
    <row r="115" spans="1:27" ht="33.75" customHeight="1" x14ac:dyDescent="0.25">
      <c r="A115" s="24" t="s">
        <v>279</v>
      </c>
      <c r="B115" s="24" t="s">
        <v>63</v>
      </c>
      <c r="C115" s="40" t="s">
        <v>560</v>
      </c>
      <c r="D115" s="25">
        <f>'дод 2'!E180</f>
        <v>4113000</v>
      </c>
      <c r="E115" s="25">
        <f>'дод 2'!F180</f>
        <v>4113000</v>
      </c>
      <c r="F115" s="25">
        <f>'дод 2'!G180</f>
        <v>3079800</v>
      </c>
      <c r="G115" s="25">
        <f>'дод 2'!H180</f>
        <v>154200</v>
      </c>
      <c r="H115" s="25">
        <f>'дод 2'!I180</f>
        <v>0</v>
      </c>
      <c r="I115" s="25">
        <f>'дод 2'!J180</f>
        <v>1974387.6</v>
      </c>
      <c r="J115" s="25">
        <f>'дод 2'!K180</f>
        <v>1501519.72</v>
      </c>
      <c r="K115" s="25">
        <f>'дод 2'!L180</f>
        <v>74827</v>
      </c>
      <c r="L115" s="120">
        <f t="shared" si="17"/>
        <v>48.003588621444202</v>
      </c>
      <c r="M115" s="25">
        <f>'дод 2'!N180</f>
        <v>0</v>
      </c>
      <c r="N115" s="25">
        <f>'дод 2'!O180</f>
        <v>0</v>
      </c>
      <c r="O115" s="25">
        <f>'дод 2'!P180</f>
        <v>0</v>
      </c>
      <c r="P115" s="25">
        <f>'дод 2'!Q180</f>
        <v>0</v>
      </c>
      <c r="Q115" s="25">
        <f>'дод 2'!R180</f>
        <v>0</v>
      </c>
      <c r="R115" s="25">
        <f>'дод 2'!S180</f>
        <v>0</v>
      </c>
      <c r="S115" s="25">
        <f>'дод 2'!T180</f>
        <v>4113000</v>
      </c>
      <c r="T115" s="25">
        <f>'дод 2'!U180</f>
        <v>125</v>
      </c>
      <c r="U115" s="25">
        <f>'дод 2'!V180</f>
        <v>0</v>
      </c>
      <c r="V115" s="25">
        <f>'дод 2'!W180</f>
        <v>125</v>
      </c>
      <c r="W115" s="25">
        <f>'дод 2'!X180</f>
        <v>0</v>
      </c>
      <c r="X115" s="25">
        <f>'дод 2'!Y180</f>
        <v>0</v>
      </c>
      <c r="Y115" s="25">
        <f>'дод 2'!Z180</f>
        <v>0</v>
      </c>
      <c r="Z115" s="120"/>
      <c r="AA115" s="25">
        <f t="shared" si="18"/>
        <v>1974512.6</v>
      </c>
    </row>
    <row r="116" spans="1:27" ht="21.75" customHeight="1" x14ac:dyDescent="0.25">
      <c r="A116" s="24" t="s">
        <v>280</v>
      </c>
      <c r="B116" s="24" t="s">
        <v>63</v>
      </c>
      <c r="C116" s="40" t="s">
        <v>561</v>
      </c>
      <c r="D116" s="25">
        <f>'дод 2'!E181</f>
        <v>24510540</v>
      </c>
      <c r="E116" s="25">
        <f>'дод 2'!F181</f>
        <v>24510540</v>
      </c>
      <c r="F116" s="25">
        <f>'дод 2'!G181</f>
        <v>0</v>
      </c>
      <c r="G116" s="25">
        <f>'дод 2'!H181</f>
        <v>0</v>
      </c>
      <c r="H116" s="25">
        <f>'дод 2'!I181</f>
        <v>0</v>
      </c>
      <c r="I116" s="25">
        <f>'дод 2'!J181</f>
        <v>9762653.0399999991</v>
      </c>
      <c r="J116" s="25">
        <f>'дод 2'!K181</f>
        <v>0</v>
      </c>
      <c r="K116" s="25">
        <f>'дод 2'!L181</f>
        <v>0</v>
      </c>
      <c r="L116" s="120">
        <f t="shared" si="17"/>
        <v>39.830428215779818</v>
      </c>
      <c r="M116" s="25">
        <f>'дод 2'!N181</f>
        <v>50000000</v>
      </c>
      <c r="N116" s="25">
        <f>'дод 2'!O181</f>
        <v>50000000</v>
      </c>
      <c r="O116" s="25">
        <f>'дод 2'!P181</f>
        <v>0</v>
      </c>
      <c r="P116" s="25">
        <f>'дод 2'!Q181</f>
        <v>0</v>
      </c>
      <c r="Q116" s="25">
        <f>'дод 2'!R181</f>
        <v>0</v>
      </c>
      <c r="R116" s="25">
        <f>'дод 2'!S181</f>
        <v>50000000</v>
      </c>
      <c r="S116" s="25">
        <f>'дод 2'!T181</f>
        <v>74510540</v>
      </c>
      <c r="T116" s="25">
        <f>'дод 2'!U181</f>
        <v>50190944</v>
      </c>
      <c r="U116" s="25">
        <f>'дод 2'!V181</f>
        <v>50000000</v>
      </c>
      <c r="V116" s="25">
        <f>'дод 2'!W181</f>
        <v>190944</v>
      </c>
      <c r="W116" s="25">
        <f>'дод 2'!X181</f>
        <v>0</v>
      </c>
      <c r="X116" s="25">
        <f>'дод 2'!Y181</f>
        <v>0</v>
      </c>
      <c r="Y116" s="25">
        <f>'дод 2'!Z181</f>
        <v>50000000</v>
      </c>
      <c r="Z116" s="120">
        <f t="shared" si="19"/>
        <v>100.381888</v>
      </c>
      <c r="AA116" s="25">
        <f t="shared" si="18"/>
        <v>59953597.039999999</v>
      </c>
    </row>
    <row r="117" spans="1:27" s="19" customFormat="1" ht="33" customHeight="1" x14ac:dyDescent="0.25">
      <c r="A117" s="32" t="s">
        <v>64</v>
      </c>
      <c r="B117" s="49"/>
      <c r="C117" s="50" t="s">
        <v>619</v>
      </c>
      <c r="D117" s="23">
        <f>D123+D124+D125+D127+D128+D129+D131+D133+D134+D135+D136+D137+D139+D140+D143+D145+D147+D148+D149+D150+D151+D152+D154+D158+D159+D138</f>
        <v>390521323.81</v>
      </c>
      <c r="E117" s="23">
        <f t="shared" ref="E117:Y117" si="26">E123+E124+E125+E127+E128+E129+E131+E133+E134+E135+E136+E137+E139+E140+E143+E145+E147+E148+E149+E150+E151+E152+E154+E158+E159+E138</f>
        <v>390521323.81</v>
      </c>
      <c r="F117" s="23">
        <f t="shared" si="26"/>
        <v>31221900</v>
      </c>
      <c r="G117" s="23">
        <f t="shared" si="26"/>
        <v>3074900</v>
      </c>
      <c r="H117" s="23">
        <f t="shared" si="26"/>
        <v>0</v>
      </c>
      <c r="I117" s="23">
        <f t="shared" si="26"/>
        <v>194580979.26999998</v>
      </c>
      <c r="J117" s="23">
        <f t="shared" si="26"/>
        <v>14222243.720000001</v>
      </c>
      <c r="K117" s="23">
        <f t="shared" si="26"/>
        <v>1228621.56</v>
      </c>
      <c r="L117" s="123">
        <f t="shared" si="17"/>
        <v>49.825955051988224</v>
      </c>
      <c r="M117" s="23">
        <f t="shared" si="26"/>
        <v>178600</v>
      </c>
      <c r="N117" s="23">
        <f t="shared" si="26"/>
        <v>100000</v>
      </c>
      <c r="O117" s="23">
        <f t="shared" si="26"/>
        <v>78600</v>
      </c>
      <c r="P117" s="23">
        <f t="shared" si="26"/>
        <v>56100</v>
      </c>
      <c r="Q117" s="23">
        <f t="shared" si="26"/>
        <v>3500</v>
      </c>
      <c r="R117" s="23">
        <f t="shared" si="26"/>
        <v>100000</v>
      </c>
      <c r="S117" s="23">
        <f t="shared" si="26"/>
        <v>390699923.81</v>
      </c>
      <c r="T117" s="23">
        <f t="shared" si="26"/>
        <v>2012167.2399999998</v>
      </c>
      <c r="U117" s="23">
        <f t="shared" si="26"/>
        <v>0</v>
      </c>
      <c r="V117" s="23">
        <f t="shared" si="26"/>
        <v>1192811.52</v>
      </c>
      <c r="W117" s="23">
        <f t="shared" si="26"/>
        <v>140502.37</v>
      </c>
      <c r="X117" s="23">
        <f t="shared" si="26"/>
        <v>0</v>
      </c>
      <c r="Y117" s="23">
        <f t="shared" si="26"/>
        <v>819355.72</v>
      </c>
      <c r="Z117" s="120" t="s">
        <v>724</v>
      </c>
      <c r="AA117" s="23">
        <f t="shared" si="18"/>
        <v>196593146.50999999</v>
      </c>
    </row>
    <row r="118" spans="1:27" s="37" customFormat="1" ht="262.5" hidden="1" customHeight="1" x14ac:dyDescent="0.25">
      <c r="A118" s="34"/>
      <c r="B118" s="51"/>
      <c r="C118" s="35" t="s">
        <v>660</v>
      </c>
      <c r="D118" s="36">
        <f>D153</f>
        <v>0</v>
      </c>
      <c r="E118" s="36">
        <f t="shared" ref="E118:Y118" si="27">E153</f>
        <v>0</v>
      </c>
      <c r="F118" s="36">
        <f t="shared" si="27"/>
        <v>0</v>
      </c>
      <c r="G118" s="36">
        <f t="shared" si="27"/>
        <v>0</v>
      </c>
      <c r="H118" s="36">
        <f t="shared" si="27"/>
        <v>0</v>
      </c>
      <c r="I118" s="36">
        <f t="shared" si="27"/>
        <v>0</v>
      </c>
      <c r="J118" s="36">
        <f t="shared" si="27"/>
        <v>0</v>
      </c>
      <c r="K118" s="36">
        <f t="shared" si="27"/>
        <v>0</v>
      </c>
      <c r="L118" s="120" t="e">
        <f t="shared" si="17"/>
        <v>#DIV/0!</v>
      </c>
      <c r="M118" s="36">
        <f t="shared" si="27"/>
        <v>0</v>
      </c>
      <c r="N118" s="36">
        <f t="shared" si="27"/>
        <v>0</v>
      </c>
      <c r="O118" s="36">
        <f t="shared" si="27"/>
        <v>0</v>
      </c>
      <c r="P118" s="36">
        <f t="shared" si="27"/>
        <v>0</v>
      </c>
      <c r="Q118" s="36">
        <f t="shared" si="27"/>
        <v>0</v>
      </c>
      <c r="R118" s="36">
        <f t="shared" si="27"/>
        <v>0</v>
      </c>
      <c r="S118" s="36">
        <f t="shared" si="27"/>
        <v>0</v>
      </c>
      <c r="T118" s="36">
        <f t="shared" si="27"/>
        <v>0</v>
      </c>
      <c r="U118" s="36">
        <f t="shared" si="27"/>
        <v>0</v>
      </c>
      <c r="V118" s="36">
        <f t="shared" si="27"/>
        <v>0</v>
      </c>
      <c r="W118" s="36">
        <f t="shared" si="27"/>
        <v>0</v>
      </c>
      <c r="X118" s="36">
        <f t="shared" si="27"/>
        <v>0</v>
      </c>
      <c r="Y118" s="36">
        <f t="shared" si="27"/>
        <v>0</v>
      </c>
      <c r="Z118" s="120" t="e">
        <f t="shared" si="19"/>
        <v>#DIV/0!</v>
      </c>
      <c r="AA118" s="25">
        <f t="shared" si="18"/>
        <v>0</v>
      </c>
    </row>
    <row r="119" spans="1:27" s="37" customFormat="1" ht="258" hidden="1" customHeight="1" x14ac:dyDescent="0.25">
      <c r="A119" s="34"/>
      <c r="B119" s="51"/>
      <c r="C119" s="52" t="s">
        <v>662</v>
      </c>
      <c r="D119" s="36">
        <f>'дод 2'!E196</f>
        <v>0</v>
      </c>
      <c r="E119" s="36">
        <f>'дод 2'!F196</f>
        <v>0</v>
      </c>
      <c r="F119" s="36">
        <f>'дод 2'!G196</f>
        <v>0</v>
      </c>
      <c r="G119" s="36">
        <f>'дод 2'!H196</f>
        <v>0</v>
      </c>
      <c r="H119" s="36">
        <f>'дод 2'!I196</f>
        <v>0</v>
      </c>
      <c r="I119" s="36">
        <f>'дод 2'!J196</f>
        <v>0</v>
      </c>
      <c r="J119" s="36">
        <f>'дод 2'!K196</f>
        <v>0</v>
      </c>
      <c r="K119" s="36">
        <f>'дод 2'!L196</f>
        <v>0</v>
      </c>
      <c r="L119" s="120" t="e">
        <f t="shared" si="17"/>
        <v>#DIV/0!</v>
      </c>
      <c r="M119" s="36">
        <f>'дод 2'!N196</f>
        <v>0</v>
      </c>
      <c r="N119" s="36">
        <f>'дод 2'!O196</f>
        <v>0</v>
      </c>
      <c r="O119" s="36">
        <f>'дод 2'!P196</f>
        <v>0</v>
      </c>
      <c r="P119" s="36">
        <f>'дод 2'!Q196</f>
        <v>0</v>
      </c>
      <c r="Q119" s="36">
        <f>'дод 2'!R196</f>
        <v>0</v>
      </c>
      <c r="R119" s="36">
        <f>'дод 2'!S196</f>
        <v>0</v>
      </c>
      <c r="S119" s="36">
        <f>'дод 2'!T196</f>
        <v>0</v>
      </c>
      <c r="T119" s="36">
        <f>'дод 2'!U196</f>
        <v>0</v>
      </c>
      <c r="U119" s="36">
        <f>'дод 2'!V196</f>
        <v>0</v>
      </c>
      <c r="V119" s="36">
        <f>'дод 2'!W196</f>
        <v>0</v>
      </c>
      <c r="W119" s="36">
        <f>'дод 2'!X196</f>
        <v>0</v>
      </c>
      <c r="X119" s="36">
        <f>'дод 2'!Y196</f>
        <v>0</v>
      </c>
      <c r="Y119" s="36">
        <f>'дод 2'!Z196</f>
        <v>0</v>
      </c>
      <c r="Z119" s="120" t="e">
        <f t="shared" si="19"/>
        <v>#DIV/0!</v>
      </c>
      <c r="AA119" s="25">
        <f t="shared" si="18"/>
        <v>0</v>
      </c>
    </row>
    <row r="120" spans="1:27" s="37" customFormat="1" x14ac:dyDescent="0.25">
      <c r="A120" s="34"/>
      <c r="B120" s="51"/>
      <c r="C120" s="35" t="s">
        <v>388</v>
      </c>
      <c r="D120" s="36">
        <f t="shared" ref="D120" si="28">D126+D130+D132+D144+D146+D160</f>
        <v>3122808.81</v>
      </c>
      <c r="E120" s="36">
        <f t="shared" ref="E120:Y120" si="29">E126+E130+E132+E144+E146+E160</f>
        <v>3122808.81</v>
      </c>
      <c r="F120" s="36">
        <f t="shared" si="29"/>
        <v>0</v>
      </c>
      <c r="G120" s="36">
        <f t="shared" si="29"/>
        <v>0</v>
      </c>
      <c r="H120" s="36">
        <f t="shared" si="29"/>
        <v>0</v>
      </c>
      <c r="I120" s="36">
        <f t="shared" si="29"/>
        <v>741767.97</v>
      </c>
      <c r="J120" s="36">
        <f t="shared" si="29"/>
        <v>0</v>
      </c>
      <c r="K120" s="36">
        <f t="shared" si="29"/>
        <v>0</v>
      </c>
      <c r="L120" s="124">
        <f t="shared" si="17"/>
        <v>23.753230349058736</v>
      </c>
      <c r="M120" s="36">
        <f t="shared" si="29"/>
        <v>0</v>
      </c>
      <c r="N120" s="36">
        <f t="shared" si="29"/>
        <v>0</v>
      </c>
      <c r="O120" s="36">
        <f t="shared" si="29"/>
        <v>0</v>
      </c>
      <c r="P120" s="36">
        <f t="shared" si="29"/>
        <v>0</v>
      </c>
      <c r="Q120" s="36">
        <f t="shared" si="29"/>
        <v>0</v>
      </c>
      <c r="R120" s="36">
        <f t="shared" si="29"/>
        <v>0</v>
      </c>
      <c r="S120" s="36">
        <f t="shared" si="29"/>
        <v>3122808.81</v>
      </c>
      <c r="T120" s="36">
        <f t="shared" si="29"/>
        <v>0</v>
      </c>
      <c r="U120" s="36">
        <f t="shared" si="29"/>
        <v>0</v>
      </c>
      <c r="V120" s="36">
        <f t="shared" si="29"/>
        <v>0</v>
      </c>
      <c r="W120" s="36">
        <f t="shared" si="29"/>
        <v>0</v>
      </c>
      <c r="X120" s="36">
        <f t="shared" si="29"/>
        <v>0</v>
      </c>
      <c r="Y120" s="36">
        <f t="shared" si="29"/>
        <v>0</v>
      </c>
      <c r="Z120" s="120"/>
      <c r="AA120" s="36">
        <f t="shared" si="18"/>
        <v>741767.97</v>
      </c>
    </row>
    <row r="121" spans="1:27" s="37" customFormat="1" ht="97.15" customHeight="1" x14ac:dyDescent="0.25">
      <c r="A121" s="34"/>
      <c r="B121" s="51"/>
      <c r="C121" s="35" t="str">
        <f>C141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21" s="36">
        <f>D141</f>
        <v>1495257</v>
      </c>
      <c r="E121" s="36">
        <f t="shared" ref="E121:Y121" si="30">E141</f>
        <v>1495257</v>
      </c>
      <c r="F121" s="36">
        <f t="shared" si="30"/>
        <v>0</v>
      </c>
      <c r="G121" s="36">
        <f t="shared" si="30"/>
        <v>0</v>
      </c>
      <c r="H121" s="36">
        <f t="shared" si="30"/>
        <v>0</v>
      </c>
      <c r="I121" s="36">
        <f t="shared" si="30"/>
        <v>1495257</v>
      </c>
      <c r="J121" s="36">
        <f t="shared" si="30"/>
        <v>0</v>
      </c>
      <c r="K121" s="36">
        <f t="shared" si="30"/>
        <v>0</v>
      </c>
      <c r="L121" s="124">
        <f t="shared" si="17"/>
        <v>100</v>
      </c>
      <c r="M121" s="36">
        <f t="shared" si="30"/>
        <v>0</v>
      </c>
      <c r="N121" s="36">
        <f t="shared" si="30"/>
        <v>0</v>
      </c>
      <c r="O121" s="36">
        <f t="shared" si="30"/>
        <v>0</v>
      </c>
      <c r="P121" s="36">
        <f t="shared" si="30"/>
        <v>0</v>
      </c>
      <c r="Q121" s="36">
        <f t="shared" si="30"/>
        <v>0</v>
      </c>
      <c r="R121" s="36">
        <f t="shared" si="30"/>
        <v>0</v>
      </c>
      <c r="S121" s="36">
        <f t="shared" si="30"/>
        <v>1495257</v>
      </c>
      <c r="T121" s="36">
        <f t="shared" si="30"/>
        <v>0</v>
      </c>
      <c r="U121" s="36">
        <f t="shared" si="30"/>
        <v>0</v>
      </c>
      <c r="V121" s="36">
        <f t="shared" si="30"/>
        <v>0</v>
      </c>
      <c r="W121" s="36">
        <f t="shared" si="30"/>
        <v>0</v>
      </c>
      <c r="X121" s="36">
        <f t="shared" si="30"/>
        <v>0</v>
      </c>
      <c r="Y121" s="36">
        <f t="shared" si="30"/>
        <v>0</v>
      </c>
      <c r="Z121" s="120"/>
      <c r="AA121" s="36">
        <f t="shared" si="18"/>
        <v>1495257</v>
      </c>
    </row>
    <row r="122" spans="1:27" s="37" customFormat="1" ht="86.65" customHeight="1" x14ac:dyDescent="0.25">
      <c r="A122" s="34"/>
      <c r="B122" s="51"/>
      <c r="C122" s="8" t="s">
        <v>644</v>
      </c>
      <c r="D122" s="36">
        <f>D142+D161</f>
        <v>71303000</v>
      </c>
      <c r="E122" s="36">
        <f t="shared" ref="E122:Y122" si="31">E142+E161</f>
        <v>71303000</v>
      </c>
      <c r="F122" s="36">
        <f t="shared" si="31"/>
        <v>0</v>
      </c>
      <c r="G122" s="36">
        <f t="shared" si="31"/>
        <v>0</v>
      </c>
      <c r="H122" s="36">
        <f t="shared" si="31"/>
        <v>0</v>
      </c>
      <c r="I122" s="36">
        <f t="shared" si="31"/>
        <v>21289195.330000002</v>
      </c>
      <c r="J122" s="36">
        <f t="shared" si="31"/>
        <v>0</v>
      </c>
      <c r="K122" s="36">
        <f t="shared" si="31"/>
        <v>0</v>
      </c>
      <c r="L122" s="124">
        <f t="shared" si="17"/>
        <v>29.857362705636515</v>
      </c>
      <c r="M122" s="36">
        <f t="shared" si="31"/>
        <v>0</v>
      </c>
      <c r="N122" s="36">
        <f t="shared" si="31"/>
        <v>0</v>
      </c>
      <c r="O122" s="36">
        <f t="shared" si="31"/>
        <v>0</v>
      </c>
      <c r="P122" s="36">
        <f t="shared" si="31"/>
        <v>0</v>
      </c>
      <c r="Q122" s="36">
        <f t="shared" si="31"/>
        <v>0</v>
      </c>
      <c r="R122" s="36">
        <f t="shared" si="31"/>
        <v>0</v>
      </c>
      <c r="S122" s="36">
        <f t="shared" si="31"/>
        <v>71303000</v>
      </c>
      <c r="T122" s="36">
        <f t="shared" si="31"/>
        <v>0</v>
      </c>
      <c r="U122" s="36">
        <f t="shared" si="31"/>
        <v>0</v>
      </c>
      <c r="V122" s="36">
        <f t="shared" si="31"/>
        <v>0</v>
      </c>
      <c r="W122" s="36">
        <f t="shared" si="31"/>
        <v>0</v>
      </c>
      <c r="X122" s="36">
        <f t="shared" si="31"/>
        <v>0</v>
      </c>
      <c r="Y122" s="36">
        <f t="shared" si="31"/>
        <v>0</v>
      </c>
      <c r="Z122" s="120"/>
      <c r="AA122" s="36">
        <f t="shared" si="18"/>
        <v>21289195.330000002</v>
      </c>
    </row>
    <row r="123" spans="1:27" ht="38.25" customHeight="1" x14ac:dyDescent="0.25">
      <c r="A123" s="24" t="s">
        <v>97</v>
      </c>
      <c r="B123" s="24" t="s">
        <v>51</v>
      </c>
      <c r="C123" s="40" t="s">
        <v>121</v>
      </c>
      <c r="D123" s="25">
        <f>'дод 2'!E202</f>
        <v>466000</v>
      </c>
      <c r="E123" s="25">
        <f>'дод 2'!F202</f>
        <v>466000</v>
      </c>
      <c r="F123" s="25">
        <f>'дод 2'!G202</f>
        <v>0</v>
      </c>
      <c r="G123" s="25">
        <f>'дод 2'!H202</f>
        <v>0</v>
      </c>
      <c r="H123" s="25">
        <f>'дод 2'!I202</f>
        <v>0</v>
      </c>
      <c r="I123" s="25">
        <f>'дод 2'!J202</f>
        <v>174765.54</v>
      </c>
      <c r="J123" s="25">
        <f>'дод 2'!K202</f>
        <v>0</v>
      </c>
      <c r="K123" s="25">
        <f>'дод 2'!L202</f>
        <v>0</v>
      </c>
      <c r="L123" s="120">
        <f t="shared" si="17"/>
        <v>37.503334763948502</v>
      </c>
      <c r="M123" s="25">
        <f>'дод 2'!N202</f>
        <v>0</v>
      </c>
      <c r="N123" s="25">
        <f>'дод 2'!O202</f>
        <v>0</v>
      </c>
      <c r="O123" s="25">
        <f>'дод 2'!P202</f>
        <v>0</v>
      </c>
      <c r="P123" s="25">
        <f>'дод 2'!Q202</f>
        <v>0</v>
      </c>
      <c r="Q123" s="25">
        <f>'дод 2'!R202</f>
        <v>0</v>
      </c>
      <c r="R123" s="25">
        <f>'дод 2'!S202</f>
        <v>0</v>
      </c>
      <c r="S123" s="25">
        <f>'дод 2'!T202</f>
        <v>466000</v>
      </c>
      <c r="T123" s="25">
        <f>'дод 2'!U202</f>
        <v>0</v>
      </c>
      <c r="U123" s="25">
        <f>'дод 2'!V202</f>
        <v>0</v>
      </c>
      <c r="V123" s="25">
        <f>'дод 2'!W202</f>
        <v>0</v>
      </c>
      <c r="W123" s="25">
        <f>'дод 2'!X202</f>
        <v>0</v>
      </c>
      <c r="X123" s="25">
        <f>'дод 2'!Y202</f>
        <v>0</v>
      </c>
      <c r="Y123" s="25">
        <f>'дод 2'!Z202</f>
        <v>0</v>
      </c>
      <c r="Z123" s="120"/>
      <c r="AA123" s="25">
        <f t="shared" si="18"/>
        <v>174765.54</v>
      </c>
    </row>
    <row r="124" spans="1:27" ht="35.25" customHeight="1" x14ac:dyDescent="0.25">
      <c r="A124" s="24" t="s">
        <v>122</v>
      </c>
      <c r="B124" s="24" t="s">
        <v>53</v>
      </c>
      <c r="C124" s="40" t="s">
        <v>354</v>
      </c>
      <c r="D124" s="25">
        <f>'дод 2'!E203</f>
        <v>820450</v>
      </c>
      <c r="E124" s="25">
        <f>'дод 2'!F203</f>
        <v>820450</v>
      </c>
      <c r="F124" s="25">
        <f>'дод 2'!G203</f>
        <v>0</v>
      </c>
      <c r="G124" s="25">
        <f>'дод 2'!H203</f>
        <v>0</v>
      </c>
      <c r="H124" s="25">
        <f>'дод 2'!I203</f>
        <v>0</v>
      </c>
      <c r="I124" s="25">
        <f>'дод 2'!J203</f>
        <v>320665.63</v>
      </c>
      <c r="J124" s="25">
        <f>'дод 2'!K203</f>
        <v>0</v>
      </c>
      <c r="K124" s="25">
        <f>'дод 2'!L203</f>
        <v>0</v>
      </c>
      <c r="L124" s="120">
        <f t="shared" si="17"/>
        <v>39.084116033883845</v>
      </c>
      <c r="M124" s="25">
        <f>'дод 2'!N203</f>
        <v>0</v>
      </c>
      <c r="N124" s="25">
        <f>'дод 2'!O203</f>
        <v>0</v>
      </c>
      <c r="O124" s="25">
        <f>'дод 2'!P203</f>
        <v>0</v>
      </c>
      <c r="P124" s="25">
        <f>'дод 2'!Q203</f>
        <v>0</v>
      </c>
      <c r="Q124" s="25">
        <f>'дод 2'!R203</f>
        <v>0</v>
      </c>
      <c r="R124" s="25">
        <f>'дод 2'!S203</f>
        <v>0</v>
      </c>
      <c r="S124" s="25">
        <f>'дод 2'!T203</f>
        <v>820450</v>
      </c>
      <c r="T124" s="25">
        <f>'дод 2'!U203</f>
        <v>0</v>
      </c>
      <c r="U124" s="25">
        <f>'дод 2'!V203</f>
        <v>0</v>
      </c>
      <c r="V124" s="25">
        <f>'дод 2'!W203</f>
        <v>0</v>
      </c>
      <c r="W124" s="25">
        <f>'дод 2'!X203</f>
        <v>0</v>
      </c>
      <c r="X124" s="25">
        <f>'дод 2'!Y203</f>
        <v>0</v>
      </c>
      <c r="Y124" s="25">
        <f>'дод 2'!Z203</f>
        <v>0</v>
      </c>
      <c r="Z124" s="120"/>
      <c r="AA124" s="25">
        <f t="shared" si="18"/>
        <v>320665.63</v>
      </c>
    </row>
    <row r="125" spans="1:27" ht="31.5" x14ac:dyDescent="0.25">
      <c r="A125" s="24" t="s">
        <v>98</v>
      </c>
      <c r="B125" s="24" t="s">
        <v>53</v>
      </c>
      <c r="C125" s="40" t="s">
        <v>399</v>
      </c>
      <c r="D125" s="25">
        <f>'дод 2'!E204+'дод 2'!E25</f>
        <v>20816379.810000002</v>
      </c>
      <c r="E125" s="25">
        <f>'дод 2'!F204+'дод 2'!F25</f>
        <v>20816379.810000002</v>
      </c>
      <c r="F125" s="25">
        <f>'дод 2'!G204+'дод 2'!G25</f>
        <v>0</v>
      </c>
      <c r="G125" s="25">
        <f>'дод 2'!H204+'дод 2'!H25</f>
        <v>0</v>
      </c>
      <c r="H125" s="25">
        <f>'дод 2'!I204+'дод 2'!I25</f>
        <v>0</v>
      </c>
      <c r="I125" s="25">
        <f>'дод 2'!J204+'дод 2'!J25</f>
        <v>5680644.2599999998</v>
      </c>
      <c r="J125" s="25">
        <f>'дод 2'!K204+'дод 2'!K25</f>
        <v>0</v>
      </c>
      <c r="K125" s="25">
        <f>'дод 2'!L204+'дод 2'!L25</f>
        <v>0</v>
      </c>
      <c r="L125" s="120">
        <f t="shared" si="17"/>
        <v>27.289299637351299</v>
      </c>
      <c r="M125" s="25">
        <f>'дод 2'!N204+'дод 2'!N25</f>
        <v>0</v>
      </c>
      <c r="N125" s="25">
        <f>'дод 2'!O204+'дод 2'!O25</f>
        <v>0</v>
      </c>
      <c r="O125" s="25">
        <f>'дод 2'!P204+'дод 2'!P25</f>
        <v>0</v>
      </c>
      <c r="P125" s="25">
        <f>'дод 2'!Q204+'дод 2'!Q25</f>
        <v>0</v>
      </c>
      <c r="Q125" s="25">
        <f>'дод 2'!R204+'дод 2'!R25</f>
        <v>0</v>
      </c>
      <c r="R125" s="25">
        <f>'дод 2'!S204+'дод 2'!S25</f>
        <v>0</v>
      </c>
      <c r="S125" s="25">
        <f>'дод 2'!T204+'дод 2'!T25</f>
        <v>20816379.810000002</v>
      </c>
      <c r="T125" s="25">
        <f>'дод 2'!U204+'дод 2'!U25</f>
        <v>0</v>
      </c>
      <c r="U125" s="25">
        <f>'дод 2'!V204+'дод 2'!V25</f>
        <v>0</v>
      </c>
      <c r="V125" s="25">
        <f>'дод 2'!W204+'дод 2'!W25</f>
        <v>0</v>
      </c>
      <c r="W125" s="25">
        <f>'дод 2'!X204+'дод 2'!X25</f>
        <v>0</v>
      </c>
      <c r="X125" s="25">
        <f>'дод 2'!Y204+'дод 2'!Y25</f>
        <v>0</v>
      </c>
      <c r="Y125" s="25">
        <f>'дод 2'!Z204+'дод 2'!Z25</f>
        <v>0</v>
      </c>
      <c r="Z125" s="120"/>
      <c r="AA125" s="25">
        <f t="shared" si="18"/>
        <v>5680644.2599999998</v>
      </c>
    </row>
    <row r="126" spans="1:27" s="31" customFormat="1" ht="21.75" customHeight="1" x14ac:dyDescent="0.25">
      <c r="A126" s="27"/>
      <c r="B126" s="27"/>
      <c r="C126" s="29" t="s">
        <v>387</v>
      </c>
      <c r="D126" s="30">
        <f>'дод 2'!E205</f>
        <v>1780679.81</v>
      </c>
      <c r="E126" s="30">
        <f>'дод 2'!F205</f>
        <v>1780679.81</v>
      </c>
      <c r="F126" s="30">
        <f>'дод 2'!G205</f>
        <v>0</v>
      </c>
      <c r="G126" s="30">
        <f>'дод 2'!H205</f>
        <v>0</v>
      </c>
      <c r="H126" s="30">
        <f>'дод 2'!I205</f>
        <v>0</v>
      </c>
      <c r="I126" s="30">
        <f>'дод 2'!J205</f>
        <v>184152.68</v>
      </c>
      <c r="J126" s="30">
        <f>'дод 2'!K205</f>
        <v>0</v>
      </c>
      <c r="K126" s="30">
        <f>'дод 2'!L205</f>
        <v>0</v>
      </c>
      <c r="L126" s="125">
        <f t="shared" si="17"/>
        <v>10.341706519377</v>
      </c>
      <c r="M126" s="30">
        <f>'дод 2'!N205</f>
        <v>0</v>
      </c>
      <c r="N126" s="30">
        <f>'дод 2'!O205</f>
        <v>0</v>
      </c>
      <c r="O126" s="30">
        <f>'дод 2'!P205</f>
        <v>0</v>
      </c>
      <c r="P126" s="30">
        <f>'дод 2'!Q205</f>
        <v>0</v>
      </c>
      <c r="Q126" s="30">
        <f>'дод 2'!R205</f>
        <v>0</v>
      </c>
      <c r="R126" s="30">
        <f>'дод 2'!S205</f>
        <v>0</v>
      </c>
      <c r="S126" s="30">
        <f>'дод 2'!T205</f>
        <v>1780679.81</v>
      </c>
      <c r="T126" s="30">
        <f>'дод 2'!U205</f>
        <v>0</v>
      </c>
      <c r="U126" s="30">
        <f>'дод 2'!V205</f>
        <v>0</v>
      </c>
      <c r="V126" s="30">
        <f>'дод 2'!W205</f>
        <v>0</v>
      </c>
      <c r="W126" s="30">
        <f>'дод 2'!X205</f>
        <v>0</v>
      </c>
      <c r="X126" s="30">
        <f>'дод 2'!Y205</f>
        <v>0</v>
      </c>
      <c r="Y126" s="30">
        <f>'дод 2'!Z205</f>
        <v>0</v>
      </c>
      <c r="Z126" s="120"/>
      <c r="AA126" s="30">
        <f t="shared" si="18"/>
        <v>184152.68</v>
      </c>
    </row>
    <row r="127" spans="1:27" ht="36" customHeight="1" x14ac:dyDescent="0.25">
      <c r="A127" s="24" t="s">
        <v>317</v>
      </c>
      <c r="B127" s="24" t="s">
        <v>53</v>
      </c>
      <c r="C127" s="40" t="s">
        <v>316</v>
      </c>
      <c r="D127" s="25">
        <f>'дод 2'!E206</f>
        <v>1000000</v>
      </c>
      <c r="E127" s="25">
        <f>'дод 2'!F206</f>
        <v>1000000</v>
      </c>
      <c r="F127" s="25">
        <f>'дод 2'!G206</f>
        <v>0</v>
      </c>
      <c r="G127" s="25">
        <f>'дод 2'!H206</f>
        <v>0</v>
      </c>
      <c r="H127" s="25">
        <f>'дод 2'!I206</f>
        <v>0</v>
      </c>
      <c r="I127" s="25">
        <f>'дод 2'!J206</f>
        <v>416665</v>
      </c>
      <c r="J127" s="25">
        <f>'дод 2'!K206</f>
        <v>0</v>
      </c>
      <c r="K127" s="25">
        <f>'дод 2'!L206</f>
        <v>0</v>
      </c>
      <c r="L127" s="120">
        <f t="shared" si="17"/>
        <v>41.666499999999999</v>
      </c>
      <c r="M127" s="25">
        <f>'дод 2'!N206</f>
        <v>0</v>
      </c>
      <c r="N127" s="25">
        <f>'дод 2'!O206</f>
        <v>0</v>
      </c>
      <c r="O127" s="25">
        <f>'дод 2'!P206</f>
        <v>0</v>
      </c>
      <c r="P127" s="25">
        <f>'дод 2'!Q206</f>
        <v>0</v>
      </c>
      <c r="Q127" s="25">
        <f>'дод 2'!R206</f>
        <v>0</v>
      </c>
      <c r="R127" s="25">
        <f>'дод 2'!S206</f>
        <v>0</v>
      </c>
      <c r="S127" s="25">
        <f>'дод 2'!T206</f>
        <v>1000000</v>
      </c>
      <c r="T127" s="25">
        <f>'дод 2'!U206</f>
        <v>0</v>
      </c>
      <c r="U127" s="25">
        <f>'дод 2'!V206</f>
        <v>0</v>
      </c>
      <c r="V127" s="25">
        <f>'дод 2'!W206</f>
        <v>0</v>
      </c>
      <c r="W127" s="25">
        <f>'дод 2'!X206</f>
        <v>0</v>
      </c>
      <c r="X127" s="25">
        <f>'дод 2'!Y206</f>
        <v>0</v>
      </c>
      <c r="Y127" s="25">
        <f>'дод 2'!Z206</f>
        <v>0</v>
      </c>
      <c r="Z127" s="120"/>
      <c r="AA127" s="25">
        <f t="shared" si="18"/>
        <v>416665</v>
      </c>
    </row>
    <row r="128" spans="1:27" ht="34.5" customHeight="1" x14ac:dyDescent="0.25">
      <c r="A128" s="24" t="s">
        <v>123</v>
      </c>
      <c r="B128" s="24" t="s">
        <v>53</v>
      </c>
      <c r="C128" s="40" t="s">
        <v>19</v>
      </c>
      <c r="D128" s="25">
        <f>'дод 2'!E207+'дод 2'!E26</f>
        <v>45654300</v>
      </c>
      <c r="E128" s="25">
        <f>'дод 2'!F207+'дод 2'!F26</f>
        <v>45654300</v>
      </c>
      <c r="F128" s="25">
        <f>'дод 2'!G207+'дод 2'!G26</f>
        <v>0</v>
      </c>
      <c r="G128" s="25">
        <f>'дод 2'!H207+'дод 2'!H26</f>
        <v>0</v>
      </c>
      <c r="H128" s="25">
        <f>'дод 2'!I207+'дод 2'!I26</f>
        <v>0</v>
      </c>
      <c r="I128" s="25">
        <f>'дод 2'!J207+'дод 2'!J26</f>
        <v>12097279.789999999</v>
      </c>
      <c r="J128" s="25">
        <f>'дод 2'!K207+'дод 2'!K26</f>
        <v>0</v>
      </c>
      <c r="K128" s="25">
        <f>'дод 2'!L207+'дод 2'!L26</f>
        <v>0</v>
      </c>
      <c r="L128" s="120">
        <f t="shared" si="17"/>
        <v>26.497569319866908</v>
      </c>
      <c r="M128" s="25">
        <f>'дод 2'!N207+'дод 2'!N26</f>
        <v>0</v>
      </c>
      <c r="N128" s="25">
        <f>'дод 2'!O207+'дод 2'!O26</f>
        <v>0</v>
      </c>
      <c r="O128" s="25">
        <f>'дод 2'!P207+'дод 2'!P26</f>
        <v>0</v>
      </c>
      <c r="P128" s="25">
        <f>'дод 2'!Q207+'дод 2'!Q26</f>
        <v>0</v>
      </c>
      <c r="Q128" s="25">
        <f>'дод 2'!R207+'дод 2'!R26</f>
        <v>0</v>
      </c>
      <c r="R128" s="25">
        <f>'дод 2'!S207+'дод 2'!S26</f>
        <v>0</v>
      </c>
      <c r="S128" s="25">
        <f>'дод 2'!T207+'дод 2'!T26</f>
        <v>45654300</v>
      </c>
      <c r="T128" s="25">
        <f>'дод 2'!U207+'дод 2'!U26</f>
        <v>0</v>
      </c>
      <c r="U128" s="25">
        <f>'дод 2'!V207+'дод 2'!V26</f>
        <v>0</v>
      </c>
      <c r="V128" s="25">
        <f>'дод 2'!W207+'дод 2'!W26</f>
        <v>0</v>
      </c>
      <c r="W128" s="25">
        <f>'дод 2'!X207+'дод 2'!X26</f>
        <v>0</v>
      </c>
      <c r="X128" s="25">
        <f>'дод 2'!Y207+'дод 2'!Y26</f>
        <v>0</v>
      </c>
      <c r="Y128" s="25">
        <f>'дод 2'!Z207+'дод 2'!Z26</f>
        <v>0</v>
      </c>
      <c r="Z128" s="120"/>
      <c r="AA128" s="25">
        <f t="shared" si="18"/>
        <v>12097279.789999999</v>
      </c>
    </row>
    <row r="129" spans="1:27" ht="51.75" customHeight="1" x14ac:dyDescent="0.25">
      <c r="A129" s="24" t="s">
        <v>100</v>
      </c>
      <c r="B129" s="24" t="s">
        <v>53</v>
      </c>
      <c r="C129" s="40" t="s">
        <v>397</v>
      </c>
      <c r="D129" s="25">
        <f>'дод 2'!E208</f>
        <v>782300</v>
      </c>
      <c r="E129" s="25">
        <f>'дод 2'!F208</f>
        <v>782300</v>
      </c>
      <c r="F129" s="25">
        <f>'дод 2'!G208</f>
        <v>0</v>
      </c>
      <c r="G129" s="25">
        <f>'дод 2'!H208</f>
        <v>0</v>
      </c>
      <c r="H129" s="25">
        <f>'дод 2'!I208</f>
        <v>0</v>
      </c>
      <c r="I129" s="25">
        <f>'дод 2'!J208</f>
        <v>299215.73</v>
      </c>
      <c r="J129" s="25">
        <f>'дод 2'!K208</f>
        <v>0</v>
      </c>
      <c r="K129" s="25">
        <f>'дод 2'!L208</f>
        <v>0</v>
      </c>
      <c r="L129" s="120">
        <f t="shared" si="17"/>
        <v>38.248207848651411</v>
      </c>
      <c r="M129" s="25">
        <f>'дод 2'!N208</f>
        <v>0</v>
      </c>
      <c r="N129" s="25">
        <f>'дод 2'!O208</f>
        <v>0</v>
      </c>
      <c r="O129" s="25">
        <f>'дод 2'!P208</f>
        <v>0</v>
      </c>
      <c r="P129" s="25">
        <f>'дод 2'!Q208</f>
        <v>0</v>
      </c>
      <c r="Q129" s="25">
        <f>'дод 2'!R208</f>
        <v>0</v>
      </c>
      <c r="R129" s="25">
        <f>'дод 2'!S208</f>
        <v>0</v>
      </c>
      <c r="S129" s="25">
        <f>'дод 2'!T208</f>
        <v>782300</v>
      </c>
      <c r="T129" s="25">
        <f>'дод 2'!U208</f>
        <v>0</v>
      </c>
      <c r="U129" s="25">
        <f>'дод 2'!V208</f>
        <v>0</v>
      </c>
      <c r="V129" s="25">
        <f>'дод 2'!W208</f>
        <v>0</v>
      </c>
      <c r="W129" s="25">
        <f>'дод 2'!X208</f>
        <v>0</v>
      </c>
      <c r="X129" s="25">
        <f>'дод 2'!Y208</f>
        <v>0</v>
      </c>
      <c r="Y129" s="25">
        <f>'дод 2'!Z208</f>
        <v>0</v>
      </c>
      <c r="Z129" s="120"/>
      <c r="AA129" s="25">
        <f t="shared" si="18"/>
        <v>299215.73</v>
      </c>
    </row>
    <row r="130" spans="1:27" s="31" customFormat="1" x14ac:dyDescent="0.25">
      <c r="A130" s="27"/>
      <c r="B130" s="27"/>
      <c r="C130" s="29" t="s">
        <v>387</v>
      </c>
      <c r="D130" s="30">
        <f>'дод 2'!E209</f>
        <v>782300</v>
      </c>
      <c r="E130" s="30">
        <f>'дод 2'!F209</f>
        <v>782300</v>
      </c>
      <c r="F130" s="30">
        <f>'дод 2'!G209</f>
        <v>0</v>
      </c>
      <c r="G130" s="30">
        <f>'дод 2'!H209</f>
        <v>0</v>
      </c>
      <c r="H130" s="30">
        <f>'дод 2'!I209</f>
        <v>0</v>
      </c>
      <c r="I130" s="30">
        <f>'дод 2'!J209</f>
        <v>299215.73</v>
      </c>
      <c r="J130" s="30">
        <f>'дод 2'!K209</f>
        <v>0</v>
      </c>
      <c r="K130" s="30">
        <f>'дод 2'!L209</f>
        <v>0</v>
      </c>
      <c r="L130" s="125">
        <f t="shared" si="17"/>
        <v>38.248207848651411</v>
      </c>
      <c r="M130" s="30">
        <f>'дод 2'!N209</f>
        <v>0</v>
      </c>
      <c r="N130" s="30">
        <f>'дод 2'!O209</f>
        <v>0</v>
      </c>
      <c r="O130" s="30">
        <f>'дод 2'!P209</f>
        <v>0</v>
      </c>
      <c r="P130" s="30">
        <f>'дод 2'!Q209</f>
        <v>0</v>
      </c>
      <c r="Q130" s="30">
        <f>'дод 2'!R209</f>
        <v>0</v>
      </c>
      <c r="R130" s="30">
        <f>'дод 2'!S209</f>
        <v>0</v>
      </c>
      <c r="S130" s="30">
        <f>'дод 2'!T209</f>
        <v>782300</v>
      </c>
      <c r="T130" s="30">
        <f>'дод 2'!U209</f>
        <v>0</v>
      </c>
      <c r="U130" s="30">
        <f>'дод 2'!V209</f>
        <v>0</v>
      </c>
      <c r="V130" s="30">
        <f>'дод 2'!W209</f>
        <v>0</v>
      </c>
      <c r="W130" s="30">
        <f>'дод 2'!X209</f>
        <v>0</v>
      </c>
      <c r="X130" s="30">
        <f>'дод 2'!Y209</f>
        <v>0</v>
      </c>
      <c r="Y130" s="30">
        <f>'дод 2'!Z209</f>
        <v>0</v>
      </c>
      <c r="Z130" s="120"/>
      <c r="AA130" s="30">
        <f t="shared" si="18"/>
        <v>299215.73</v>
      </c>
    </row>
    <row r="131" spans="1:27" ht="40.5" customHeight="1" x14ac:dyDescent="0.25">
      <c r="A131" s="24" t="s">
        <v>309</v>
      </c>
      <c r="B131" s="24" t="s">
        <v>51</v>
      </c>
      <c r="C131" s="40" t="s">
        <v>398</v>
      </c>
      <c r="D131" s="25">
        <f>'дод 2'!E210</f>
        <v>83100</v>
      </c>
      <c r="E131" s="25">
        <f>'дод 2'!F210</f>
        <v>83100</v>
      </c>
      <c r="F131" s="25">
        <f>'дод 2'!G210</f>
        <v>0</v>
      </c>
      <c r="G131" s="25">
        <f>'дод 2'!H210</f>
        <v>0</v>
      </c>
      <c r="H131" s="25">
        <f>'дод 2'!I210</f>
        <v>0</v>
      </c>
      <c r="I131" s="25">
        <f>'дод 2'!J210</f>
        <v>44525.41</v>
      </c>
      <c r="J131" s="25">
        <f>'дод 2'!K210</f>
        <v>0</v>
      </c>
      <c r="K131" s="25">
        <f>'дод 2'!L210</f>
        <v>0</v>
      </c>
      <c r="L131" s="120">
        <f t="shared" si="17"/>
        <v>53.580517448856803</v>
      </c>
      <c r="M131" s="25">
        <f>'дод 2'!N210</f>
        <v>0</v>
      </c>
      <c r="N131" s="25">
        <f>'дод 2'!O210</f>
        <v>0</v>
      </c>
      <c r="O131" s="25">
        <f>'дод 2'!P210</f>
        <v>0</v>
      </c>
      <c r="P131" s="25">
        <f>'дод 2'!Q210</f>
        <v>0</v>
      </c>
      <c r="Q131" s="25">
        <f>'дод 2'!R210</f>
        <v>0</v>
      </c>
      <c r="R131" s="25">
        <f>'дод 2'!S210</f>
        <v>0</v>
      </c>
      <c r="S131" s="25">
        <f>'дод 2'!T210</f>
        <v>83100</v>
      </c>
      <c r="T131" s="25">
        <f>'дод 2'!U210</f>
        <v>0</v>
      </c>
      <c r="U131" s="25">
        <f>'дод 2'!V210</f>
        <v>0</v>
      </c>
      <c r="V131" s="25">
        <f>'дод 2'!W210</f>
        <v>0</v>
      </c>
      <c r="W131" s="25">
        <f>'дод 2'!X210</f>
        <v>0</v>
      </c>
      <c r="X131" s="25">
        <f>'дод 2'!Y210</f>
        <v>0</v>
      </c>
      <c r="Y131" s="25">
        <f>'дод 2'!Z210</f>
        <v>0</v>
      </c>
      <c r="Z131" s="120"/>
      <c r="AA131" s="25">
        <f t="shared" si="18"/>
        <v>44525.41</v>
      </c>
    </row>
    <row r="132" spans="1:27" s="31" customFormat="1" x14ac:dyDescent="0.25">
      <c r="A132" s="27"/>
      <c r="B132" s="27"/>
      <c r="C132" s="29" t="s">
        <v>387</v>
      </c>
      <c r="D132" s="30">
        <f>'дод 2'!E211</f>
        <v>83100</v>
      </c>
      <c r="E132" s="30">
        <f>'дод 2'!F211</f>
        <v>83100</v>
      </c>
      <c r="F132" s="30">
        <f>'дод 2'!G211</f>
        <v>0</v>
      </c>
      <c r="G132" s="30">
        <f>'дод 2'!H211</f>
        <v>0</v>
      </c>
      <c r="H132" s="30">
        <f>'дод 2'!I211</f>
        <v>0</v>
      </c>
      <c r="I132" s="30">
        <f>'дод 2'!J211</f>
        <v>44525.41</v>
      </c>
      <c r="J132" s="30">
        <f>'дод 2'!K211</f>
        <v>0</v>
      </c>
      <c r="K132" s="30">
        <f>'дод 2'!L211</f>
        <v>0</v>
      </c>
      <c r="L132" s="125">
        <f t="shared" si="17"/>
        <v>53.580517448856803</v>
      </c>
      <c r="M132" s="30">
        <f>'дод 2'!N211</f>
        <v>0</v>
      </c>
      <c r="N132" s="30">
        <f>'дод 2'!O211</f>
        <v>0</v>
      </c>
      <c r="O132" s="30">
        <f>'дод 2'!P211</f>
        <v>0</v>
      </c>
      <c r="P132" s="30">
        <f>'дод 2'!Q211</f>
        <v>0</v>
      </c>
      <c r="Q132" s="30">
        <f>'дод 2'!R211</f>
        <v>0</v>
      </c>
      <c r="R132" s="30">
        <f>'дод 2'!S211</f>
        <v>0</v>
      </c>
      <c r="S132" s="30">
        <f>'дод 2'!T211</f>
        <v>83100</v>
      </c>
      <c r="T132" s="30">
        <f>'дод 2'!U211</f>
        <v>0</v>
      </c>
      <c r="U132" s="30">
        <f>'дод 2'!V211</f>
        <v>0</v>
      </c>
      <c r="V132" s="30">
        <f>'дод 2'!W211</f>
        <v>0</v>
      </c>
      <c r="W132" s="30">
        <f>'дод 2'!X211</f>
        <v>0</v>
      </c>
      <c r="X132" s="30">
        <f>'дод 2'!Y211</f>
        <v>0</v>
      </c>
      <c r="Y132" s="30">
        <f>'дод 2'!Z211</f>
        <v>0</v>
      </c>
      <c r="Z132" s="120"/>
      <c r="AA132" s="30">
        <f t="shared" si="18"/>
        <v>44525.41</v>
      </c>
    </row>
    <row r="133" spans="1:27" ht="53.85" customHeight="1" x14ac:dyDescent="0.25">
      <c r="A133" s="24" t="s">
        <v>101</v>
      </c>
      <c r="B133" s="24" t="s">
        <v>49</v>
      </c>
      <c r="C133" s="40" t="s">
        <v>29</v>
      </c>
      <c r="D133" s="25">
        <f>'дод 2'!E212</f>
        <v>26125300</v>
      </c>
      <c r="E133" s="25">
        <f>'дод 2'!F212</f>
        <v>26125300</v>
      </c>
      <c r="F133" s="25">
        <f>'дод 2'!G212</f>
        <v>19405100</v>
      </c>
      <c r="G133" s="25">
        <f>'дод 2'!H212</f>
        <v>1117300</v>
      </c>
      <c r="H133" s="25">
        <f>'дод 2'!I212</f>
        <v>0</v>
      </c>
      <c r="I133" s="25">
        <f>'дод 2'!J212</f>
        <v>11715156.67</v>
      </c>
      <c r="J133" s="25">
        <f>'дод 2'!K212</f>
        <v>8894727.9299999997</v>
      </c>
      <c r="K133" s="25">
        <f>'дод 2'!L212</f>
        <v>488205.51</v>
      </c>
      <c r="L133" s="120">
        <f t="shared" si="17"/>
        <v>44.842190022698304</v>
      </c>
      <c r="M133" s="25">
        <f>'дод 2'!N212</f>
        <v>68600</v>
      </c>
      <c r="N133" s="25">
        <f>'дод 2'!O212</f>
        <v>0</v>
      </c>
      <c r="O133" s="25">
        <f>'дод 2'!P212</f>
        <v>68600</v>
      </c>
      <c r="P133" s="25">
        <f>'дод 2'!Q212</f>
        <v>56100</v>
      </c>
      <c r="Q133" s="25">
        <f>'дод 2'!R212</f>
        <v>0</v>
      </c>
      <c r="R133" s="25">
        <f>'дод 2'!S212</f>
        <v>0</v>
      </c>
      <c r="S133" s="25">
        <f>'дод 2'!T212</f>
        <v>26193900</v>
      </c>
      <c r="T133" s="25">
        <f>'дод 2'!U212</f>
        <v>744091.14</v>
      </c>
      <c r="U133" s="25">
        <f>'дод 2'!V212</f>
        <v>0</v>
      </c>
      <c r="V133" s="25">
        <f>'дод 2'!W212</f>
        <v>744091.14</v>
      </c>
      <c r="W133" s="25">
        <f>'дод 2'!X212</f>
        <v>137839.37</v>
      </c>
      <c r="X133" s="25">
        <f>'дод 2'!Y212</f>
        <v>0</v>
      </c>
      <c r="Y133" s="25">
        <f>'дод 2'!Z212</f>
        <v>0</v>
      </c>
      <c r="Z133" s="120" t="s">
        <v>722</v>
      </c>
      <c r="AA133" s="25">
        <f t="shared" si="18"/>
        <v>12459247.810000001</v>
      </c>
    </row>
    <row r="134" spans="1:27" ht="56.65" customHeight="1" x14ac:dyDescent="0.25">
      <c r="A134" s="24" t="s">
        <v>326</v>
      </c>
      <c r="B134" s="24" t="s">
        <v>99</v>
      </c>
      <c r="C134" s="38" t="s">
        <v>327</v>
      </c>
      <c r="D134" s="25">
        <f>SUM('дод 2'!E245)</f>
        <v>116300</v>
      </c>
      <c r="E134" s="25">
        <f>SUM('дод 2'!F245)</f>
        <v>116300</v>
      </c>
      <c r="F134" s="25">
        <f>SUM('дод 2'!G245)</f>
        <v>0</v>
      </c>
      <c r="G134" s="25">
        <f>SUM('дод 2'!H245)</f>
        <v>0</v>
      </c>
      <c r="H134" s="25">
        <f>SUM('дод 2'!I245)</f>
        <v>0</v>
      </c>
      <c r="I134" s="25">
        <f>SUM('дод 2'!J245)</f>
        <v>0</v>
      </c>
      <c r="J134" s="25">
        <f>SUM('дод 2'!K245)</f>
        <v>0</v>
      </c>
      <c r="K134" s="25">
        <f>SUM('дод 2'!L245)</f>
        <v>0</v>
      </c>
      <c r="L134" s="120">
        <f t="shared" si="17"/>
        <v>0</v>
      </c>
      <c r="M134" s="25">
        <f>SUM('дод 2'!N245)</f>
        <v>0</v>
      </c>
      <c r="N134" s="25">
        <f>SUM('дод 2'!O245)</f>
        <v>0</v>
      </c>
      <c r="O134" s="25">
        <f>SUM('дод 2'!P245)</f>
        <v>0</v>
      </c>
      <c r="P134" s="25">
        <f>SUM('дод 2'!Q245)</f>
        <v>0</v>
      </c>
      <c r="Q134" s="25">
        <f>SUM('дод 2'!R245)</f>
        <v>0</v>
      </c>
      <c r="R134" s="25">
        <f>SUM('дод 2'!S245)</f>
        <v>0</v>
      </c>
      <c r="S134" s="25">
        <f>SUM('дод 2'!T245)</f>
        <v>116300</v>
      </c>
      <c r="T134" s="25">
        <f>SUM('дод 2'!U245)</f>
        <v>0</v>
      </c>
      <c r="U134" s="25">
        <f>SUM('дод 2'!V245)</f>
        <v>0</v>
      </c>
      <c r="V134" s="25">
        <f>SUM('дод 2'!W245)</f>
        <v>0</v>
      </c>
      <c r="W134" s="25">
        <f>SUM('дод 2'!X245)</f>
        <v>0</v>
      </c>
      <c r="X134" s="25">
        <f>SUM('дод 2'!Y245)</f>
        <v>0</v>
      </c>
      <c r="Y134" s="25">
        <f>SUM('дод 2'!Z245)</f>
        <v>0</v>
      </c>
      <c r="Z134" s="120"/>
      <c r="AA134" s="25">
        <f t="shared" si="18"/>
        <v>0</v>
      </c>
    </row>
    <row r="135" spans="1:27" s="31" customFormat="1" ht="31.35" customHeight="1" x14ac:dyDescent="0.25">
      <c r="A135" s="24" t="s">
        <v>102</v>
      </c>
      <c r="B135" s="24" t="s">
        <v>99</v>
      </c>
      <c r="C135" s="40" t="s">
        <v>30</v>
      </c>
      <c r="D135" s="25">
        <f>'дод 2'!E246</f>
        <v>170000</v>
      </c>
      <c r="E135" s="25">
        <f>'дод 2'!F246</f>
        <v>170000</v>
      </c>
      <c r="F135" s="25">
        <f>'дод 2'!G246</f>
        <v>0</v>
      </c>
      <c r="G135" s="25">
        <f>'дод 2'!H246</f>
        <v>0</v>
      </c>
      <c r="H135" s="25">
        <f>'дод 2'!I246</f>
        <v>0</v>
      </c>
      <c r="I135" s="25">
        <f>'дод 2'!J246</f>
        <v>42866.94</v>
      </c>
      <c r="J135" s="25">
        <f>'дод 2'!K246</f>
        <v>0</v>
      </c>
      <c r="K135" s="25">
        <f>'дод 2'!L246</f>
        <v>0</v>
      </c>
      <c r="L135" s="120">
        <f t="shared" si="17"/>
        <v>25.215847058823531</v>
      </c>
      <c r="M135" s="25">
        <f>'дод 2'!N246</f>
        <v>0</v>
      </c>
      <c r="N135" s="25">
        <f>'дод 2'!O246</f>
        <v>0</v>
      </c>
      <c r="O135" s="25">
        <f>'дод 2'!P246</f>
        <v>0</v>
      </c>
      <c r="P135" s="25">
        <f>'дод 2'!Q246</f>
        <v>0</v>
      </c>
      <c r="Q135" s="25">
        <f>'дод 2'!R246</f>
        <v>0</v>
      </c>
      <c r="R135" s="25">
        <f>'дод 2'!S246</f>
        <v>0</v>
      </c>
      <c r="S135" s="25">
        <f>'дод 2'!T246</f>
        <v>170000</v>
      </c>
      <c r="T135" s="25">
        <f>'дод 2'!U246</f>
        <v>0</v>
      </c>
      <c r="U135" s="25">
        <f>'дод 2'!V246</f>
        <v>0</v>
      </c>
      <c r="V135" s="25">
        <f>'дод 2'!W246</f>
        <v>0</v>
      </c>
      <c r="W135" s="25">
        <f>'дод 2'!X246</f>
        <v>0</v>
      </c>
      <c r="X135" s="25">
        <f>'дод 2'!Y246</f>
        <v>0</v>
      </c>
      <c r="Y135" s="25">
        <f>'дод 2'!Z246</f>
        <v>0</v>
      </c>
      <c r="Z135" s="120"/>
      <c r="AA135" s="25">
        <f t="shared" si="18"/>
        <v>42866.94</v>
      </c>
    </row>
    <row r="136" spans="1:27" s="31" customFormat="1" ht="31.35" customHeight="1" x14ac:dyDescent="0.25">
      <c r="A136" s="24" t="s">
        <v>124</v>
      </c>
      <c r="B136" s="24" t="s">
        <v>99</v>
      </c>
      <c r="C136" s="40" t="s">
        <v>562</v>
      </c>
      <c r="D136" s="25">
        <f>'дод 2'!E27</f>
        <v>4383800</v>
      </c>
      <c r="E136" s="25">
        <f>'дод 2'!F27</f>
        <v>4383800</v>
      </c>
      <c r="F136" s="25">
        <f>'дод 2'!G27</f>
        <v>3236100</v>
      </c>
      <c r="G136" s="25">
        <f>'дод 2'!H27</f>
        <v>106600</v>
      </c>
      <c r="H136" s="25">
        <f>'дод 2'!I27</f>
        <v>0</v>
      </c>
      <c r="I136" s="25">
        <f>'дод 2'!J27</f>
        <v>2037121.11</v>
      </c>
      <c r="J136" s="25">
        <f>'дод 2'!K27</f>
        <v>1561128.47</v>
      </c>
      <c r="K136" s="25">
        <f>'дод 2'!L27</f>
        <v>48738.34</v>
      </c>
      <c r="L136" s="120">
        <f t="shared" si="17"/>
        <v>46.469298553766144</v>
      </c>
      <c r="M136" s="25">
        <f>'дод 2'!N27</f>
        <v>100000</v>
      </c>
      <c r="N136" s="25">
        <f>'дод 2'!O27</f>
        <v>100000</v>
      </c>
      <c r="O136" s="25">
        <f>'дод 2'!P27</f>
        <v>0</v>
      </c>
      <c r="P136" s="25">
        <f>'дод 2'!Q27</f>
        <v>0</v>
      </c>
      <c r="Q136" s="25">
        <f>'дод 2'!R27</f>
        <v>0</v>
      </c>
      <c r="R136" s="25">
        <f>'дод 2'!S27</f>
        <v>100000</v>
      </c>
      <c r="S136" s="25">
        <f>'дод 2'!T27</f>
        <v>4483800</v>
      </c>
      <c r="T136" s="25">
        <f>'дод 2'!U27</f>
        <v>0</v>
      </c>
      <c r="U136" s="25">
        <f>'дод 2'!V27</f>
        <v>0</v>
      </c>
      <c r="V136" s="25">
        <f>'дод 2'!W27</f>
        <v>0</v>
      </c>
      <c r="W136" s="25">
        <f>'дод 2'!X27</f>
        <v>0</v>
      </c>
      <c r="X136" s="25">
        <f>'дод 2'!Y27</f>
        <v>0</v>
      </c>
      <c r="Y136" s="25">
        <f>'дод 2'!Z27</f>
        <v>0</v>
      </c>
      <c r="Z136" s="120">
        <f t="shared" si="19"/>
        <v>0</v>
      </c>
      <c r="AA136" s="25">
        <f t="shared" si="18"/>
        <v>2037121.11</v>
      </c>
    </row>
    <row r="137" spans="1:27" s="31" customFormat="1" ht="42" customHeight="1" x14ac:dyDescent="0.25">
      <c r="A137" s="24" t="s">
        <v>106</v>
      </c>
      <c r="B137" s="24" t="s">
        <v>99</v>
      </c>
      <c r="C137" s="40" t="s">
        <v>334</v>
      </c>
      <c r="D137" s="25">
        <f>'дод 2'!E28</f>
        <v>500000</v>
      </c>
      <c r="E137" s="25">
        <f>'дод 2'!F28</f>
        <v>500000</v>
      </c>
      <c r="F137" s="25">
        <f>'дод 2'!G28</f>
        <v>0</v>
      </c>
      <c r="G137" s="25">
        <f>'дод 2'!H28</f>
        <v>0</v>
      </c>
      <c r="H137" s="25">
        <f>'дод 2'!I28</f>
        <v>0</v>
      </c>
      <c r="I137" s="25">
        <f>'дод 2'!J28</f>
        <v>134794.46</v>
      </c>
      <c r="J137" s="25">
        <f>'дод 2'!K28</f>
        <v>0</v>
      </c>
      <c r="K137" s="25">
        <f>'дод 2'!L28</f>
        <v>0</v>
      </c>
      <c r="L137" s="120">
        <f t="shared" si="17"/>
        <v>26.958892000000002</v>
      </c>
      <c r="M137" s="25">
        <f>'дод 2'!N28</f>
        <v>0</v>
      </c>
      <c r="N137" s="25">
        <f>'дод 2'!O28</f>
        <v>0</v>
      </c>
      <c r="O137" s="25">
        <f>'дод 2'!P28</f>
        <v>0</v>
      </c>
      <c r="P137" s="25">
        <f>'дод 2'!Q28</f>
        <v>0</v>
      </c>
      <c r="Q137" s="25">
        <f>'дод 2'!R28</f>
        <v>0</v>
      </c>
      <c r="R137" s="25">
        <f>'дод 2'!S28</f>
        <v>0</v>
      </c>
      <c r="S137" s="25">
        <f>'дод 2'!T28</f>
        <v>500000</v>
      </c>
      <c r="T137" s="25">
        <f>'дод 2'!U28</f>
        <v>0</v>
      </c>
      <c r="U137" s="25">
        <f>'дод 2'!V28</f>
        <v>0</v>
      </c>
      <c r="V137" s="25">
        <f>'дод 2'!W28</f>
        <v>0</v>
      </c>
      <c r="W137" s="25">
        <f>'дод 2'!X28</f>
        <v>0</v>
      </c>
      <c r="X137" s="25">
        <f>'дод 2'!Y28</f>
        <v>0</v>
      </c>
      <c r="Y137" s="25">
        <f>'дод 2'!Z28</f>
        <v>0</v>
      </c>
      <c r="Z137" s="120"/>
      <c r="AA137" s="25">
        <f t="shared" si="18"/>
        <v>134794.46</v>
      </c>
    </row>
    <row r="138" spans="1:27" s="31" customFormat="1" ht="26.25" customHeight="1" x14ac:dyDescent="0.25">
      <c r="A138" s="24">
        <v>3133</v>
      </c>
      <c r="B138" s="24">
        <v>1040</v>
      </c>
      <c r="C138" s="40" t="s">
        <v>548</v>
      </c>
      <c r="D138" s="25">
        <f>'дод 2'!E29</f>
        <v>6297600</v>
      </c>
      <c r="E138" s="25">
        <f>'дод 2'!F29</f>
        <v>6297600</v>
      </c>
      <c r="F138" s="25">
        <f>'дод 2'!G29</f>
        <v>3587200</v>
      </c>
      <c r="G138" s="25">
        <f>'дод 2'!H29</f>
        <v>1085700</v>
      </c>
      <c r="H138" s="25">
        <f>'дод 2'!I29</f>
        <v>0</v>
      </c>
      <c r="I138" s="25">
        <f>'дод 2'!J29</f>
        <v>2470445.7400000002</v>
      </c>
      <c r="J138" s="25">
        <f>'дод 2'!K29</f>
        <v>1539890.66</v>
      </c>
      <c r="K138" s="25">
        <f>'дод 2'!L29</f>
        <v>388289.09</v>
      </c>
      <c r="L138" s="120">
        <f t="shared" si="17"/>
        <v>39.228368584857726</v>
      </c>
      <c r="M138" s="25">
        <f>'дод 2'!N29</f>
        <v>10000</v>
      </c>
      <c r="N138" s="25">
        <f>'дод 2'!O29</f>
        <v>0</v>
      </c>
      <c r="O138" s="25">
        <f>'дод 2'!P29</f>
        <v>10000</v>
      </c>
      <c r="P138" s="25">
        <f>'дод 2'!Q29</f>
        <v>0</v>
      </c>
      <c r="Q138" s="25">
        <f>'дод 2'!R29</f>
        <v>3500</v>
      </c>
      <c r="R138" s="25">
        <f>'дод 2'!S29</f>
        <v>0</v>
      </c>
      <c r="S138" s="25">
        <f>'дод 2'!T29</f>
        <v>6307600</v>
      </c>
      <c r="T138" s="25">
        <f>'дод 2'!U29</f>
        <v>39474.9</v>
      </c>
      <c r="U138" s="25">
        <f>'дод 2'!V29</f>
        <v>0</v>
      </c>
      <c r="V138" s="25">
        <f>'дод 2'!W29</f>
        <v>39474.9</v>
      </c>
      <c r="W138" s="25">
        <f>'дод 2'!X29</f>
        <v>2663</v>
      </c>
      <c r="X138" s="25">
        <f>'дод 2'!Y29</f>
        <v>0</v>
      </c>
      <c r="Y138" s="25">
        <f>'дод 2'!Z29</f>
        <v>0</v>
      </c>
      <c r="Z138" s="120" t="s">
        <v>719</v>
      </c>
      <c r="AA138" s="25">
        <f t="shared" si="18"/>
        <v>2509920.64</v>
      </c>
    </row>
    <row r="139" spans="1:27" ht="69" customHeight="1" x14ac:dyDescent="0.25">
      <c r="A139" s="24" t="s">
        <v>107</v>
      </c>
      <c r="B139" s="24" t="s">
        <v>99</v>
      </c>
      <c r="C139" s="4" t="s">
        <v>20</v>
      </c>
      <c r="D139" s="25">
        <f>'дод 2'!E30+'дод 2'!E120+'дод 2'!E213+'дод 2'!E130</f>
        <v>1400000</v>
      </c>
      <c r="E139" s="25">
        <f>'дод 2'!F30+'дод 2'!F120+'дод 2'!F213+'дод 2'!F130</f>
        <v>1400000</v>
      </c>
      <c r="F139" s="25">
        <f>'дод 2'!G30+'дод 2'!G120+'дод 2'!G213+'дод 2'!G130</f>
        <v>0</v>
      </c>
      <c r="G139" s="25">
        <f>'дод 2'!H30+'дод 2'!H120+'дод 2'!H213+'дод 2'!H130</f>
        <v>0</v>
      </c>
      <c r="H139" s="25">
        <f>'дод 2'!I30+'дод 2'!I120+'дод 2'!I213+'дод 2'!I130</f>
        <v>0</v>
      </c>
      <c r="I139" s="25">
        <f>'дод 2'!J30+'дод 2'!J120+'дод 2'!J213+'дод 2'!J130</f>
        <v>0</v>
      </c>
      <c r="J139" s="25">
        <f>'дод 2'!K30+'дод 2'!K120+'дод 2'!K213+'дод 2'!K130</f>
        <v>0</v>
      </c>
      <c r="K139" s="25">
        <f>'дод 2'!L30+'дод 2'!L120+'дод 2'!L213+'дод 2'!L130</f>
        <v>0</v>
      </c>
      <c r="L139" s="120">
        <f t="shared" si="17"/>
        <v>0</v>
      </c>
      <c r="M139" s="25">
        <f>'дод 2'!N30+'дод 2'!N120+'дод 2'!N213+'дод 2'!N130</f>
        <v>0</v>
      </c>
      <c r="N139" s="25">
        <f>'дод 2'!O30+'дод 2'!O120+'дод 2'!O213+'дод 2'!O130</f>
        <v>0</v>
      </c>
      <c r="O139" s="25">
        <f>'дод 2'!P30+'дод 2'!P120+'дод 2'!P213+'дод 2'!P130</f>
        <v>0</v>
      </c>
      <c r="P139" s="25">
        <f>'дод 2'!Q30+'дод 2'!Q120+'дод 2'!Q213+'дод 2'!Q130</f>
        <v>0</v>
      </c>
      <c r="Q139" s="25">
        <f>'дод 2'!R30+'дод 2'!R120+'дод 2'!R213+'дод 2'!R130</f>
        <v>0</v>
      </c>
      <c r="R139" s="25">
        <f>'дод 2'!S30+'дод 2'!S120+'дод 2'!S213+'дод 2'!S130</f>
        <v>0</v>
      </c>
      <c r="S139" s="25">
        <f>'дод 2'!T30+'дод 2'!T120+'дод 2'!T213+'дод 2'!T130</f>
        <v>1400000</v>
      </c>
      <c r="T139" s="25">
        <f>'дод 2'!U30+'дод 2'!U120+'дод 2'!U213+'дод 2'!U130</f>
        <v>0</v>
      </c>
      <c r="U139" s="25">
        <f>'дод 2'!V30+'дод 2'!V120+'дод 2'!V213+'дод 2'!V130</f>
        <v>0</v>
      </c>
      <c r="V139" s="25">
        <f>'дод 2'!W30+'дод 2'!W120+'дод 2'!W213+'дод 2'!W130</f>
        <v>0</v>
      </c>
      <c r="W139" s="25">
        <f>'дод 2'!X30+'дод 2'!X120+'дод 2'!X213+'дод 2'!X130</f>
        <v>0</v>
      </c>
      <c r="X139" s="25">
        <f>'дод 2'!Y30+'дод 2'!Y120+'дод 2'!Y213+'дод 2'!Y130</f>
        <v>0</v>
      </c>
      <c r="Y139" s="25">
        <f>'дод 2'!Z30+'дод 2'!Z120+'дод 2'!Z213+'дод 2'!Z130</f>
        <v>0</v>
      </c>
      <c r="Z139" s="120"/>
      <c r="AA139" s="25">
        <f t="shared" si="18"/>
        <v>0</v>
      </c>
    </row>
    <row r="140" spans="1:27" ht="68.25" customHeight="1" x14ac:dyDescent="0.25">
      <c r="A140" s="24" t="s">
        <v>108</v>
      </c>
      <c r="B140" s="24">
        <v>1010</v>
      </c>
      <c r="C140" s="40" t="s">
        <v>687</v>
      </c>
      <c r="D140" s="25">
        <f>'дод 2'!E214</f>
        <v>19840100</v>
      </c>
      <c r="E140" s="25">
        <f>'дод 2'!F214</f>
        <v>19840100</v>
      </c>
      <c r="F140" s="25">
        <f>'дод 2'!G214</f>
        <v>0</v>
      </c>
      <c r="G140" s="25">
        <f>'дод 2'!H214</f>
        <v>0</v>
      </c>
      <c r="H140" s="25">
        <f>'дод 2'!I214</f>
        <v>0</v>
      </c>
      <c r="I140" s="25">
        <f>'дод 2'!J214</f>
        <v>9493372.7799999993</v>
      </c>
      <c r="J140" s="25">
        <f>'дод 2'!K214</f>
        <v>0</v>
      </c>
      <c r="K140" s="25">
        <f>'дод 2'!L214</f>
        <v>0</v>
      </c>
      <c r="L140" s="120">
        <f t="shared" si="17"/>
        <v>47.849420013003964</v>
      </c>
      <c r="M140" s="25">
        <f>'дод 2'!N214</f>
        <v>0</v>
      </c>
      <c r="N140" s="25">
        <f>'дод 2'!O214</f>
        <v>0</v>
      </c>
      <c r="O140" s="25">
        <f>'дод 2'!P214</f>
        <v>0</v>
      </c>
      <c r="P140" s="25">
        <f>'дод 2'!Q214</f>
        <v>0</v>
      </c>
      <c r="Q140" s="25">
        <f>'дод 2'!R214</f>
        <v>0</v>
      </c>
      <c r="R140" s="25">
        <f>'дод 2'!S214</f>
        <v>0</v>
      </c>
      <c r="S140" s="25">
        <f>'дод 2'!T214</f>
        <v>19840100</v>
      </c>
      <c r="T140" s="25">
        <f>'дод 2'!U214</f>
        <v>0</v>
      </c>
      <c r="U140" s="25">
        <f>'дод 2'!V214</f>
        <v>0</v>
      </c>
      <c r="V140" s="25">
        <f>'дод 2'!W214</f>
        <v>0</v>
      </c>
      <c r="W140" s="25">
        <f>'дод 2'!X214</f>
        <v>0</v>
      </c>
      <c r="X140" s="25">
        <f>'дод 2'!Y214</f>
        <v>0</v>
      </c>
      <c r="Y140" s="25">
        <f>'дод 2'!Z214</f>
        <v>0</v>
      </c>
      <c r="Z140" s="120"/>
      <c r="AA140" s="25">
        <f t="shared" si="18"/>
        <v>9493372.7799999993</v>
      </c>
    </row>
    <row r="141" spans="1:27" s="31" customFormat="1" ht="110.25" x14ac:dyDescent="0.25">
      <c r="A141" s="27"/>
      <c r="B141" s="27"/>
      <c r="C141" s="29" t="s">
        <v>688</v>
      </c>
      <c r="D141" s="30">
        <f>'дод 2'!E215</f>
        <v>1495257</v>
      </c>
      <c r="E141" s="30">
        <f>'дод 2'!F215</f>
        <v>1495257</v>
      </c>
      <c r="F141" s="30">
        <f>'дод 2'!G215</f>
        <v>0</v>
      </c>
      <c r="G141" s="30">
        <f>'дод 2'!H215</f>
        <v>0</v>
      </c>
      <c r="H141" s="30">
        <f>'дод 2'!I215</f>
        <v>0</v>
      </c>
      <c r="I141" s="30">
        <f>'дод 2'!J215</f>
        <v>1495257</v>
      </c>
      <c r="J141" s="30">
        <f>'дод 2'!K215</f>
        <v>0</v>
      </c>
      <c r="K141" s="30">
        <f>'дод 2'!L215</f>
        <v>0</v>
      </c>
      <c r="L141" s="125">
        <f t="shared" si="17"/>
        <v>100</v>
      </c>
      <c r="M141" s="30">
        <f>'дод 2'!N215</f>
        <v>0</v>
      </c>
      <c r="N141" s="30">
        <f>'дод 2'!O215</f>
        <v>0</v>
      </c>
      <c r="O141" s="30">
        <f>'дод 2'!P215</f>
        <v>0</v>
      </c>
      <c r="P141" s="30">
        <f>'дод 2'!Q215</f>
        <v>0</v>
      </c>
      <c r="Q141" s="30">
        <f>'дод 2'!R215</f>
        <v>0</v>
      </c>
      <c r="R141" s="30">
        <f>'дод 2'!S215</f>
        <v>0</v>
      </c>
      <c r="S141" s="30">
        <f>'дод 2'!T215</f>
        <v>1495257</v>
      </c>
      <c r="T141" s="30">
        <f>'дод 2'!U215</f>
        <v>0</v>
      </c>
      <c r="U141" s="30">
        <f>'дод 2'!V215</f>
        <v>0</v>
      </c>
      <c r="V141" s="30">
        <f>'дод 2'!W215</f>
        <v>0</v>
      </c>
      <c r="W141" s="30">
        <f>'дод 2'!X215</f>
        <v>0</v>
      </c>
      <c r="X141" s="30">
        <f>'дод 2'!Y215</f>
        <v>0</v>
      </c>
      <c r="Y141" s="30">
        <f>'дод 2'!Z215</f>
        <v>0</v>
      </c>
      <c r="Z141" s="120"/>
      <c r="AA141" s="30">
        <f t="shared" si="18"/>
        <v>1495257</v>
      </c>
    </row>
    <row r="142" spans="1:27" s="31" customFormat="1" ht="94.5" x14ac:dyDescent="0.25">
      <c r="A142" s="27"/>
      <c r="B142" s="27"/>
      <c r="C142" s="29" t="s">
        <v>644</v>
      </c>
      <c r="D142" s="30">
        <f>'дод 2'!E216</f>
        <v>9886200</v>
      </c>
      <c r="E142" s="30">
        <f>'дод 2'!F216</f>
        <v>9886200</v>
      </c>
      <c r="F142" s="30">
        <f>'дод 2'!G216</f>
        <v>0</v>
      </c>
      <c r="G142" s="30">
        <f>'дод 2'!H216</f>
        <v>0</v>
      </c>
      <c r="H142" s="30">
        <f>'дод 2'!I216</f>
        <v>0</v>
      </c>
      <c r="I142" s="30">
        <f>'дод 2'!J216</f>
        <v>37594.21</v>
      </c>
      <c r="J142" s="30">
        <f>'дод 2'!K216</f>
        <v>0</v>
      </c>
      <c r="K142" s="30">
        <f>'дод 2'!L216</f>
        <v>0</v>
      </c>
      <c r="L142" s="120">
        <f t="shared" si="17"/>
        <v>0.3802695676802007</v>
      </c>
      <c r="M142" s="30">
        <f>'дод 2'!N216</f>
        <v>0</v>
      </c>
      <c r="N142" s="30">
        <f>'дод 2'!O216</f>
        <v>0</v>
      </c>
      <c r="O142" s="30">
        <f>'дод 2'!P216</f>
        <v>0</v>
      </c>
      <c r="P142" s="30">
        <f>'дод 2'!Q216</f>
        <v>0</v>
      </c>
      <c r="Q142" s="30">
        <f>'дод 2'!R216</f>
        <v>0</v>
      </c>
      <c r="R142" s="30">
        <f>'дод 2'!S216</f>
        <v>0</v>
      </c>
      <c r="S142" s="30">
        <f>'дод 2'!T216</f>
        <v>9886200</v>
      </c>
      <c r="T142" s="30">
        <f>'дод 2'!U216</f>
        <v>0</v>
      </c>
      <c r="U142" s="30">
        <f>'дод 2'!V216</f>
        <v>0</v>
      </c>
      <c r="V142" s="30">
        <f>'дод 2'!W216</f>
        <v>0</v>
      </c>
      <c r="W142" s="30">
        <f>'дод 2'!X216</f>
        <v>0</v>
      </c>
      <c r="X142" s="30">
        <f>'дод 2'!Y216</f>
        <v>0</v>
      </c>
      <c r="Y142" s="30">
        <f>'дод 2'!Z216</f>
        <v>0</v>
      </c>
      <c r="Z142" s="120"/>
      <c r="AA142" s="30">
        <f t="shared" si="18"/>
        <v>37594.21</v>
      </c>
    </row>
    <row r="143" spans="1:27" s="31" customFormat="1" ht="63" customHeight="1" x14ac:dyDescent="0.25">
      <c r="A143" s="24" t="s">
        <v>310</v>
      </c>
      <c r="B143" s="24">
        <v>1010</v>
      </c>
      <c r="C143" s="40" t="s">
        <v>394</v>
      </c>
      <c r="D143" s="25">
        <f>'дод 2'!E217</f>
        <v>215129</v>
      </c>
      <c r="E143" s="25">
        <f>'дод 2'!F217</f>
        <v>215129</v>
      </c>
      <c r="F143" s="25">
        <f>'дод 2'!G217</f>
        <v>0</v>
      </c>
      <c r="G143" s="25">
        <f>'дод 2'!H217</f>
        <v>0</v>
      </c>
      <c r="H143" s="25">
        <f>'дод 2'!I217</f>
        <v>0</v>
      </c>
      <c r="I143" s="25">
        <f>'дод 2'!J217</f>
        <v>96274.15</v>
      </c>
      <c r="J143" s="25">
        <f>'дод 2'!K217</f>
        <v>0</v>
      </c>
      <c r="K143" s="25">
        <f>'дод 2'!L217</f>
        <v>0</v>
      </c>
      <c r="L143" s="120">
        <f t="shared" si="17"/>
        <v>44.751823324609887</v>
      </c>
      <c r="M143" s="25">
        <f>'дод 2'!N217</f>
        <v>0</v>
      </c>
      <c r="N143" s="25">
        <f>'дод 2'!O217</f>
        <v>0</v>
      </c>
      <c r="O143" s="25">
        <f>'дод 2'!P217</f>
        <v>0</v>
      </c>
      <c r="P143" s="25">
        <f>'дод 2'!Q217</f>
        <v>0</v>
      </c>
      <c r="Q143" s="25">
        <f>'дод 2'!R217</f>
        <v>0</v>
      </c>
      <c r="R143" s="25">
        <f>'дод 2'!S217</f>
        <v>0</v>
      </c>
      <c r="S143" s="25">
        <f>'дод 2'!T217</f>
        <v>215129</v>
      </c>
      <c r="T143" s="25">
        <f>'дод 2'!U217</f>
        <v>0</v>
      </c>
      <c r="U143" s="25">
        <f>'дод 2'!V217</f>
        <v>0</v>
      </c>
      <c r="V143" s="25">
        <f>'дод 2'!W217</f>
        <v>0</v>
      </c>
      <c r="W143" s="25">
        <f>'дод 2'!X217</f>
        <v>0</v>
      </c>
      <c r="X143" s="25">
        <f>'дод 2'!Y217</f>
        <v>0</v>
      </c>
      <c r="Y143" s="25">
        <f>'дод 2'!Z217</f>
        <v>0</v>
      </c>
      <c r="Z143" s="120"/>
      <c r="AA143" s="25">
        <f t="shared" si="18"/>
        <v>96274.15</v>
      </c>
    </row>
    <row r="144" spans="1:27" s="31" customFormat="1" ht="15.75" customHeight="1" x14ac:dyDescent="0.25">
      <c r="A144" s="27"/>
      <c r="B144" s="27"/>
      <c r="C144" s="29" t="s">
        <v>387</v>
      </c>
      <c r="D144" s="30">
        <f>'дод 2'!E218</f>
        <v>215129</v>
      </c>
      <c r="E144" s="30">
        <f>'дод 2'!F218</f>
        <v>215129</v>
      </c>
      <c r="F144" s="30">
        <f>'дод 2'!G218</f>
        <v>0</v>
      </c>
      <c r="G144" s="30">
        <f>'дод 2'!H218</f>
        <v>0</v>
      </c>
      <c r="H144" s="30">
        <f>'дод 2'!I218</f>
        <v>0</v>
      </c>
      <c r="I144" s="30">
        <f>'дод 2'!J218</f>
        <v>96274.15</v>
      </c>
      <c r="J144" s="30">
        <f>'дод 2'!K218</f>
        <v>0</v>
      </c>
      <c r="K144" s="30">
        <f>'дод 2'!L218</f>
        <v>0</v>
      </c>
      <c r="L144" s="125">
        <f t="shared" si="17"/>
        <v>44.751823324609887</v>
      </c>
      <c r="M144" s="30">
        <f>'дод 2'!N218</f>
        <v>0</v>
      </c>
      <c r="N144" s="30">
        <f>'дод 2'!O218</f>
        <v>0</v>
      </c>
      <c r="O144" s="30">
        <f>'дод 2'!P218</f>
        <v>0</v>
      </c>
      <c r="P144" s="30">
        <f>'дод 2'!Q218</f>
        <v>0</v>
      </c>
      <c r="Q144" s="30">
        <f>'дод 2'!R218</f>
        <v>0</v>
      </c>
      <c r="R144" s="30">
        <f>'дод 2'!S218</f>
        <v>0</v>
      </c>
      <c r="S144" s="30">
        <f>'дод 2'!T218</f>
        <v>215129</v>
      </c>
      <c r="T144" s="30">
        <f>'дод 2'!U218</f>
        <v>0</v>
      </c>
      <c r="U144" s="30">
        <f>'дод 2'!V218</f>
        <v>0</v>
      </c>
      <c r="V144" s="30">
        <f>'дод 2'!W218</f>
        <v>0</v>
      </c>
      <c r="W144" s="30">
        <f>'дод 2'!X218</f>
        <v>0</v>
      </c>
      <c r="X144" s="30">
        <f>'дод 2'!Y218</f>
        <v>0</v>
      </c>
      <c r="Y144" s="30">
        <f>'дод 2'!Z218</f>
        <v>0</v>
      </c>
      <c r="Z144" s="120"/>
      <c r="AA144" s="30">
        <f t="shared" si="18"/>
        <v>96274.15</v>
      </c>
    </row>
    <row r="145" spans="1:27" s="31" customFormat="1" ht="36" hidden="1" customHeight="1" x14ac:dyDescent="0.25">
      <c r="A145" s="24" t="s">
        <v>311</v>
      </c>
      <c r="B145" s="24">
        <v>1010</v>
      </c>
      <c r="C145" s="40" t="s">
        <v>395</v>
      </c>
      <c r="D145" s="25">
        <f>'дод 2'!E219</f>
        <v>0</v>
      </c>
      <c r="E145" s="25">
        <f>'дод 2'!F219</f>
        <v>0</v>
      </c>
      <c r="F145" s="25">
        <f>'дод 2'!G219</f>
        <v>0</v>
      </c>
      <c r="G145" s="25">
        <f>'дод 2'!H219</f>
        <v>0</v>
      </c>
      <c r="H145" s="25">
        <f>'дод 2'!I219</f>
        <v>0</v>
      </c>
      <c r="I145" s="25">
        <f>'дод 2'!J219</f>
        <v>0</v>
      </c>
      <c r="J145" s="25">
        <f>'дод 2'!K219</f>
        <v>0</v>
      </c>
      <c r="K145" s="25">
        <f>'дод 2'!L219</f>
        <v>0</v>
      </c>
      <c r="L145" s="120" t="e">
        <f t="shared" ref="L145:L204" si="32">I145/D145*100</f>
        <v>#DIV/0!</v>
      </c>
      <c r="M145" s="25">
        <f>'дод 2'!N219</f>
        <v>0</v>
      </c>
      <c r="N145" s="25">
        <f>'дод 2'!O219</f>
        <v>0</v>
      </c>
      <c r="O145" s="25">
        <f>'дод 2'!P219</f>
        <v>0</v>
      </c>
      <c r="P145" s="25">
        <f>'дод 2'!Q219</f>
        <v>0</v>
      </c>
      <c r="Q145" s="25">
        <f>'дод 2'!R219</f>
        <v>0</v>
      </c>
      <c r="R145" s="25">
        <f>'дод 2'!S219</f>
        <v>0</v>
      </c>
      <c r="S145" s="25">
        <f>'дод 2'!T219</f>
        <v>0</v>
      </c>
      <c r="T145" s="25">
        <f>'дод 2'!U219</f>
        <v>0</v>
      </c>
      <c r="U145" s="25">
        <f>'дод 2'!V219</f>
        <v>0</v>
      </c>
      <c r="V145" s="25">
        <f>'дод 2'!W219</f>
        <v>0</v>
      </c>
      <c r="W145" s="25">
        <f>'дод 2'!X219</f>
        <v>0</v>
      </c>
      <c r="X145" s="25">
        <f>'дод 2'!Y219</f>
        <v>0</v>
      </c>
      <c r="Y145" s="25">
        <f>'дод 2'!Z219</f>
        <v>0</v>
      </c>
      <c r="Z145" s="120" t="e">
        <f t="shared" ref="Z145:Z208" si="33">T145/M145*100</f>
        <v>#DIV/0!</v>
      </c>
      <c r="AA145" s="25">
        <f t="shared" ref="AA145:AA208" si="34">I145+T145</f>
        <v>0</v>
      </c>
    </row>
    <row r="146" spans="1:27" s="31" customFormat="1" ht="15.75" hidden="1" customHeight="1" x14ac:dyDescent="0.25">
      <c r="A146" s="27"/>
      <c r="B146" s="27"/>
      <c r="C146" s="29" t="s">
        <v>387</v>
      </c>
      <c r="D146" s="30">
        <f>'дод 2'!E220</f>
        <v>0</v>
      </c>
      <c r="E146" s="30">
        <f>'дод 2'!F220</f>
        <v>0</v>
      </c>
      <c r="F146" s="30">
        <f>'дод 2'!G220</f>
        <v>0</v>
      </c>
      <c r="G146" s="30">
        <f>'дод 2'!H220</f>
        <v>0</v>
      </c>
      <c r="H146" s="30">
        <f>'дод 2'!I220</f>
        <v>0</v>
      </c>
      <c r="I146" s="30">
        <f>'дод 2'!J220</f>
        <v>0</v>
      </c>
      <c r="J146" s="30">
        <f>'дод 2'!K220</f>
        <v>0</v>
      </c>
      <c r="K146" s="30">
        <f>'дод 2'!L220</f>
        <v>0</v>
      </c>
      <c r="L146" s="120" t="e">
        <f t="shared" si="32"/>
        <v>#DIV/0!</v>
      </c>
      <c r="M146" s="30">
        <f>'дод 2'!N220</f>
        <v>0</v>
      </c>
      <c r="N146" s="30">
        <f>'дод 2'!O220</f>
        <v>0</v>
      </c>
      <c r="O146" s="30">
        <f>'дод 2'!P220</f>
        <v>0</v>
      </c>
      <c r="P146" s="30">
        <f>'дод 2'!Q220</f>
        <v>0</v>
      </c>
      <c r="Q146" s="30">
        <f>'дод 2'!R220</f>
        <v>0</v>
      </c>
      <c r="R146" s="30">
        <f>'дод 2'!S220</f>
        <v>0</v>
      </c>
      <c r="S146" s="30">
        <f>'дод 2'!T220</f>
        <v>0</v>
      </c>
      <c r="T146" s="30">
        <f>'дод 2'!U220</f>
        <v>0</v>
      </c>
      <c r="U146" s="30">
        <f>'дод 2'!V220</f>
        <v>0</v>
      </c>
      <c r="V146" s="30">
        <f>'дод 2'!W220</f>
        <v>0</v>
      </c>
      <c r="W146" s="30">
        <f>'дод 2'!X220</f>
        <v>0</v>
      </c>
      <c r="X146" s="30">
        <f>'дод 2'!Y220</f>
        <v>0</v>
      </c>
      <c r="Y146" s="30">
        <f>'дод 2'!Z220</f>
        <v>0</v>
      </c>
      <c r="Z146" s="120" t="e">
        <f t="shared" si="33"/>
        <v>#DIV/0!</v>
      </c>
      <c r="AA146" s="25">
        <f t="shared" si="34"/>
        <v>0</v>
      </c>
    </row>
    <row r="147" spans="1:27" ht="72.75" hidden="1" customHeight="1" x14ac:dyDescent="0.25">
      <c r="A147" s="24" t="s">
        <v>103</v>
      </c>
      <c r="B147" s="24" t="s">
        <v>52</v>
      </c>
      <c r="C147" s="40" t="s">
        <v>335</v>
      </c>
      <c r="D147" s="25">
        <f>'дод 2'!E221</f>
        <v>0</v>
      </c>
      <c r="E147" s="25">
        <f>'дод 2'!F221</f>
        <v>0</v>
      </c>
      <c r="F147" s="25">
        <f>'дод 2'!G221</f>
        <v>0</v>
      </c>
      <c r="G147" s="25">
        <f>'дод 2'!H221</f>
        <v>0</v>
      </c>
      <c r="H147" s="25">
        <f>'дод 2'!I221</f>
        <v>0</v>
      </c>
      <c r="I147" s="25">
        <f>'дод 2'!J221</f>
        <v>0</v>
      </c>
      <c r="J147" s="25">
        <f>'дод 2'!K221</f>
        <v>0</v>
      </c>
      <c r="K147" s="25">
        <f>'дод 2'!L221</f>
        <v>0</v>
      </c>
      <c r="L147" s="120" t="e">
        <f t="shared" si="32"/>
        <v>#DIV/0!</v>
      </c>
      <c r="M147" s="25">
        <f>'дод 2'!N221</f>
        <v>0</v>
      </c>
      <c r="N147" s="25">
        <f>'дод 2'!O221</f>
        <v>0</v>
      </c>
      <c r="O147" s="25">
        <f>'дод 2'!P221</f>
        <v>0</v>
      </c>
      <c r="P147" s="25">
        <f>'дод 2'!Q221</f>
        <v>0</v>
      </c>
      <c r="Q147" s="25">
        <f>'дод 2'!R221</f>
        <v>0</v>
      </c>
      <c r="R147" s="25">
        <f>'дод 2'!S221</f>
        <v>0</v>
      </c>
      <c r="S147" s="25">
        <f>'дод 2'!T221</f>
        <v>0</v>
      </c>
      <c r="T147" s="25">
        <f>'дод 2'!U221</f>
        <v>0</v>
      </c>
      <c r="U147" s="25">
        <f>'дод 2'!V221</f>
        <v>0</v>
      </c>
      <c r="V147" s="25">
        <f>'дод 2'!W221</f>
        <v>0</v>
      </c>
      <c r="W147" s="25">
        <f>'дод 2'!X221</f>
        <v>0</v>
      </c>
      <c r="X147" s="25">
        <f>'дод 2'!Y221</f>
        <v>0</v>
      </c>
      <c r="Y147" s="25">
        <f>'дод 2'!Z221</f>
        <v>0</v>
      </c>
      <c r="Z147" s="120" t="e">
        <f t="shared" si="33"/>
        <v>#DIV/0!</v>
      </c>
      <c r="AA147" s="25">
        <f t="shared" si="34"/>
        <v>0</v>
      </c>
    </row>
    <row r="148" spans="1:27" s="31" customFormat="1" ht="34.5" customHeight="1" x14ac:dyDescent="0.25">
      <c r="A148" s="24" t="s">
        <v>281</v>
      </c>
      <c r="B148" s="24" t="s">
        <v>51</v>
      </c>
      <c r="C148" s="40" t="s">
        <v>18</v>
      </c>
      <c r="D148" s="25">
        <f>'дод 2'!E222</f>
        <v>6861100</v>
      </c>
      <c r="E148" s="25">
        <f>'дод 2'!F222</f>
        <v>6861100</v>
      </c>
      <c r="F148" s="25">
        <f>'дод 2'!G222</f>
        <v>0</v>
      </c>
      <c r="G148" s="25">
        <f>'дод 2'!H222</f>
        <v>0</v>
      </c>
      <c r="H148" s="25">
        <f>'дод 2'!I222</f>
        <v>0</v>
      </c>
      <c r="I148" s="25">
        <f>'дод 2'!J222</f>
        <v>3155081.63</v>
      </c>
      <c r="J148" s="25">
        <f>'дод 2'!K222</f>
        <v>0</v>
      </c>
      <c r="K148" s="25">
        <f>'дод 2'!L222</f>
        <v>0</v>
      </c>
      <c r="L148" s="120">
        <f t="shared" si="32"/>
        <v>45.985069886752846</v>
      </c>
      <c r="M148" s="25">
        <f>'дод 2'!N222</f>
        <v>0</v>
      </c>
      <c r="N148" s="25">
        <f>'дод 2'!O222</f>
        <v>0</v>
      </c>
      <c r="O148" s="25">
        <f>'дод 2'!P222</f>
        <v>0</v>
      </c>
      <c r="P148" s="25">
        <f>'дод 2'!Q222</f>
        <v>0</v>
      </c>
      <c r="Q148" s="25">
        <f>'дод 2'!R222</f>
        <v>0</v>
      </c>
      <c r="R148" s="25">
        <f>'дод 2'!S222</f>
        <v>0</v>
      </c>
      <c r="S148" s="25">
        <f>'дод 2'!T222</f>
        <v>6861100</v>
      </c>
      <c r="T148" s="25">
        <f>'дод 2'!U222</f>
        <v>0</v>
      </c>
      <c r="U148" s="25">
        <f>'дод 2'!V222</f>
        <v>0</v>
      </c>
      <c r="V148" s="25">
        <f>'дод 2'!W222</f>
        <v>0</v>
      </c>
      <c r="W148" s="25">
        <f>'дод 2'!X222</f>
        <v>0</v>
      </c>
      <c r="X148" s="25">
        <f>'дод 2'!Y222</f>
        <v>0</v>
      </c>
      <c r="Y148" s="25">
        <f>'дод 2'!Z222</f>
        <v>0</v>
      </c>
      <c r="Z148" s="120"/>
      <c r="AA148" s="25">
        <f t="shared" si="34"/>
        <v>3155081.63</v>
      </c>
    </row>
    <row r="149" spans="1:27" s="31" customFormat="1" ht="59.25" customHeight="1" x14ac:dyDescent="0.25">
      <c r="A149" s="24" t="s">
        <v>282</v>
      </c>
      <c r="B149" s="24" t="s">
        <v>51</v>
      </c>
      <c r="C149" s="38" t="s">
        <v>476</v>
      </c>
      <c r="D149" s="25">
        <f>'дод 2'!E223</f>
        <v>2072000</v>
      </c>
      <c r="E149" s="25">
        <f>'дод 2'!F223</f>
        <v>2072000</v>
      </c>
      <c r="F149" s="25">
        <f>'дод 2'!G223</f>
        <v>0</v>
      </c>
      <c r="G149" s="25">
        <f>'дод 2'!H223</f>
        <v>0</v>
      </c>
      <c r="H149" s="25">
        <f>'дод 2'!I223</f>
        <v>0</v>
      </c>
      <c r="I149" s="25">
        <f>'дод 2'!J223</f>
        <v>813053.08</v>
      </c>
      <c r="J149" s="25">
        <f>'дод 2'!K223</f>
        <v>0</v>
      </c>
      <c r="K149" s="25">
        <f>'дод 2'!L223</f>
        <v>0</v>
      </c>
      <c r="L149" s="120">
        <f t="shared" si="32"/>
        <v>39.24001351351351</v>
      </c>
      <c r="M149" s="25">
        <f>'дод 2'!N223</f>
        <v>0</v>
      </c>
      <c r="N149" s="25">
        <f>'дод 2'!O223</f>
        <v>0</v>
      </c>
      <c r="O149" s="25">
        <f>'дод 2'!P223</f>
        <v>0</v>
      </c>
      <c r="P149" s="25">
        <f>'дод 2'!Q223</f>
        <v>0</v>
      </c>
      <c r="Q149" s="25">
        <f>'дод 2'!R223</f>
        <v>0</v>
      </c>
      <c r="R149" s="25">
        <f>'дод 2'!S223</f>
        <v>0</v>
      </c>
      <c r="S149" s="25">
        <f>'дод 2'!T223</f>
        <v>2072000</v>
      </c>
      <c r="T149" s="25">
        <f>'дод 2'!U223</f>
        <v>0</v>
      </c>
      <c r="U149" s="25">
        <f>'дод 2'!V223</f>
        <v>0</v>
      </c>
      <c r="V149" s="25">
        <f>'дод 2'!W223</f>
        <v>0</v>
      </c>
      <c r="W149" s="25">
        <f>'дод 2'!X223</f>
        <v>0</v>
      </c>
      <c r="X149" s="25">
        <f>'дод 2'!Y223</f>
        <v>0</v>
      </c>
      <c r="Y149" s="25">
        <f>'дод 2'!Z223</f>
        <v>0</v>
      </c>
      <c r="Z149" s="120"/>
      <c r="AA149" s="25">
        <f t="shared" si="34"/>
        <v>813053.08</v>
      </c>
    </row>
    <row r="150" spans="1:27" ht="36.75" customHeight="1" x14ac:dyDescent="0.25">
      <c r="A150" s="24" t="s">
        <v>104</v>
      </c>
      <c r="B150" s="24" t="s">
        <v>55</v>
      </c>
      <c r="C150" s="40" t="s">
        <v>336</v>
      </c>
      <c r="D150" s="25">
        <f>'дод 2'!E224</f>
        <v>107000</v>
      </c>
      <c r="E150" s="25">
        <f>'дод 2'!F224</f>
        <v>107000</v>
      </c>
      <c r="F150" s="25">
        <f>'дод 2'!G224</f>
        <v>0</v>
      </c>
      <c r="G150" s="25">
        <f>'дод 2'!H224</f>
        <v>0</v>
      </c>
      <c r="H150" s="25">
        <f>'дод 2'!I224</f>
        <v>0</v>
      </c>
      <c r="I150" s="25">
        <f>'дод 2'!J224</f>
        <v>56584</v>
      </c>
      <c r="J150" s="25">
        <f>'дод 2'!K224</f>
        <v>0</v>
      </c>
      <c r="K150" s="25">
        <f>'дод 2'!L224</f>
        <v>0</v>
      </c>
      <c r="L150" s="120">
        <f t="shared" si="32"/>
        <v>52.882242990654206</v>
      </c>
      <c r="M150" s="25">
        <f>'дод 2'!N224</f>
        <v>0</v>
      </c>
      <c r="N150" s="25">
        <f>'дод 2'!O224</f>
        <v>0</v>
      </c>
      <c r="O150" s="25">
        <f>'дод 2'!P224</f>
        <v>0</v>
      </c>
      <c r="P150" s="25">
        <f>'дод 2'!Q224</f>
        <v>0</v>
      </c>
      <c r="Q150" s="25">
        <f>'дод 2'!R224</f>
        <v>0</v>
      </c>
      <c r="R150" s="25">
        <f>'дод 2'!S224</f>
        <v>0</v>
      </c>
      <c r="S150" s="25">
        <f>'дод 2'!T224</f>
        <v>107000</v>
      </c>
      <c r="T150" s="25">
        <f>'дод 2'!U224</f>
        <v>0</v>
      </c>
      <c r="U150" s="25">
        <f>'дод 2'!V224</f>
        <v>0</v>
      </c>
      <c r="V150" s="25">
        <f>'дод 2'!W224</f>
        <v>0</v>
      </c>
      <c r="W150" s="25">
        <f>'дод 2'!X224</f>
        <v>0</v>
      </c>
      <c r="X150" s="25">
        <f>'дод 2'!Y224</f>
        <v>0</v>
      </c>
      <c r="Y150" s="25">
        <f>'дод 2'!Z224</f>
        <v>0</v>
      </c>
      <c r="Z150" s="120"/>
      <c r="AA150" s="25">
        <f t="shared" si="34"/>
        <v>56584</v>
      </c>
    </row>
    <row r="151" spans="1:27" ht="20.25" customHeight="1" x14ac:dyDescent="0.25">
      <c r="A151" s="24" t="s">
        <v>283</v>
      </c>
      <c r="B151" s="24" t="s">
        <v>105</v>
      </c>
      <c r="C151" s="40" t="s">
        <v>36</v>
      </c>
      <c r="D151" s="25">
        <f>'дод 2'!E225+'дод 2'!E274</f>
        <v>50000</v>
      </c>
      <c r="E151" s="25">
        <f>'дод 2'!F225+'дод 2'!F274</f>
        <v>50000</v>
      </c>
      <c r="F151" s="25">
        <f>'дод 2'!G225+'дод 2'!G274</f>
        <v>0</v>
      </c>
      <c r="G151" s="25">
        <f>'дод 2'!H225+'дод 2'!H274</f>
        <v>0</v>
      </c>
      <c r="H151" s="25">
        <f>'дод 2'!I225+'дод 2'!I274</f>
        <v>0</v>
      </c>
      <c r="I151" s="25">
        <f>'дод 2'!J225+'дод 2'!J274</f>
        <v>0</v>
      </c>
      <c r="J151" s="25">
        <f>'дод 2'!K225+'дод 2'!K274</f>
        <v>0</v>
      </c>
      <c r="K151" s="25">
        <f>'дод 2'!L225+'дод 2'!L274</f>
        <v>0</v>
      </c>
      <c r="L151" s="120">
        <f t="shared" si="32"/>
        <v>0</v>
      </c>
      <c r="M151" s="25">
        <f>'дод 2'!N225+'дод 2'!N274</f>
        <v>0</v>
      </c>
      <c r="N151" s="25">
        <f>'дод 2'!O225+'дод 2'!O274</f>
        <v>0</v>
      </c>
      <c r="O151" s="25">
        <f>'дод 2'!P225+'дод 2'!P274</f>
        <v>0</v>
      </c>
      <c r="P151" s="25">
        <f>'дод 2'!Q225+'дод 2'!Q274</f>
        <v>0</v>
      </c>
      <c r="Q151" s="25">
        <f>'дод 2'!R225+'дод 2'!R274</f>
        <v>0</v>
      </c>
      <c r="R151" s="25">
        <f>'дод 2'!S225+'дод 2'!S274</f>
        <v>0</v>
      </c>
      <c r="S151" s="25">
        <f>'дод 2'!T225+'дод 2'!T274</f>
        <v>50000</v>
      </c>
      <c r="T151" s="25">
        <f>'дод 2'!U225+'дод 2'!U274</f>
        <v>0</v>
      </c>
      <c r="U151" s="25">
        <f>'дод 2'!V225+'дод 2'!V274</f>
        <v>0</v>
      </c>
      <c r="V151" s="25">
        <f>'дод 2'!W225+'дод 2'!W274</f>
        <v>0</v>
      </c>
      <c r="W151" s="25">
        <f>'дод 2'!X225+'дод 2'!X274</f>
        <v>0</v>
      </c>
      <c r="X151" s="25">
        <f>'дод 2'!Y225+'дод 2'!Y274</f>
        <v>0</v>
      </c>
      <c r="Y151" s="25">
        <f>'дод 2'!Z225+'дод 2'!Z274</f>
        <v>0</v>
      </c>
      <c r="Z151" s="120"/>
      <c r="AA151" s="25">
        <f t="shared" si="34"/>
        <v>0</v>
      </c>
    </row>
    <row r="152" spans="1:27" ht="245.25" hidden="1" customHeight="1" x14ac:dyDescent="0.25">
      <c r="A152" s="24">
        <v>3221</v>
      </c>
      <c r="B152" s="26" t="s">
        <v>52</v>
      </c>
      <c r="C152" s="38" t="s">
        <v>657</v>
      </c>
      <c r="D152" s="25">
        <f>'дод 2'!E226</f>
        <v>0</v>
      </c>
      <c r="E152" s="25">
        <f>'дод 2'!F226</f>
        <v>0</v>
      </c>
      <c r="F152" s="25">
        <f>'дод 2'!G226</f>
        <v>0</v>
      </c>
      <c r="G152" s="25">
        <f>'дод 2'!H226</f>
        <v>0</v>
      </c>
      <c r="H152" s="25">
        <f>'дод 2'!I226</f>
        <v>0</v>
      </c>
      <c r="I152" s="25">
        <f>'дод 2'!J226</f>
        <v>0</v>
      </c>
      <c r="J152" s="25">
        <f>'дод 2'!K226</f>
        <v>0</v>
      </c>
      <c r="K152" s="25">
        <f>'дод 2'!L226</f>
        <v>0</v>
      </c>
      <c r="L152" s="120" t="e">
        <f t="shared" si="32"/>
        <v>#DIV/0!</v>
      </c>
      <c r="M152" s="25">
        <f>'дод 2'!N226</f>
        <v>0</v>
      </c>
      <c r="N152" s="25">
        <f>'дод 2'!O226</f>
        <v>0</v>
      </c>
      <c r="O152" s="25">
        <f>'дод 2'!P226</f>
        <v>0</v>
      </c>
      <c r="P152" s="25">
        <f>'дод 2'!Q226</f>
        <v>0</v>
      </c>
      <c r="Q152" s="25">
        <f>'дод 2'!R226</f>
        <v>0</v>
      </c>
      <c r="R152" s="25">
        <f>'дод 2'!S226</f>
        <v>0</v>
      </c>
      <c r="S152" s="25">
        <f>'дод 2'!T226</f>
        <v>0</v>
      </c>
      <c r="T152" s="25">
        <f>'дод 2'!U226</f>
        <v>0</v>
      </c>
      <c r="U152" s="25">
        <f>'дод 2'!V226</f>
        <v>0</v>
      </c>
      <c r="V152" s="25">
        <f>'дод 2'!W226</f>
        <v>0</v>
      </c>
      <c r="W152" s="25">
        <f>'дод 2'!X226</f>
        <v>0</v>
      </c>
      <c r="X152" s="25">
        <f>'дод 2'!Y226</f>
        <v>0</v>
      </c>
      <c r="Y152" s="25">
        <f>'дод 2'!Z226</f>
        <v>0</v>
      </c>
      <c r="Z152" s="120" t="e">
        <f t="shared" si="33"/>
        <v>#DIV/0!</v>
      </c>
      <c r="AA152" s="25">
        <f t="shared" si="34"/>
        <v>0</v>
      </c>
    </row>
    <row r="153" spans="1:27" s="31" customFormat="1" ht="252" hidden="1" customHeight="1" x14ac:dyDescent="0.25">
      <c r="A153" s="27"/>
      <c r="B153" s="46"/>
      <c r="C153" s="39" t="s">
        <v>660</v>
      </c>
      <c r="D153" s="30">
        <f>'дод 2'!E227</f>
        <v>0</v>
      </c>
      <c r="E153" s="30">
        <f>'дод 2'!F227</f>
        <v>0</v>
      </c>
      <c r="F153" s="30">
        <f>'дод 2'!G227</f>
        <v>0</v>
      </c>
      <c r="G153" s="30">
        <f>'дод 2'!H227</f>
        <v>0</v>
      </c>
      <c r="H153" s="30">
        <f>'дод 2'!I227</f>
        <v>0</v>
      </c>
      <c r="I153" s="30">
        <f>'дод 2'!J227</f>
        <v>0</v>
      </c>
      <c r="J153" s="30">
        <f>'дод 2'!K227</f>
        <v>0</v>
      </c>
      <c r="K153" s="30">
        <f>'дод 2'!L227</f>
        <v>0</v>
      </c>
      <c r="L153" s="120" t="e">
        <f t="shared" si="32"/>
        <v>#DIV/0!</v>
      </c>
      <c r="M153" s="30">
        <f>'дод 2'!N227</f>
        <v>0</v>
      </c>
      <c r="N153" s="30">
        <f>'дод 2'!O227</f>
        <v>0</v>
      </c>
      <c r="O153" s="30">
        <f>'дод 2'!P227</f>
        <v>0</v>
      </c>
      <c r="P153" s="30">
        <f>'дод 2'!Q227</f>
        <v>0</v>
      </c>
      <c r="Q153" s="30">
        <f>'дод 2'!R227</f>
        <v>0</v>
      </c>
      <c r="R153" s="30">
        <f>'дод 2'!S227</f>
        <v>0</v>
      </c>
      <c r="S153" s="30">
        <f>'дод 2'!T227</f>
        <v>0</v>
      </c>
      <c r="T153" s="30">
        <f>'дод 2'!U227</f>
        <v>0</v>
      </c>
      <c r="U153" s="30">
        <f>'дод 2'!V227</f>
        <v>0</v>
      </c>
      <c r="V153" s="30">
        <f>'дод 2'!W227</f>
        <v>0</v>
      </c>
      <c r="W153" s="30">
        <f>'дод 2'!X227</f>
        <v>0</v>
      </c>
      <c r="X153" s="30">
        <f>'дод 2'!Y227</f>
        <v>0</v>
      </c>
      <c r="Y153" s="30">
        <f>'дод 2'!Z227</f>
        <v>0</v>
      </c>
      <c r="Z153" s="120" t="e">
        <f t="shared" si="33"/>
        <v>#DIV/0!</v>
      </c>
      <c r="AA153" s="25">
        <f t="shared" si="34"/>
        <v>0</v>
      </c>
    </row>
    <row r="154" spans="1:27" s="31" customFormat="1" ht="235.5" hidden="1" customHeight="1" x14ac:dyDescent="0.25">
      <c r="A154" s="3">
        <v>3222</v>
      </c>
      <c r="B154" s="1" t="s">
        <v>52</v>
      </c>
      <c r="C154" s="38" t="s">
        <v>658</v>
      </c>
      <c r="D154" s="25">
        <f>'дод 2'!E228</f>
        <v>0</v>
      </c>
      <c r="E154" s="25">
        <f>'дод 2'!F228</f>
        <v>0</v>
      </c>
      <c r="F154" s="25">
        <f>'дод 2'!G228</f>
        <v>0</v>
      </c>
      <c r="G154" s="25">
        <f>'дод 2'!H228</f>
        <v>0</v>
      </c>
      <c r="H154" s="25">
        <f>'дод 2'!I228</f>
        <v>0</v>
      </c>
      <c r="I154" s="25">
        <f>'дод 2'!J228</f>
        <v>0</v>
      </c>
      <c r="J154" s="25">
        <f>'дод 2'!K228</f>
        <v>0</v>
      </c>
      <c r="K154" s="25">
        <f>'дод 2'!L228</f>
        <v>0</v>
      </c>
      <c r="L154" s="120" t="e">
        <f t="shared" si="32"/>
        <v>#DIV/0!</v>
      </c>
      <c r="M154" s="25">
        <f>'дод 2'!N228</f>
        <v>0</v>
      </c>
      <c r="N154" s="25">
        <f>'дод 2'!O228</f>
        <v>0</v>
      </c>
      <c r="O154" s="25">
        <f>'дод 2'!P228</f>
        <v>0</v>
      </c>
      <c r="P154" s="25">
        <f>'дод 2'!Q228</f>
        <v>0</v>
      </c>
      <c r="Q154" s="25">
        <f>'дод 2'!R228</f>
        <v>0</v>
      </c>
      <c r="R154" s="25">
        <f>'дод 2'!S228</f>
        <v>0</v>
      </c>
      <c r="S154" s="25">
        <f>'дод 2'!T228</f>
        <v>0</v>
      </c>
      <c r="T154" s="25">
        <f>'дод 2'!U228</f>
        <v>0</v>
      </c>
      <c r="U154" s="25">
        <f>'дод 2'!V228</f>
        <v>0</v>
      </c>
      <c r="V154" s="25">
        <f>'дод 2'!W228</f>
        <v>0</v>
      </c>
      <c r="W154" s="25">
        <f>'дод 2'!X228</f>
        <v>0</v>
      </c>
      <c r="X154" s="25">
        <f>'дод 2'!Y228</f>
        <v>0</v>
      </c>
      <c r="Y154" s="25">
        <f>'дод 2'!Z228</f>
        <v>0</v>
      </c>
      <c r="Z154" s="120" t="e">
        <f t="shared" si="33"/>
        <v>#DIV/0!</v>
      </c>
      <c r="AA154" s="25">
        <f t="shared" si="34"/>
        <v>0</v>
      </c>
    </row>
    <row r="155" spans="1:27" s="31" customFormat="1" ht="259.5" hidden="1" customHeight="1" x14ac:dyDescent="0.25">
      <c r="A155" s="27"/>
      <c r="B155" s="46"/>
      <c r="C155" s="39" t="s">
        <v>662</v>
      </c>
      <c r="D155" s="30">
        <f>'дод 2'!E229</f>
        <v>0</v>
      </c>
      <c r="E155" s="30">
        <f>'дод 2'!F229</f>
        <v>0</v>
      </c>
      <c r="F155" s="30">
        <f>'дод 2'!G229</f>
        <v>0</v>
      </c>
      <c r="G155" s="30">
        <f>'дод 2'!H229</f>
        <v>0</v>
      </c>
      <c r="H155" s="30">
        <f>'дод 2'!I229</f>
        <v>0</v>
      </c>
      <c r="I155" s="30">
        <f>'дод 2'!J229</f>
        <v>0</v>
      </c>
      <c r="J155" s="30">
        <f>'дод 2'!K229</f>
        <v>0</v>
      </c>
      <c r="K155" s="30">
        <f>'дод 2'!L229</f>
        <v>0</v>
      </c>
      <c r="L155" s="120" t="e">
        <f t="shared" si="32"/>
        <v>#DIV/0!</v>
      </c>
      <c r="M155" s="30">
        <f>'дод 2'!N229</f>
        <v>0</v>
      </c>
      <c r="N155" s="30">
        <f>'дод 2'!O229</f>
        <v>0</v>
      </c>
      <c r="O155" s="30">
        <f>'дод 2'!P229</f>
        <v>0</v>
      </c>
      <c r="P155" s="30">
        <f>'дод 2'!Q229</f>
        <v>0</v>
      </c>
      <c r="Q155" s="30">
        <f>'дод 2'!R229</f>
        <v>0</v>
      </c>
      <c r="R155" s="30">
        <f>'дод 2'!S229</f>
        <v>0</v>
      </c>
      <c r="S155" s="30">
        <f>'дод 2'!T229</f>
        <v>0</v>
      </c>
      <c r="T155" s="30">
        <f>'дод 2'!U229</f>
        <v>0</v>
      </c>
      <c r="U155" s="30">
        <f>'дод 2'!V229</f>
        <v>0</v>
      </c>
      <c r="V155" s="30">
        <f>'дод 2'!W229</f>
        <v>0</v>
      </c>
      <c r="W155" s="30">
        <f>'дод 2'!X229</f>
        <v>0</v>
      </c>
      <c r="X155" s="30">
        <f>'дод 2'!Y229</f>
        <v>0</v>
      </c>
      <c r="Y155" s="30">
        <f>'дод 2'!Z229</f>
        <v>0</v>
      </c>
      <c r="Z155" s="120" t="e">
        <f t="shared" si="33"/>
        <v>#DIV/0!</v>
      </c>
      <c r="AA155" s="25">
        <f t="shared" si="34"/>
        <v>0</v>
      </c>
    </row>
    <row r="156" spans="1:27" ht="164.25" hidden="1" customHeight="1" x14ac:dyDescent="0.25">
      <c r="A156" s="24">
        <v>3223</v>
      </c>
      <c r="B156" s="26" t="s">
        <v>52</v>
      </c>
      <c r="C156" s="38" t="s">
        <v>659</v>
      </c>
      <c r="D156" s="25">
        <f>'дод 2'!E230</f>
        <v>0</v>
      </c>
      <c r="E156" s="25">
        <f>'дод 2'!F230</f>
        <v>0</v>
      </c>
      <c r="F156" s="25">
        <f>'дод 2'!G230</f>
        <v>0</v>
      </c>
      <c r="G156" s="25">
        <f>'дод 2'!H230</f>
        <v>0</v>
      </c>
      <c r="H156" s="25">
        <f>'дод 2'!I230</f>
        <v>0</v>
      </c>
      <c r="I156" s="25">
        <f>'дод 2'!J230</f>
        <v>0</v>
      </c>
      <c r="J156" s="25">
        <f>'дод 2'!K230</f>
        <v>0</v>
      </c>
      <c r="K156" s="25">
        <f>'дод 2'!L230</f>
        <v>0</v>
      </c>
      <c r="L156" s="120" t="e">
        <f t="shared" si="32"/>
        <v>#DIV/0!</v>
      </c>
      <c r="M156" s="25">
        <f>'дод 2'!N230</f>
        <v>0</v>
      </c>
      <c r="N156" s="25">
        <f>'дод 2'!O230</f>
        <v>0</v>
      </c>
      <c r="O156" s="25">
        <f>'дод 2'!P230</f>
        <v>0</v>
      </c>
      <c r="P156" s="25">
        <f>'дод 2'!Q230</f>
        <v>0</v>
      </c>
      <c r="Q156" s="25">
        <f>'дод 2'!R230</f>
        <v>0</v>
      </c>
      <c r="R156" s="25">
        <f>'дод 2'!S230</f>
        <v>0</v>
      </c>
      <c r="S156" s="25">
        <f>'дод 2'!T230</f>
        <v>0</v>
      </c>
      <c r="T156" s="25">
        <f>'дод 2'!U230</f>
        <v>0</v>
      </c>
      <c r="U156" s="25">
        <f>'дод 2'!V230</f>
        <v>0</v>
      </c>
      <c r="V156" s="25">
        <f>'дод 2'!W230</f>
        <v>0</v>
      </c>
      <c r="W156" s="25">
        <f>'дод 2'!X230</f>
        <v>0</v>
      </c>
      <c r="X156" s="25">
        <f>'дод 2'!Y230</f>
        <v>0</v>
      </c>
      <c r="Y156" s="25">
        <f>'дод 2'!Z230</f>
        <v>0</v>
      </c>
      <c r="Z156" s="120" t="e">
        <f t="shared" si="33"/>
        <v>#DIV/0!</v>
      </c>
      <c r="AA156" s="25">
        <f t="shared" si="34"/>
        <v>0</v>
      </c>
    </row>
    <row r="157" spans="1:27" s="31" customFormat="1" ht="181.5" hidden="1" customHeight="1" x14ac:dyDescent="0.25">
      <c r="A157" s="27"/>
      <c r="B157" s="46"/>
      <c r="C157" s="39" t="s">
        <v>661</v>
      </c>
      <c r="D157" s="30">
        <f>'дод 2'!E231</f>
        <v>0</v>
      </c>
      <c r="E157" s="30">
        <f>'дод 2'!F231</f>
        <v>0</v>
      </c>
      <c r="F157" s="30">
        <f>'дод 2'!G231</f>
        <v>0</v>
      </c>
      <c r="G157" s="30">
        <f>'дод 2'!H231</f>
        <v>0</v>
      </c>
      <c r="H157" s="30">
        <f>'дод 2'!I231</f>
        <v>0</v>
      </c>
      <c r="I157" s="30">
        <f>'дод 2'!J231</f>
        <v>0</v>
      </c>
      <c r="J157" s="30">
        <f>'дод 2'!K231</f>
        <v>0</v>
      </c>
      <c r="K157" s="30">
        <f>'дод 2'!L231</f>
        <v>0</v>
      </c>
      <c r="L157" s="120" t="e">
        <f t="shared" si="32"/>
        <v>#DIV/0!</v>
      </c>
      <c r="M157" s="30">
        <f>'дод 2'!N231</f>
        <v>0</v>
      </c>
      <c r="N157" s="30">
        <f>'дод 2'!O231</f>
        <v>0</v>
      </c>
      <c r="O157" s="30">
        <f>'дод 2'!P231</f>
        <v>0</v>
      </c>
      <c r="P157" s="30">
        <f>'дод 2'!Q231</f>
        <v>0</v>
      </c>
      <c r="Q157" s="30">
        <f>'дод 2'!R231</f>
        <v>0</v>
      </c>
      <c r="R157" s="30">
        <f>'дод 2'!S231</f>
        <v>0</v>
      </c>
      <c r="S157" s="30">
        <f>'дод 2'!T231</f>
        <v>0</v>
      </c>
      <c r="T157" s="30">
        <f>'дод 2'!U231</f>
        <v>0</v>
      </c>
      <c r="U157" s="30">
        <f>'дод 2'!V231</f>
        <v>0</v>
      </c>
      <c r="V157" s="30">
        <f>'дод 2'!W231</f>
        <v>0</v>
      </c>
      <c r="W157" s="30">
        <f>'дод 2'!X231</f>
        <v>0</v>
      </c>
      <c r="X157" s="30">
        <f>'дод 2'!Y231</f>
        <v>0</v>
      </c>
      <c r="Y157" s="30">
        <f>'дод 2'!Z231</f>
        <v>0</v>
      </c>
      <c r="Z157" s="120" t="e">
        <f t="shared" si="33"/>
        <v>#DIV/0!</v>
      </c>
      <c r="AA157" s="25">
        <f t="shared" si="34"/>
        <v>0</v>
      </c>
    </row>
    <row r="158" spans="1:27" s="31" customFormat="1" ht="32.25" customHeight="1" x14ac:dyDescent="0.25">
      <c r="A158" s="24" t="s">
        <v>284</v>
      </c>
      <c r="B158" s="24" t="s">
        <v>55</v>
      </c>
      <c r="C158" s="40" t="s">
        <v>286</v>
      </c>
      <c r="D158" s="25">
        <f>'дод 2'!E232+'дод 2'!E31</f>
        <v>8772100</v>
      </c>
      <c r="E158" s="25">
        <f>'дод 2'!F232+'дод 2'!F31</f>
        <v>8772100</v>
      </c>
      <c r="F158" s="25">
        <f>'дод 2'!G232+'дод 2'!G31</f>
        <v>4993500</v>
      </c>
      <c r="G158" s="25">
        <f>'дод 2'!H232+'дод 2'!H31</f>
        <v>765300</v>
      </c>
      <c r="H158" s="25">
        <f>'дод 2'!I232+'дод 2'!I31</f>
        <v>0</v>
      </c>
      <c r="I158" s="25">
        <f>'дод 2'!J232+'дод 2'!J31</f>
        <v>3729553.4299999997</v>
      </c>
      <c r="J158" s="25">
        <f>'дод 2'!K232+'дод 2'!K31</f>
        <v>2226496.66</v>
      </c>
      <c r="K158" s="25">
        <f>'дод 2'!L232+'дод 2'!L31</f>
        <v>303388.62</v>
      </c>
      <c r="L158" s="120">
        <f t="shared" si="32"/>
        <v>42.516084289964773</v>
      </c>
      <c r="M158" s="25">
        <f>'дод 2'!N232+'дод 2'!N31</f>
        <v>0</v>
      </c>
      <c r="N158" s="25">
        <f>'дод 2'!O232+'дод 2'!O31</f>
        <v>0</v>
      </c>
      <c r="O158" s="25">
        <f>'дод 2'!P232+'дод 2'!P31</f>
        <v>0</v>
      </c>
      <c r="P158" s="25">
        <f>'дод 2'!Q232+'дод 2'!Q31</f>
        <v>0</v>
      </c>
      <c r="Q158" s="25">
        <f>'дод 2'!R232+'дод 2'!R31</f>
        <v>0</v>
      </c>
      <c r="R158" s="25">
        <f>'дод 2'!S232+'дод 2'!S31</f>
        <v>0</v>
      </c>
      <c r="S158" s="25">
        <f>'дод 2'!T232+'дод 2'!T31</f>
        <v>8772100</v>
      </c>
      <c r="T158" s="25">
        <f>'дод 2'!U232+'дод 2'!U31</f>
        <v>1228601.2</v>
      </c>
      <c r="U158" s="25">
        <f>'дод 2'!V232+'дод 2'!V31</f>
        <v>0</v>
      </c>
      <c r="V158" s="25">
        <f>'дод 2'!W232+'дод 2'!W31</f>
        <v>409245.48</v>
      </c>
      <c r="W158" s="25">
        <f>'дод 2'!X232+'дод 2'!X31</f>
        <v>0</v>
      </c>
      <c r="X158" s="25">
        <f>'дод 2'!Y232+'дод 2'!Y31</f>
        <v>0</v>
      </c>
      <c r="Y158" s="25">
        <f>'дод 2'!Z232+'дод 2'!Z31</f>
        <v>819355.72</v>
      </c>
      <c r="Z158" s="120"/>
      <c r="AA158" s="25">
        <f t="shared" si="34"/>
        <v>4958154.63</v>
      </c>
    </row>
    <row r="159" spans="1:27" s="31" customFormat="1" ht="31.5" customHeight="1" x14ac:dyDescent="0.25">
      <c r="A159" s="24" t="s">
        <v>285</v>
      </c>
      <c r="B159" s="24" t="s">
        <v>55</v>
      </c>
      <c r="C159" s="40" t="s">
        <v>672</v>
      </c>
      <c r="D159" s="25">
        <f>'дод 2'!E32+'дод 2'!E131+'дод 2'!E233+'дод 2'!E247</f>
        <v>243988365</v>
      </c>
      <c r="E159" s="25">
        <f>'дод 2'!F32+'дод 2'!F131+'дод 2'!F233+'дод 2'!F247</f>
        <v>243988365</v>
      </c>
      <c r="F159" s="25">
        <f>'дод 2'!G32+'дод 2'!G131+'дод 2'!G233+'дод 2'!G247</f>
        <v>0</v>
      </c>
      <c r="G159" s="25">
        <f>'дод 2'!H32+'дод 2'!H131+'дод 2'!H233+'дод 2'!H247</f>
        <v>0</v>
      </c>
      <c r="H159" s="25">
        <f>'дод 2'!I32+'дод 2'!I131+'дод 2'!I233+'дод 2'!I247</f>
        <v>0</v>
      </c>
      <c r="I159" s="25">
        <f>'дод 2'!J32+'дод 2'!J131+'дод 2'!J233+'дод 2'!J247</f>
        <v>141802913.91999999</v>
      </c>
      <c r="J159" s="25">
        <f>'дод 2'!K32+'дод 2'!K131+'дод 2'!K233+'дод 2'!K247</f>
        <v>0</v>
      </c>
      <c r="K159" s="25">
        <f>'дод 2'!L32+'дод 2'!L131+'дод 2'!L233+'дод 2'!L247</f>
        <v>0</v>
      </c>
      <c r="L159" s="120">
        <f t="shared" si="32"/>
        <v>58.11871968567025</v>
      </c>
      <c r="M159" s="25">
        <f>'дод 2'!N32+'дод 2'!N131+'дод 2'!N233+'дод 2'!N247</f>
        <v>0</v>
      </c>
      <c r="N159" s="25">
        <f>'дод 2'!O32+'дод 2'!O131+'дод 2'!O233+'дод 2'!O247</f>
        <v>0</v>
      </c>
      <c r="O159" s="25">
        <f>'дод 2'!P32+'дод 2'!P131+'дод 2'!P233+'дод 2'!P247</f>
        <v>0</v>
      </c>
      <c r="P159" s="25">
        <f>'дод 2'!Q32+'дод 2'!Q131+'дод 2'!Q233+'дод 2'!Q247</f>
        <v>0</v>
      </c>
      <c r="Q159" s="25">
        <f>'дод 2'!R32+'дод 2'!R131+'дод 2'!R233+'дод 2'!R247</f>
        <v>0</v>
      </c>
      <c r="R159" s="25">
        <f>'дод 2'!S32+'дод 2'!S131+'дод 2'!S233+'дод 2'!S247</f>
        <v>0</v>
      </c>
      <c r="S159" s="25">
        <f>'дод 2'!T32+'дод 2'!T131+'дод 2'!T233+'дод 2'!T247</f>
        <v>243988365</v>
      </c>
      <c r="T159" s="25">
        <f>'дод 2'!U32+'дод 2'!U131+'дод 2'!U233+'дод 2'!U247</f>
        <v>0</v>
      </c>
      <c r="U159" s="25">
        <f>'дод 2'!V32+'дод 2'!V131+'дод 2'!V233+'дод 2'!V247</f>
        <v>0</v>
      </c>
      <c r="V159" s="25">
        <f>'дод 2'!W32+'дод 2'!W131+'дод 2'!W233+'дод 2'!W247</f>
        <v>0</v>
      </c>
      <c r="W159" s="25">
        <f>'дод 2'!X32+'дод 2'!X131+'дод 2'!X233+'дод 2'!X247</f>
        <v>0</v>
      </c>
      <c r="X159" s="25">
        <f>'дод 2'!Y32+'дод 2'!Y131+'дод 2'!Y233+'дод 2'!Y247</f>
        <v>0</v>
      </c>
      <c r="Y159" s="25">
        <f>'дод 2'!Z32+'дод 2'!Z131+'дод 2'!Z233+'дод 2'!Z247</f>
        <v>0</v>
      </c>
      <c r="Z159" s="120"/>
      <c r="AA159" s="25">
        <f t="shared" si="34"/>
        <v>141802913.91999999</v>
      </c>
    </row>
    <row r="160" spans="1:27" s="31" customFormat="1" ht="16.149999999999999" customHeight="1" x14ac:dyDescent="0.25">
      <c r="A160" s="27"/>
      <c r="B160" s="27"/>
      <c r="C160" s="29" t="s">
        <v>387</v>
      </c>
      <c r="D160" s="30">
        <f>'дод 2'!E234</f>
        <v>261600</v>
      </c>
      <c r="E160" s="30">
        <f>'дод 2'!F234</f>
        <v>261600</v>
      </c>
      <c r="F160" s="30">
        <f>'дод 2'!G234</f>
        <v>0</v>
      </c>
      <c r="G160" s="30">
        <f>'дод 2'!H234</f>
        <v>0</v>
      </c>
      <c r="H160" s="30">
        <f>'дод 2'!I234</f>
        <v>0</v>
      </c>
      <c r="I160" s="30">
        <f>'дод 2'!J234</f>
        <v>117600</v>
      </c>
      <c r="J160" s="30">
        <f>'дод 2'!K234</f>
        <v>0</v>
      </c>
      <c r="K160" s="30">
        <f>'дод 2'!L234</f>
        <v>0</v>
      </c>
      <c r="L160" s="125">
        <f t="shared" si="32"/>
        <v>44.954128440366972</v>
      </c>
      <c r="M160" s="30">
        <f>'дод 2'!N234</f>
        <v>0</v>
      </c>
      <c r="N160" s="30">
        <f>'дод 2'!O234</f>
        <v>0</v>
      </c>
      <c r="O160" s="30">
        <f>'дод 2'!P234</f>
        <v>0</v>
      </c>
      <c r="P160" s="30">
        <f>'дод 2'!Q234</f>
        <v>0</v>
      </c>
      <c r="Q160" s="30">
        <f>'дод 2'!R234</f>
        <v>0</v>
      </c>
      <c r="R160" s="30">
        <f>'дод 2'!S234</f>
        <v>0</v>
      </c>
      <c r="S160" s="30">
        <f>'дод 2'!T234</f>
        <v>261600</v>
      </c>
      <c r="T160" s="30">
        <f>'дод 2'!U234</f>
        <v>0</v>
      </c>
      <c r="U160" s="30">
        <f>'дод 2'!V234</f>
        <v>0</v>
      </c>
      <c r="V160" s="30">
        <f>'дод 2'!W234</f>
        <v>0</v>
      </c>
      <c r="W160" s="30">
        <f>'дод 2'!X234</f>
        <v>0</v>
      </c>
      <c r="X160" s="30">
        <f>'дод 2'!Y234</f>
        <v>0</v>
      </c>
      <c r="Y160" s="30">
        <f>'дод 2'!Z234</f>
        <v>0</v>
      </c>
      <c r="Z160" s="120"/>
      <c r="AA160" s="30">
        <f t="shared" si="34"/>
        <v>117600</v>
      </c>
    </row>
    <row r="161" spans="1:27" s="31" customFormat="1" ht="81.95" customHeight="1" x14ac:dyDescent="0.25">
      <c r="A161" s="27"/>
      <c r="B161" s="27"/>
      <c r="C161" s="29" t="s">
        <v>644</v>
      </c>
      <c r="D161" s="30">
        <f>'дод 2'!E235</f>
        <v>61416800</v>
      </c>
      <c r="E161" s="30">
        <f>'дод 2'!F235</f>
        <v>61416800</v>
      </c>
      <c r="F161" s="30">
        <f>'дод 2'!G235</f>
        <v>0</v>
      </c>
      <c r="G161" s="30">
        <f>'дод 2'!H235</f>
        <v>0</v>
      </c>
      <c r="H161" s="30">
        <f>'дод 2'!I235</f>
        <v>0</v>
      </c>
      <c r="I161" s="30">
        <f>'дод 2'!J235</f>
        <v>21251601.120000001</v>
      </c>
      <c r="J161" s="30">
        <f>'дод 2'!K235</f>
        <v>0</v>
      </c>
      <c r="K161" s="30">
        <f>'дод 2'!L235</f>
        <v>0</v>
      </c>
      <c r="L161" s="125">
        <f t="shared" si="32"/>
        <v>34.60226048898673</v>
      </c>
      <c r="M161" s="30">
        <f>'дод 2'!N235</f>
        <v>0</v>
      </c>
      <c r="N161" s="30">
        <f>'дод 2'!O235</f>
        <v>0</v>
      </c>
      <c r="O161" s="30">
        <f>'дод 2'!P235</f>
        <v>0</v>
      </c>
      <c r="P161" s="30">
        <f>'дод 2'!Q235</f>
        <v>0</v>
      </c>
      <c r="Q161" s="30">
        <f>'дод 2'!R235</f>
        <v>0</v>
      </c>
      <c r="R161" s="30">
        <f>'дод 2'!S235</f>
        <v>0</v>
      </c>
      <c r="S161" s="30">
        <f>'дод 2'!T235</f>
        <v>61416800</v>
      </c>
      <c r="T161" s="30">
        <f>'дод 2'!U235</f>
        <v>0</v>
      </c>
      <c r="U161" s="30">
        <f>'дод 2'!V235</f>
        <v>0</v>
      </c>
      <c r="V161" s="30">
        <f>'дод 2'!W235</f>
        <v>0</v>
      </c>
      <c r="W161" s="30">
        <f>'дод 2'!X235</f>
        <v>0</v>
      </c>
      <c r="X161" s="30">
        <f>'дод 2'!Y235</f>
        <v>0</v>
      </c>
      <c r="Y161" s="30">
        <f>'дод 2'!Z235</f>
        <v>0</v>
      </c>
      <c r="Z161" s="120"/>
      <c r="AA161" s="30">
        <f t="shared" si="34"/>
        <v>21251601.120000001</v>
      </c>
    </row>
    <row r="162" spans="1:27" s="19" customFormat="1" ht="19.5" customHeight="1" x14ac:dyDescent="0.25">
      <c r="A162" s="32" t="s">
        <v>70</v>
      </c>
      <c r="B162" s="49"/>
      <c r="C162" s="50" t="s">
        <v>71</v>
      </c>
      <c r="D162" s="23">
        <f t="shared" ref="D162" si="35">D163+D164+D165+D166</f>
        <v>40298700</v>
      </c>
      <c r="E162" s="23">
        <f t="shared" ref="E162:Y162" si="36">E163+E164+E165+E166</f>
        <v>40298700</v>
      </c>
      <c r="F162" s="23">
        <f t="shared" si="36"/>
        <v>27811100</v>
      </c>
      <c r="G162" s="23">
        <f t="shared" si="36"/>
        <v>3330100</v>
      </c>
      <c r="H162" s="23">
        <f t="shared" si="36"/>
        <v>0</v>
      </c>
      <c r="I162" s="23">
        <f t="shared" si="36"/>
        <v>17068536.199999999</v>
      </c>
      <c r="J162" s="23">
        <f t="shared" si="36"/>
        <v>12263223.51</v>
      </c>
      <c r="K162" s="23">
        <f t="shared" si="36"/>
        <v>1677183.71</v>
      </c>
      <c r="L162" s="123">
        <f t="shared" si="32"/>
        <v>42.355054133259877</v>
      </c>
      <c r="M162" s="23">
        <f t="shared" si="36"/>
        <v>4865300</v>
      </c>
      <c r="N162" s="23">
        <f t="shared" si="36"/>
        <v>4860300</v>
      </c>
      <c r="O162" s="23">
        <f t="shared" si="36"/>
        <v>5000</v>
      </c>
      <c r="P162" s="23">
        <f t="shared" si="36"/>
        <v>0</v>
      </c>
      <c r="Q162" s="23">
        <f t="shared" si="36"/>
        <v>0</v>
      </c>
      <c r="R162" s="23">
        <f t="shared" si="36"/>
        <v>4860300</v>
      </c>
      <c r="S162" s="23">
        <f t="shared" si="36"/>
        <v>45164000</v>
      </c>
      <c r="T162" s="23">
        <f t="shared" si="36"/>
        <v>2954295.35</v>
      </c>
      <c r="U162" s="23">
        <f t="shared" si="36"/>
        <v>2715128.17</v>
      </c>
      <c r="V162" s="23">
        <f t="shared" si="36"/>
        <v>99994.58</v>
      </c>
      <c r="W162" s="23">
        <f t="shared" si="36"/>
        <v>0</v>
      </c>
      <c r="X162" s="23">
        <f t="shared" si="36"/>
        <v>0</v>
      </c>
      <c r="Y162" s="23">
        <f t="shared" si="36"/>
        <v>2854300.77</v>
      </c>
      <c r="Z162" s="120">
        <f t="shared" si="33"/>
        <v>60.721750971163132</v>
      </c>
      <c r="AA162" s="23">
        <f t="shared" si="34"/>
        <v>20022831.550000001</v>
      </c>
    </row>
    <row r="163" spans="1:27" ht="22.5" customHeight="1" x14ac:dyDescent="0.25">
      <c r="A163" s="24" t="s">
        <v>72</v>
      </c>
      <c r="B163" s="24" t="s">
        <v>73</v>
      </c>
      <c r="C163" s="40" t="s">
        <v>15</v>
      </c>
      <c r="D163" s="25">
        <f>'дод 2'!E254</f>
        <v>27722400</v>
      </c>
      <c r="E163" s="25">
        <f>'дод 2'!F254</f>
        <v>27722400</v>
      </c>
      <c r="F163" s="25">
        <f>'дод 2'!G254</f>
        <v>19660500</v>
      </c>
      <c r="G163" s="25">
        <f>'дод 2'!H254</f>
        <v>2672200</v>
      </c>
      <c r="H163" s="25">
        <f>'дод 2'!I254</f>
        <v>0</v>
      </c>
      <c r="I163" s="25">
        <f>'дод 2'!J254</f>
        <v>12085832.17</v>
      </c>
      <c r="J163" s="25">
        <f>'дод 2'!K254</f>
        <v>8659222.3699999992</v>
      </c>
      <c r="K163" s="25">
        <f>'дод 2'!L254</f>
        <v>1419437.9</v>
      </c>
      <c r="L163" s="120">
        <f t="shared" si="32"/>
        <v>43.595908615415688</v>
      </c>
      <c r="M163" s="25">
        <f>'дод 2'!N254</f>
        <v>4865300</v>
      </c>
      <c r="N163" s="25">
        <f>'дод 2'!O254</f>
        <v>4860300</v>
      </c>
      <c r="O163" s="25">
        <f>'дод 2'!P254</f>
        <v>5000</v>
      </c>
      <c r="P163" s="25">
        <f>'дод 2'!Q254</f>
        <v>0</v>
      </c>
      <c r="Q163" s="25">
        <f>'дод 2'!R254</f>
        <v>0</v>
      </c>
      <c r="R163" s="25">
        <f>'дод 2'!S254</f>
        <v>4860300</v>
      </c>
      <c r="S163" s="25">
        <f>'дод 2'!T254</f>
        <v>32587700</v>
      </c>
      <c r="T163" s="25">
        <f>'дод 2'!U254</f>
        <v>2880454.15</v>
      </c>
      <c r="U163" s="25">
        <f>'дод 2'!V254</f>
        <v>2715128.17</v>
      </c>
      <c r="V163" s="25">
        <f>'дод 2'!W254</f>
        <v>26153.38</v>
      </c>
      <c r="W163" s="25">
        <f>'дод 2'!X254</f>
        <v>0</v>
      </c>
      <c r="X163" s="25">
        <f>'дод 2'!Y254</f>
        <v>0</v>
      </c>
      <c r="Y163" s="25">
        <f>'дод 2'!Z254</f>
        <v>2854300.77</v>
      </c>
      <c r="Z163" s="120">
        <f t="shared" si="33"/>
        <v>59.204039833103813</v>
      </c>
      <c r="AA163" s="25">
        <f t="shared" si="34"/>
        <v>14966286.32</v>
      </c>
    </row>
    <row r="164" spans="1:27" ht="33.75" customHeight="1" x14ac:dyDescent="0.25">
      <c r="A164" s="24" t="s">
        <v>313</v>
      </c>
      <c r="B164" s="24" t="s">
        <v>314</v>
      </c>
      <c r="C164" s="40" t="s">
        <v>315</v>
      </c>
      <c r="D164" s="25">
        <f>'дод 2'!E33+'дод 2'!E255</f>
        <v>6066500</v>
      </c>
      <c r="E164" s="25">
        <f>'дод 2'!F33+'дод 2'!F255</f>
        <v>6066500</v>
      </c>
      <c r="F164" s="25">
        <f>'дод 2'!G33+'дод 2'!G255</f>
        <v>3872000</v>
      </c>
      <c r="G164" s="25">
        <f>'дод 2'!H33+'дод 2'!H255</f>
        <v>370000</v>
      </c>
      <c r="H164" s="25">
        <f>'дод 2'!I33+'дод 2'!I255</f>
        <v>0</v>
      </c>
      <c r="I164" s="25">
        <f>'дод 2'!J33+'дод 2'!J255</f>
        <v>2138252.39</v>
      </c>
      <c r="J164" s="25">
        <f>'дод 2'!K33+'дод 2'!K255</f>
        <v>1494561.29</v>
      </c>
      <c r="K164" s="25">
        <f>'дод 2'!L33+'дод 2'!L255</f>
        <v>74500.77</v>
      </c>
      <c r="L164" s="120">
        <f t="shared" si="32"/>
        <v>35.246886837550484</v>
      </c>
      <c r="M164" s="25">
        <f>'дод 2'!N33+'дод 2'!N255</f>
        <v>0</v>
      </c>
      <c r="N164" s="25">
        <f>'дод 2'!O33+'дод 2'!O255</f>
        <v>0</v>
      </c>
      <c r="O164" s="25">
        <f>'дод 2'!P33+'дод 2'!P255</f>
        <v>0</v>
      </c>
      <c r="P164" s="25">
        <f>'дод 2'!Q33+'дод 2'!Q255</f>
        <v>0</v>
      </c>
      <c r="Q164" s="25">
        <f>'дод 2'!R33+'дод 2'!R255</f>
        <v>0</v>
      </c>
      <c r="R164" s="25">
        <f>'дод 2'!S33+'дод 2'!S255</f>
        <v>0</v>
      </c>
      <c r="S164" s="25">
        <f>'дод 2'!T33+'дод 2'!T255</f>
        <v>6066500</v>
      </c>
      <c r="T164" s="25">
        <f>'дод 2'!U33+'дод 2'!U255</f>
        <v>73841.2</v>
      </c>
      <c r="U164" s="25">
        <f>'дод 2'!V33+'дод 2'!V255</f>
        <v>0</v>
      </c>
      <c r="V164" s="25">
        <f>'дод 2'!W33+'дод 2'!W255</f>
        <v>73841.2</v>
      </c>
      <c r="W164" s="25">
        <f>'дод 2'!X33+'дод 2'!X255</f>
        <v>0</v>
      </c>
      <c r="X164" s="25">
        <f>'дод 2'!Y33+'дод 2'!Y255</f>
        <v>0</v>
      </c>
      <c r="Y164" s="25">
        <f>'дод 2'!Z33+'дод 2'!Z255</f>
        <v>0</v>
      </c>
      <c r="Z164" s="120"/>
      <c r="AA164" s="25">
        <f t="shared" si="34"/>
        <v>2212093.5900000003</v>
      </c>
    </row>
    <row r="165" spans="1:27" s="31" customFormat="1" ht="37.5" customHeight="1" x14ac:dyDescent="0.25">
      <c r="A165" s="24" t="s">
        <v>287</v>
      </c>
      <c r="B165" s="24" t="s">
        <v>74</v>
      </c>
      <c r="C165" s="40" t="s">
        <v>337</v>
      </c>
      <c r="D165" s="25">
        <f>'дод 2'!E34+'дод 2'!E256</f>
        <v>6009800</v>
      </c>
      <c r="E165" s="25">
        <f>'дод 2'!F34+'дод 2'!F256</f>
        <v>6009800</v>
      </c>
      <c r="F165" s="25">
        <f>'дод 2'!G34+'дод 2'!G256</f>
        <v>4278600</v>
      </c>
      <c r="G165" s="25">
        <f>'дод 2'!H34+'дод 2'!H256</f>
        <v>287900</v>
      </c>
      <c r="H165" s="25">
        <f>'дод 2'!I34+'дод 2'!I256</f>
        <v>0</v>
      </c>
      <c r="I165" s="25">
        <f>'дод 2'!J34+'дод 2'!J256</f>
        <v>2829491.49</v>
      </c>
      <c r="J165" s="25">
        <f>'дод 2'!K34+'дод 2'!K256</f>
        <v>2109439.85</v>
      </c>
      <c r="K165" s="25">
        <f>'дод 2'!L34+'дод 2'!L256</f>
        <v>183245.04</v>
      </c>
      <c r="L165" s="120">
        <f t="shared" si="32"/>
        <v>47.08129205630803</v>
      </c>
      <c r="M165" s="25">
        <f>'дод 2'!N34+'дод 2'!N256</f>
        <v>0</v>
      </c>
      <c r="N165" s="25">
        <f>'дод 2'!O34+'дод 2'!O256</f>
        <v>0</v>
      </c>
      <c r="O165" s="25">
        <f>'дод 2'!P34+'дод 2'!P256</f>
        <v>0</v>
      </c>
      <c r="P165" s="25">
        <f>'дод 2'!Q34+'дод 2'!Q256</f>
        <v>0</v>
      </c>
      <c r="Q165" s="25">
        <f>'дод 2'!R34+'дод 2'!R256</f>
        <v>0</v>
      </c>
      <c r="R165" s="25">
        <f>'дод 2'!S34+'дод 2'!S256</f>
        <v>0</v>
      </c>
      <c r="S165" s="25">
        <f>'дод 2'!T34+'дод 2'!T256</f>
        <v>6009800</v>
      </c>
      <c r="T165" s="25">
        <f>'дод 2'!U34+'дод 2'!U256</f>
        <v>0</v>
      </c>
      <c r="U165" s="25">
        <f>'дод 2'!V34+'дод 2'!V256</f>
        <v>0</v>
      </c>
      <c r="V165" s="25">
        <f>'дод 2'!W34+'дод 2'!W256</f>
        <v>0</v>
      </c>
      <c r="W165" s="25">
        <f>'дод 2'!X34+'дод 2'!X256</f>
        <v>0</v>
      </c>
      <c r="X165" s="25">
        <f>'дод 2'!Y34+'дод 2'!Y256</f>
        <v>0</v>
      </c>
      <c r="Y165" s="25">
        <f>'дод 2'!Z34+'дод 2'!Z256</f>
        <v>0</v>
      </c>
      <c r="Z165" s="120"/>
      <c r="AA165" s="25">
        <f t="shared" si="34"/>
        <v>2829491.49</v>
      </c>
    </row>
    <row r="166" spans="1:27" s="31" customFormat="1" ht="22.5" customHeight="1" x14ac:dyDescent="0.25">
      <c r="A166" s="24" t="s">
        <v>288</v>
      </c>
      <c r="B166" s="24" t="s">
        <v>74</v>
      </c>
      <c r="C166" s="40" t="s">
        <v>289</v>
      </c>
      <c r="D166" s="25">
        <f>'дод 2'!E35+'дод 2'!E257</f>
        <v>500000</v>
      </c>
      <c r="E166" s="25">
        <f>'дод 2'!F35+'дод 2'!F257</f>
        <v>500000</v>
      </c>
      <c r="F166" s="25">
        <f>'дод 2'!G35+'дод 2'!G257</f>
        <v>0</v>
      </c>
      <c r="G166" s="25">
        <f>'дод 2'!H35+'дод 2'!H257</f>
        <v>0</v>
      </c>
      <c r="H166" s="25">
        <f>'дод 2'!I35+'дод 2'!I257</f>
        <v>0</v>
      </c>
      <c r="I166" s="25">
        <f>'дод 2'!J35+'дод 2'!J257</f>
        <v>14960.15</v>
      </c>
      <c r="J166" s="25">
        <f>'дод 2'!K35+'дод 2'!K257</f>
        <v>0</v>
      </c>
      <c r="K166" s="25">
        <f>'дод 2'!L35+'дод 2'!L257</f>
        <v>0</v>
      </c>
      <c r="L166" s="120">
        <f t="shared" si="32"/>
        <v>2.9920300000000002</v>
      </c>
      <c r="M166" s="25">
        <f>'дод 2'!N35+'дод 2'!N257</f>
        <v>0</v>
      </c>
      <c r="N166" s="25">
        <f>'дод 2'!O35+'дод 2'!O257</f>
        <v>0</v>
      </c>
      <c r="O166" s="25">
        <f>'дод 2'!P35+'дод 2'!P257</f>
        <v>0</v>
      </c>
      <c r="P166" s="25">
        <f>'дод 2'!Q35+'дод 2'!Q257</f>
        <v>0</v>
      </c>
      <c r="Q166" s="25">
        <f>'дод 2'!R35+'дод 2'!R257</f>
        <v>0</v>
      </c>
      <c r="R166" s="25">
        <f>'дод 2'!S35+'дод 2'!S257</f>
        <v>0</v>
      </c>
      <c r="S166" s="25">
        <f>'дод 2'!T35+'дод 2'!T257</f>
        <v>500000</v>
      </c>
      <c r="T166" s="25">
        <f>'дод 2'!U35+'дод 2'!U257</f>
        <v>0</v>
      </c>
      <c r="U166" s="25">
        <f>'дод 2'!V35+'дод 2'!V257</f>
        <v>0</v>
      </c>
      <c r="V166" s="25">
        <f>'дод 2'!W35+'дод 2'!W257</f>
        <v>0</v>
      </c>
      <c r="W166" s="25">
        <f>'дод 2'!X35+'дод 2'!X257</f>
        <v>0</v>
      </c>
      <c r="X166" s="25">
        <f>'дод 2'!Y35+'дод 2'!Y257</f>
        <v>0</v>
      </c>
      <c r="Y166" s="25">
        <f>'дод 2'!Z35+'дод 2'!Z257</f>
        <v>0</v>
      </c>
      <c r="Z166" s="120"/>
      <c r="AA166" s="25">
        <f t="shared" si="34"/>
        <v>14960.15</v>
      </c>
    </row>
    <row r="167" spans="1:27" s="19" customFormat="1" ht="21.75" customHeight="1" x14ac:dyDescent="0.25">
      <c r="A167" s="32" t="s">
        <v>77</v>
      </c>
      <c r="B167" s="49"/>
      <c r="C167" s="50" t="s">
        <v>557</v>
      </c>
      <c r="D167" s="23">
        <f t="shared" ref="D167" si="37">D169+D170+D171+D173+D174+D175</f>
        <v>92465004</v>
      </c>
      <c r="E167" s="23">
        <f t="shared" ref="E167:Y167" si="38">E169+E170+E171+E173+E174+E175</f>
        <v>92465004</v>
      </c>
      <c r="F167" s="23">
        <f t="shared" si="38"/>
        <v>35666800</v>
      </c>
      <c r="G167" s="23">
        <f t="shared" si="38"/>
        <v>3201000</v>
      </c>
      <c r="H167" s="23">
        <f t="shared" si="38"/>
        <v>0</v>
      </c>
      <c r="I167" s="23">
        <f t="shared" si="38"/>
        <v>39254802.159999996</v>
      </c>
      <c r="J167" s="23">
        <f t="shared" si="38"/>
        <v>16053749.689999999</v>
      </c>
      <c r="K167" s="23">
        <f t="shared" si="38"/>
        <v>1605857.22</v>
      </c>
      <c r="L167" s="123">
        <f t="shared" si="32"/>
        <v>42.453685677664602</v>
      </c>
      <c r="M167" s="23">
        <f t="shared" si="38"/>
        <v>1120440</v>
      </c>
      <c r="N167" s="23">
        <f t="shared" si="38"/>
        <v>580000</v>
      </c>
      <c r="O167" s="23">
        <f t="shared" si="38"/>
        <v>540440</v>
      </c>
      <c r="P167" s="23">
        <f t="shared" si="38"/>
        <v>345344</v>
      </c>
      <c r="Q167" s="23">
        <f t="shared" si="38"/>
        <v>98012</v>
      </c>
      <c r="R167" s="23">
        <f t="shared" si="38"/>
        <v>580000</v>
      </c>
      <c r="S167" s="23">
        <f t="shared" si="38"/>
        <v>93585444</v>
      </c>
      <c r="T167" s="23">
        <f t="shared" si="38"/>
        <v>61024.560000000005</v>
      </c>
      <c r="U167" s="23">
        <f t="shared" si="38"/>
        <v>0</v>
      </c>
      <c r="V167" s="23">
        <f t="shared" si="38"/>
        <v>61024.560000000005</v>
      </c>
      <c r="W167" s="23">
        <f t="shared" si="38"/>
        <v>24691.56</v>
      </c>
      <c r="X167" s="23">
        <f t="shared" si="38"/>
        <v>10106.299999999999</v>
      </c>
      <c r="Y167" s="23">
        <f t="shared" si="38"/>
        <v>0</v>
      </c>
      <c r="Z167" s="123">
        <f t="shared" si="33"/>
        <v>5.446481739316698</v>
      </c>
      <c r="AA167" s="23">
        <f t="shared" si="34"/>
        <v>39315826.719999999</v>
      </c>
    </row>
    <row r="168" spans="1:27" s="19" customFormat="1" ht="21.75" hidden="1" customHeight="1" x14ac:dyDescent="0.25">
      <c r="A168" s="32"/>
      <c r="B168" s="49"/>
      <c r="C168" s="8" t="s">
        <v>388</v>
      </c>
      <c r="D168" s="36">
        <f>D172</f>
        <v>0</v>
      </c>
      <c r="E168" s="36">
        <f t="shared" ref="E168:Y168" si="39">E172</f>
        <v>0</v>
      </c>
      <c r="F168" s="36">
        <f t="shared" si="39"/>
        <v>0</v>
      </c>
      <c r="G168" s="36">
        <f t="shared" si="39"/>
        <v>0</v>
      </c>
      <c r="H168" s="36">
        <f t="shared" si="39"/>
        <v>0</v>
      </c>
      <c r="I168" s="36">
        <f t="shared" si="39"/>
        <v>0</v>
      </c>
      <c r="J168" s="36">
        <f t="shared" si="39"/>
        <v>0</v>
      </c>
      <c r="K168" s="36">
        <f t="shared" si="39"/>
        <v>0</v>
      </c>
      <c r="L168" s="120" t="e">
        <f t="shared" si="32"/>
        <v>#DIV/0!</v>
      </c>
      <c r="M168" s="36">
        <f t="shared" si="39"/>
        <v>0</v>
      </c>
      <c r="N168" s="36">
        <f t="shared" si="39"/>
        <v>0</v>
      </c>
      <c r="O168" s="36">
        <f t="shared" si="39"/>
        <v>0</v>
      </c>
      <c r="P168" s="36">
        <f t="shared" si="39"/>
        <v>0</v>
      </c>
      <c r="Q168" s="36">
        <f t="shared" si="39"/>
        <v>0</v>
      </c>
      <c r="R168" s="36">
        <f t="shared" si="39"/>
        <v>0</v>
      </c>
      <c r="S168" s="36">
        <f t="shared" si="39"/>
        <v>0</v>
      </c>
      <c r="T168" s="36">
        <f t="shared" si="39"/>
        <v>0</v>
      </c>
      <c r="U168" s="36">
        <f t="shared" si="39"/>
        <v>0</v>
      </c>
      <c r="V168" s="36">
        <f t="shared" si="39"/>
        <v>0</v>
      </c>
      <c r="W168" s="36">
        <f t="shared" si="39"/>
        <v>0</v>
      </c>
      <c r="X168" s="36">
        <f t="shared" si="39"/>
        <v>0</v>
      </c>
      <c r="Y168" s="36">
        <f t="shared" si="39"/>
        <v>0</v>
      </c>
      <c r="Z168" s="120" t="e">
        <f t="shared" si="33"/>
        <v>#DIV/0!</v>
      </c>
      <c r="AA168" s="25">
        <f t="shared" si="34"/>
        <v>0</v>
      </c>
    </row>
    <row r="169" spans="1:27" s="31" customFormat="1" ht="37.5" customHeight="1" x14ac:dyDescent="0.25">
      <c r="A169" s="24" t="s">
        <v>78</v>
      </c>
      <c r="B169" s="24" t="s">
        <v>79</v>
      </c>
      <c r="C169" s="40" t="s">
        <v>21</v>
      </c>
      <c r="D169" s="25">
        <f>'дод 2'!E36</f>
        <v>1787920</v>
      </c>
      <c r="E169" s="25">
        <f>'дод 2'!F36</f>
        <v>1787920</v>
      </c>
      <c r="F169" s="25">
        <f>'дод 2'!G36</f>
        <v>0</v>
      </c>
      <c r="G169" s="25">
        <f>'дод 2'!H36</f>
        <v>0</v>
      </c>
      <c r="H169" s="25">
        <f>'дод 2'!I36</f>
        <v>0</v>
      </c>
      <c r="I169" s="25">
        <f>'дод 2'!J36</f>
        <v>162824.56</v>
      </c>
      <c r="J169" s="25">
        <f>'дод 2'!K36</f>
        <v>0</v>
      </c>
      <c r="K169" s="25">
        <f>'дод 2'!L36</f>
        <v>0</v>
      </c>
      <c r="L169" s="120">
        <f t="shared" si="32"/>
        <v>9.1069264844064612</v>
      </c>
      <c r="M169" s="25">
        <f>'дод 2'!N36</f>
        <v>0</v>
      </c>
      <c r="N169" s="25">
        <f>'дод 2'!O36</f>
        <v>0</v>
      </c>
      <c r="O169" s="25">
        <f>'дод 2'!P36</f>
        <v>0</v>
      </c>
      <c r="P169" s="25">
        <f>'дод 2'!Q36</f>
        <v>0</v>
      </c>
      <c r="Q169" s="25">
        <f>'дод 2'!R36</f>
        <v>0</v>
      </c>
      <c r="R169" s="25">
        <f>'дод 2'!S36</f>
        <v>0</v>
      </c>
      <c r="S169" s="25">
        <f>'дод 2'!T36</f>
        <v>1787920</v>
      </c>
      <c r="T169" s="25">
        <f>'дод 2'!U36</f>
        <v>0</v>
      </c>
      <c r="U169" s="25">
        <f>'дод 2'!V36</f>
        <v>0</v>
      </c>
      <c r="V169" s="25">
        <f>'дод 2'!W36</f>
        <v>0</v>
      </c>
      <c r="W169" s="25">
        <f>'дод 2'!X36</f>
        <v>0</v>
      </c>
      <c r="X169" s="25">
        <f>'дод 2'!Y36</f>
        <v>0</v>
      </c>
      <c r="Y169" s="25">
        <f>'дод 2'!Z36</f>
        <v>0</v>
      </c>
      <c r="Z169" s="120"/>
      <c r="AA169" s="25">
        <f t="shared" si="34"/>
        <v>162824.56</v>
      </c>
    </row>
    <row r="170" spans="1:27" s="31" customFormat="1" ht="34.5" customHeight="1" x14ac:dyDescent="0.25">
      <c r="A170" s="24" t="s">
        <v>80</v>
      </c>
      <c r="B170" s="24" t="s">
        <v>79</v>
      </c>
      <c r="C170" s="40" t="s">
        <v>16</v>
      </c>
      <c r="D170" s="25">
        <f>'дод 2'!E37</f>
        <v>1140000</v>
      </c>
      <c r="E170" s="25">
        <f>'дод 2'!F37</f>
        <v>1140000</v>
      </c>
      <c r="F170" s="25">
        <f>'дод 2'!G37</f>
        <v>0</v>
      </c>
      <c r="G170" s="25">
        <f>'дод 2'!H37</f>
        <v>0</v>
      </c>
      <c r="H170" s="25">
        <f>'дод 2'!I37</f>
        <v>0</v>
      </c>
      <c r="I170" s="25">
        <f>'дод 2'!J37</f>
        <v>89435.72</v>
      </c>
      <c r="J170" s="25">
        <f>'дод 2'!K37</f>
        <v>0</v>
      </c>
      <c r="K170" s="25">
        <f>'дод 2'!L37</f>
        <v>0</v>
      </c>
      <c r="L170" s="120">
        <f t="shared" si="32"/>
        <v>7.845238596491229</v>
      </c>
      <c r="M170" s="25">
        <f>'дод 2'!N37</f>
        <v>0</v>
      </c>
      <c r="N170" s="25">
        <f>'дод 2'!O37</f>
        <v>0</v>
      </c>
      <c r="O170" s="25">
        <f>'дод 2'!P37</f>
        <v>0</v>
      </c>
      <c r="P170" s="25">
        <f>'дод 2'!Q37</f>
        <v>0</v>
      </c>
      <c r="Q170" s="25">
        <f>'дод 2'!R37</f>
        <v>0</v>
      </c>
      <c r="R170" s="25">
        <f>'дод 2'!S37</f>
        <v>0</v>
      </c>
      <c r="S170" s="25">
        <f>'дод 2'!T37</f>
        <v>1140000</v>
      </c>
      <c r="T170" s="25">
        <f>'дод 2'!U37</f>
        <v>0</v>
      </c>
      <c r="U170" s="25">
        <f>'дод 2'!V37</f>
        <v>0</v>
      </c>
      <c r="V170" s="25">
        <f>'дод 2'!W37</f>
        <v>0</v>
      </c>
      <c r="W170" s="25">
        <f>'дод 2'!X37</f>
        <v>0</v>
      </c>
      <c r="X170" s="25">
        <f>'дод 2'!Y37</f>
        <v>0</v>
      </c>
      <c r="Y170" s="25">
        <f>'дод 2'!Z37</f>
        <v>0</v>
      </c>
      <c r="Z170" s="120"/>
      <c r="AA170" s="25">
        <f t="shared" si="34"/>
        <v>89435.72</v>
      </c>
    </row>
    <row r="171" spans="1:27" s="31" customFormat="1" ht="36.75" customHeight="1" x14ac:dyDescent="0.25">
      <c r="A171" s="24" t="s">
        <v>114</v>
      </c>
      <c r="B171" s="24" t="s">
        <v>79</v>
      </c>
      <c r="C171" s="40" t="s">
        <v>537</v>
      </c>
      <c r="D171" s="25">
        <f>'дод 2'!E38+'дод 2'!E132</f>
        <v>44024170</v>
      </c>
      <c r="E171" s="25">
        <f>'дод 2'!F38+'дод 2'!F132</f>
        <v>44024170</v>
      </c>
      <c r="F171" s="25">
        <f>'дод 2'!G38+'дод 2'!G132</f>
        <v>31518800</v>
      </c>
      <c r="G171" s="25">
        <f>'дод 2'!H38+'дод 2'!H132</f>
        <v>2361600</v>
      </c>
      <c r="H171" s="25">
        <f>'дод 2'!I38+'дод 2'!I132</f>
        <v>0</v>
      </c>
      <c r="I171" s="25">
        <f>'дод 2'!J38+'дод 2'!J132</f>
        <v>18880806.23</v>
      </c>
      <c r="J171" s="25">
        <f>'дод 2'!K38+'дод 2'!K132</f>
        <v>14211852.609999999</v>
      </c>
      <c r="K171" s="25">
        <f>'дод 2'!L38+'дод 2'!L132</f>
        <v>1202162.81</v>
      </c>
      <c r="L171" s="120">
        <f t="shared" si="32"/>
        <v>42.887364440942328</v>
      </c>
      <c r="M171" s="25">
        <f>'дод 2'!N38+'дод 2'!N132</f>
        <v>130000</v>
      </c>
      <c r="N171" s="25">
        <f>'дод 2'!O38+'дод 2'!O132</f>
        <v>130000</v>
      </c>
      <c r="O171" s="25">
        <f>'дод 2'!P38+'дод 2'!P132</f>
        <v>0</v>
      </c>
      <c r="P171" s="25">
        <f>'дод 2'!Q38+'дод 2'!Q132</f>
        <v>0</v>
      </c>
      <c r="Q171" s="25">
        <f>'дод 2'!R38+'дод 2'!R132</f>
        <v>0</v>
      </c>
      <c r="R171" s="25">
        <f>'дод 2'!S38+'дод 2'!S132</f>
        <v>130000</v>
      </c>
      <c r="S171" s="25">
        <f>'дод 2'!T38+'дод 2'!T132</f>
        <v>44154170</v>
      </c>
      <c r="T171" s="25">
        <f>'дод 2'!U38+'дод 2'!U132</f>
        <v>2550.8000000000002</v>
      </c>
      <c r="U171" s="25">
        <f>'дод 2'!V38+'дод 2'!V132</f>
        <v>0</v>
      </c>
      <c r="V171" s="25">
        <f>'дод 2'!W38+'дод 2'!W132</f>
        <v>2550.8000000000002</v>
      </c>
      <c r="W171" s="25">
        <f>'дод 2'!X38+'дод 2'!X132</f>
        <v>0</v>
      </c>
      <c r="X171" s="25">
        <f>'дод 2'!Y38+'дод 2'!Y132</f>
        <v>0</v>
      </c>
      <c r="Y171" s="25">
        <f>'дод 2'!Z38+'дод 2'!Z132</f>
        <v>0</v>
      </c>
      <c r="Z171" s="120">
        <f t="shared" si="33"/>
        <v>1.9621538461538464</v>
      </c>
      <c r="AA171" s="25">
        <f t="shared" si="34"/>
        <v>18883357.030000001</v>
      </c>
    </row>
    <row r="172" spans="1:27" s="31" customFormat="1" ht="25.5" hidden="1" customHeight="1" x14ac:dyDescent="0.25">
      <c r="A172" s="24"/>
      <c r="B172" s="24"/>
      <c r="C172" s="39" t="s">
        <v>388</v>
      </c>
      <c r="D172" s="30">
        <f>'дод 2'!E133</f>
        <v>0</v>
      </c>
      <c r="E172" s="30">
        <f>'дод 2'!F133</f>
        <v>0</v>
      </c>
      <c r="F172" s="30">
        <f>'дод 2'!G133</f>
        <v>0</v>
      </c>
      <c r="G172" s="30">
        <f>'дод 2'!H133</f>
        <v>0</v>
      </c>
      <c r="H172" s="30">
        <f>'дод 2'!I133</f>
        <v>0</v>
      </c>
      <c r="I172" s="30">
        <f>'дод 2'!J133</f>
        <v>0</v>
      </c>
      <c r="J172" s="30">
        <f>'дод 2'!K133</f>
        <v>0</v>
      </c>
      <c r="K172" s="30">
        <f>'дод 2'!L133</f>
        <v>0</v>
      </c>
      <c r="L172" s="120" t="e">
        <f t="shared" si="32"/>
        <v>#DIV/0!</v>
      </c>
      <c r="M172" s="30">
        <f>'дод 2'!N133</f>
        <v>0</v>
      </c>
      <c r="N172" s="30">
        <f>'дод 2'!O133</f>
        <v>0</v>
      </c>
      <c r="O172" s="30">
        <f>'дод 2'!P133</f>
        <v>0</v>
      </c>
      <c r="P172" s="30">
        <f>'дод 2'!Q133</f>
        <v>0</v>
      </c>
      <c r="Q172" s="30">
        <f>'дод 2'!R133</f>
        <v>0</v>
      </c>
      <c r="R172" s="30">
        <f>'дод 2'!S133</f>
        <v>0</v>
      </c>
      <c r="S172" s="30">
        <f>'дод 2'!T133</f>
        <v>0</v>
      </c>
      <c r="T172" s="30">
        <f>'дод 2'!U133</f>
        <v>0</v>
      </c>
      <c r="U172" s="30">
        <f>'дод 2'!V133</f>
        <v>0</v>
      </c>
      <c r="V172" s="30">
        <f>'дод 2'!W133</f>
        <v>0</v>
      </c>
      <c r="W172" s="30">
        <f>'дод 2'!X133</f>
        <v>0</v>
      </c>
      <c r="X172" s="30">
        <f>'дод 2'!Y133</f>
        <v>0</v>
      </c>
      <c r="Y172" s="30">
        <f>'дод 2'!Z133</f>
        <v>0</v>
      </c>
      <c r="Z172" s="120" t="e">
        <f t="shared" si="33"/>
        <v>#DIV/0!</v>
      </c>
      <c r="AA172" s="25">
        <f t="shared" si="34"/>
        <v>0</v>
      </c>
    </row>
    <row r="173" spans="1:27" s="31" customFormat="1" ht="38.25" customHeight="1" x14ac:dyDescent="0.25">
      <c r="A173" s="24" t="s">
        <v>115</v>
      </c>
      <c r="B173" s="24" t="s">
        <v>79</v>
      </c>
      <c r="C173" s="40" t="s">
        <v>22</v>
      </c>
      <c r="D173" s="25">
        <f>'дод 2'!E39</f>
        <v>22762610</v>
      </c>
      <c r="E173" s="25">
        <f>'дод 2'!F39</f>
        <v>22762610</v>
      </c>
      <c r="F173" s="25">
        <f>'дод 2'!G39</f>
        <v>0</v>
      </c>
      <c r="G173" s="25">
        <f>'дод 2'!H39</f>
        <v>0</v>
      </c>
      <c r="H173" s="25">
        <f>'дод 2'!I39</f>
        <v>0</v>
      </c>
      <c r="I173" s="25">
        <f>'дод 2'!J39</f>
        <v>9831196.9499999993</v>
      </c>
      <c r="J173" s="25">
        <f>'дод 2'!K39</f>
        <v>0</v>
      </c>
      <c r="K173" s="25">
        <f>'дод 2'!L39</f>
        <v>0</v>
      </c>
      <c r="L173" s="120">
        <f t="shared" si="32"/>
        <v>43.190112864913118</v>
      </c>
      <c r="M173" s="25">
        <f>'дод 2'!N39</f>
        <v>0</v>
      </c>
      <c r="N173" s="25">
        <f>'дод 2'!O39</f>
        <v>0</v>
      </c>
      <c r="O173" s="25">
        <f>'дод 2'!P39</f>
        <v>0</v>
      </c>
      <c r="P173" s="25">
        <f>'дод 2'!Q39</f>
        <v>0</v>
      </c>
      <c r="Q173" s="25">
        <f>'дод 2'!R39</f>
        <v>0</v>
      </c>
      <c r="R173" s="25">
        <f>'дод 2'!S39</f>
        <v>0</v>
      </c>
      <c r="S173" s="25">
        <f>'дод 2'!T39</f>
        <v>22762610</v>
      </c>
      <c r="T173" s="25">
        <f>'дод 2'!U39</f>
        <v>0</v>
      </c>
      <c r="U173" s="25">
        <f>'дод 2'!V39</f>
        <v>0</v>
      </c>
      <c r="V173" s="25">
        <f>'дод 2'!W39</f>
        <v>0</v>
      </c>
      <c r="W173" s="25">
        <f>'дод 2'!X39</f>
        <v>0</v>
      </c>
      <c r="X173" s="25">
        <f>'дод 2'!Y39</f>
        <v>0</v>
      </c>
      <c r="Y173" s="25">
        <f>'дод 2'!Z39</f>
        <v>0</v>
      </c>
      <c r="Z173" s="120"/>
      <c r="AA173" s="25">
        <f t="shared" si="34"/>
        <v>9831196.9499999993</v>
      </c>
    </row>
    <row r="174" spans="1:27" s="31" customFormat="1" ht="54" customHeight="1" x14ac:dyDescent="0.25">
      <c r="A174" s="24" t="s">
        <v>111</v>
      </c>
      <c r="B174" s="24" t="s">
        <v>79</v>
      </c>
      <c r="C174" s="40" t="s">
        <v>563</v>
      </c>
      <c r="D174" s="25">
        <f>'дод 2'!E40</f>
        <v>6952500</v>
      </c>
      <c r="E174" s="25">
        <f>'дод 2'!F40</f>
        <v>6952500</v>
      </c>
      <c r="F174" s="25">
        <f>'дод 2'!G40</f>
        <v>4148000</v>
      </c>
      <c r="G174" s="25">
        <f>'дод 2'!H40</f>
        <v>839400</v>
      </c>
      <c r="H174" s="25">
        <f>'дод 2'!I40</f>
        <v>0</v>
      </c>
      <c r="I174" s="25">
        <f>'дод 2'!J40</f>
        <v>3019509.95</v>
      </c>
      <c r="J174" s="25">
        <f>'дод 2'!K40</f>
        <v>1841897.08</v>
      </c>
      <c r="K174" s="25">
        <f>'дод 2'!L40</f>
        <v>403694.41</v>
      </c>
      <c r="L174" s="120">
        <f t="shared" si="32"/>
        <v>43.43056382596189</v>
      </c>
      <c r="M174" s="25">
        <f>'дод 2'!N40</f>
        <v>990440</v>
      </c>
      <c r="N174" s="25">
        <f>'дод 2'!O40</f>
        <v>450000</v>
      </c>
      <c r="O174" s="25">
        <f>'дод 2'!P40</f>
        <v>540440</v>
      </c>
      <c r="P174" s="25">
        <f>'дод 2'!Q40</f>
        <v>345344</v>
      </c>
      <c r="Q174" s="25">
        <f>'дод 2'!R40</f>
        <v>98012</v>
      </c>
      <c r="R174" s="25">
        <f>'дод 2'!S40</f>
        <v>450000</v>
      </c>
      <c r="S174" s="25">
        <f>'дод 2'!T40</f>
        <v>7942940</v>
      </c>
      <c r="T174" s="25">
        <f>'дод 2'!U40</f>
        <v>58473.760000000002</v>
      </c>
      <c r="U174" s="25">
        <f>'дод 2'!V40</f>
        <v>0</v>
      </c>
      <c r="V174" s="25">
        <f>'дод 2'!W40</f>
        <v>58473.760000000002</v>
      </c>
      <c r="W174" s="25">
        <f>'дод 2'!X40</f>
        <v>24691.56</v>
      </c>
      <c r="X174" s="25">
        <f>'дод 2'!Y40</f>
        <v>10106.299999999999</v>
      </c>
      <c r="Y174" s="25">
        <f>'дод 2'!Z40</f>
        <v>0</v>
      </c>
      <c r="Z174" s="120">
        <f t="shared" si="33"/>
        <v>5.9038164856023592</v>
      </c>
      <c r="AA174" s="25">
        <f t="shared" si="34"/>
        <v>3077983.71</v>
      </c>
    </row>
    <row r="175" spans="1:27" s="31" customFormat="1" ht="46.5" customHeight="1" x14ac:dyDescent="0.25">
      <c r="A175" s="24" t="s">
        <v>113</v>
      </c>
      <c r="B175" s="24" t="s">
        <v>79</v>
      </c>
      <c r="C175" s="40" t="s">
        <v>112</v>
      </c>
      <c r="D175" s="25">
        <f>'дод 2'!E41</f>
        <v>15797804</v>
      </c>
      <c r="E175" s="25">
        <f>'дод 2'!F41</f>
        <v>15797804</v>
      </c>
      <c r="F175" s="25">
        <f>'дод 2'!G41</f>
        <v>0</v>
      </c>
      <c r="G175" s="25">
        <f>'дод 2'!H41</f>
        <v>0</v>
      </c>
      <c r="H175" s="25">
        <f>'дод 2'!I41</f>
        <v>0</v>
      </c>
      <c r="I175" s="25">
        <f>'дод 2'!J41</f>
        <v>7271028.75</v>
      </c>
      <c r="J175" s="25">
        <f>'дод 2'!K41</f>
        <v>0</v>
      </c>
      <c r="K175" s="25">
        <f>'дод 2'!L41</f>
        <v>0</v>
      </c>
      <c r="L175" s="120">
        <f t="shared" si="32"/>
        <v>46.025566274907575</v>
      </c>
      <c r="M175" s="25">
        <f>'дод 2'!N41</f>
        <v>0</v>
      </c>
      <c r="N175" s="25">
        <f>'дод 2'!O41</f>
        <v>0</v>
      </c>
      <c r="O175" s="25">
        <f>'дод 2'!P41</f>
        <v>0</v>
      </c>
      <c r="P175" s="25">
        <f>'дод 2'!Q41</f>
        <v>0</v>
      </c>
      <c r="Q175" s="25">
        <f>'дод 2'!R41</f>
        <v>0</v>
      </c>
      <c r="R175" s="25">
        <f>'дод 2'!S41</f>
        <v>0</v>
      </c>
      <c r="S175" s="25">
        <f>'дод 2'!T41</f>
        <v>15797804</v>
      </c>
      <c r="T175" s="25">
        <f>'дод 2'!U41</f>
        <v>0</v>
      </c>
      <c r="U175" s="25">
        <f>'дод 2'!V41</f>
        <v>0</v>
      </c>
      <c r="V175" s="25">
        <f>'дод 2'!W41</f>
        <v>0</v>
      </c>
      <c r="W175" s="25">
        <f>'дод 2'!X41</f>
        <v>0</v>
      </c>
      <c r="X175" s="25">
        <f>'дод 2'!Y41</f>
        <v>0</v>
      </c>
      <c r="Y175" s="25">
        <f>'дод 2'!Z41</f>
        <v>0</v>
      </c>
      <c r="Z175" s="120"/>
      <c r="AA175" s="25">
        <f t="shared" si="34"/>
        <v>7271028.75</v>
      </c>
    </row>
    <row r="176" spans="1:27" s="19" customFormat="1" ht="26.25" customHeight="1" x14ac:dyDescent="0.25">
      <c r="A176" s="32" t="s">
        <v>65</v>
      </c>
      <c r="B176" s="49"/>
      <c r="C176" s="50" t="s">
        <v>66</v>
      </c>
      <c r="D176" s="23">
        <f>D178+D179+D181+D182+D183+D184+D186+D188+D189+D185+D180</f>
        <v>332541920</v>
      </c>
      <c r="E176" s="23">
        <f t="shared" ref="E176:Y176" si="40">E178+E179+E181+E182+E183+E184+E186+E188+E189+E185+E180</f>
        <v>256096415.38</v>
      </c>
      <c r="F176" s="23">
        <f t="shared" si="40"/>
        <v>0</v>
      </c>
      <c r="G176" s="23">
        <f t="shared" si="40"/>
        <v>43385000</v>
      </c>
      <c r="H176" s="23">
        <f t="shared" si="40"/>
        <v>76445504.620000005</v>
      </c>
      <c r="I176" s="23">
        <f t="shared" si="40"/>
        <v>157474840.64999998</v>
      </c>
      <c r="J176" s="23">
        <f t="shared" si="40"/>
        <v>0</v>
      </c>
      <c r="K176" s="23">
        <f t="shared" si="40"/>
        <v>12405335.630000001</v>
      </c>
      <c r="L176" s="123">
        <f t="shared" si="32"/>
        <v>47.354884054918543</v>
      </c>
      <c r="M176" s="23">
        <f t="shared" si="40"/>
        <v>4919960</v>
      </c>
      <c r="N176" s="23">
        <f t="shared" si="40"/>
        <v>4507760</v>
      </c>
      <c r="O176" s="23">
        <f t="shared" si="40"/>
        <v>0</v>
      </c>
      <c r="P176" s="23">
        <f t="shared" si="40"/>
        <v>0</v>
      </c>
      <c r="Q176" s="23">
        <f t="shared" si="40"/>
        <v>0</v>
      </c>
      <c r="R176" s="23">
        <f t="shared" si="40"/>
        <v>4919960</v>
      </c>
      <c r="S176" s="23">
        <f t="shared" si="40"/>
        <v>337461880</v>
      </c>
      <c r="T176" s="23">
        <f t="shared" si="40"/>
        <v>179799.5</v>
      </c>
      <c r="U176" s="23">
        <f t="shared" si="40"/>
        <v>0</v>
      </c>
      <c r="V176" s="23">
        <f t="shared" si="40"/>
        <v>69837</v>
      </c>
      <c r="W176" s="23">
        <f t="shared" si="40"/>
        <v>0</v>
      </c>
      <c r="X176" s="23">
        <f t="shared" si="40"/>
        <v>0</v>
      </c>
      <c r="Y176" s="23">
        <f t="shared" si="40"/>
        <v>109962.5</v>
      </c>
      <c r="Z176" s="123">
        <f t="shared" si="33"/>
        <v>3.6544910934235237</v>
      </c>
      <c r="AA176" s="23">
        <f t="shared" si="34"/>
        <v>157654640.14999998</v>
      </c>
    </row>
    <row r="177" spans="1:27" s="37" customFormat="1" ht="113.25" hidden="1" customHeight="1" x14ac:dyDescent="0.25">
      <c r="A177" s="34"/>
      <c r="B177" s="51"/>
      <c r="C177" s="53" t="s">
        <v>544</v>
      </c>
      <c r="D177" s="36">
        <f>D187</f>
        <v>0</v>
      </c>
      <c r="E177" s="36">
        <f t="shared" ref="E177:Y177" si="41">E187</f>
        <v>0</v>
      </c>
      <c r="F177" s="36">
        <f t="shared" si="41"/>
        <v>0</v>
      </c>
      <c r="G177" s="36">
        <f t="shared" si="41"/>
        <v>0</v>
      </c>
      <c r="H177" s="36">
        <f t="shared" si="41"/>
        <v>0</v>
      </c>
      <c r="I177" s="36">
        <f t="shared" si="41"/>
        <v>0</v>
      </c>
      <c r="J177" s="36">
        <f t="shared" si="41"/>
        <v>0</v>
      </c>
      <c r="K177" s="36">
        <f t="shared" si="41"/>
        <v>0</v>
      </c>
      <c r="L177" s="120" t="e">
        <f t="shared" si="32"/>
        <v>#DIV/0!</v>
      </c>
      <c r="M177" s="36">
        <f t="shared" si="41"/>
        <v>0</v>
      </c>
      <c r="N177" s="36">
        <f t="shared" si="41"/>
        <v>0</v>
      </c>
      <c r="O177" s="36">
        <f t="shared" si="41"/>
        <v>0</v>
      </c>
      <c r="P177" s="36">
        <f t="shared" si="41"/>
        <v>0</v>
      </c>
      <c r="Q177" s="36">
        <f t="shared" si="41"/>
        <v>0</v>
      </c>
      <c r="R177" s="36">
        <f t="shared" si="41"/>
        <v>0</v>
      </c>
      <c r="S177" s="36">
        <f t="shared" si="41"/>
        <v>0</v>
      </c>
      <c r="T177" s="36">
        <f t="shared" si="41"/>
        <v>0</v>
      </c>
      <c r="U177" s="36">
        <f t="shared" si="41"/>
        <v>0</v>
      </c>
      <c r="V177" s="36">
        <f t="shared" si="41"/>
        <v>0</v>
      </c>
      <c r="W177" s="36">
        <f t="shared" si="41"/>
        <v>0</v>
      </c>
      <c r="X177" s="36">
        <f t="shared" si="41"/>
        <v>0</v>
      </c>
      <c r="Y177" s="36">
        <f t="shared" si="41"/>
        <v>0</v>
      </c>
      <c r="Z177" s="120" t="e">
        <f t="shared" si="33"/>
        <v>#DIV/0!</v>
      </c>
      <c r="AA177" s="25">
        <f t="shared" si="34"/>
        <v>0</v>
      </c>
    </row>
    <row r="178" spans="1:27" s="31" customFormat="1" hidden="1" x14ac:dyDescent="0.25">
      <c r="A178" s="24" t="s">
        <v>125</v>
      </c>
      <c r="B178" s="24" t="s">
        <v>67</v>
      </c>
      <c r="C178" s="40" t="s">
        <v>126</v>
      </c>
      <c r="D178" s="25">
        <f>'дод 2'!E275</f>
        <v>0</v>
      </c>
      <c r="E178" s="25">
        <f>'дод 2'!F275</f>
        <v>0</v>
      </c>
      <c r="F178" s="25">
        <f>'дод 2'!G275</f>
        <v>0</v>
      </c>
      <c r="G178" s="25">
        <f>'дод 2'!H275</f>
        <v>0</v>
      </c>
      <c r="H178" s="25">
        <f>'дод 2'!I275</f>
        <v>0</v>
      </c>
      <c r="I178" s="25">
        <f>'дод 2'!J275</f>
        <v>0</v>
      </c>
      <c r="J178" s="25">
        <f>'дод 2'!K275</f>
        <v>0</v>
      </c>
      <c r="K178" s="25">
        <f>'дод 2'!L275</f>
        <v>0</v>
      </c>
      <c r="L178" s="120" t="e">
        <f t="shared" si="32"/>
        <v>#DIV/0!</v>
      </c>
      <c r="M178" s="25">
        <f>'дод 2'!N275</f>
        <v>0</v>
      </c>
      <c r="N178" s="25">
        <f>'дод 2'!O275</f>
        <v>0</v>
      </c>
      <c r="O178" s="25">
        <f>'дод 2'!P275</f>
        <v>0</v>
      </c>
      <c r="P178" s="25">
        <f>'дод 2'!Q275</f>
        <v>0</v>
      </c>
      <c r="Q178" s="25">
        <f>'дод 2'!R275</f>
        <v>0</v>
      </c>
      <c r="R178" s="25">
        <f>'дод 2'!S275</f>
        <v>0</v>
      </c>
      <c r="S178" s="25">
        <f>'дод 2'!T275</f>
        <v>0</v>
      </c>
      <c r="T178" s="25">
        <f>'дод 2'!U275</f>
        <v>0</v>
      </c>
      <c r="U178" s="25">
        <f>'дод 2'!V275</f>
        <v>0</v>
      </c>
      <c r="V178" s="25">
        <f>'дод 2'!W275</f>
        <v>0</v>
      </c>
      <c r="W178" s="25">
        <f>'дод 2'!X275</f>
        <v>0</v>
      </c>
      <c r="X178" s="25">
        <f>'дод 2'!Y275</f>
        <v>0</v>
      </c>
      <c r="Y178" s="25">
        <f>'дод 2'!Z275</f>
        <v>0</v>
      </c>
      <c r="Z178" s="120" t="e">
        <f t="shared" si="33"/>
        <v>#DIV/0!</v>
      </c>
      <c r="AA178" s="25">
        <f t="shared" si="34"/>
        <v>0</v>
      </c>
    </row>
    <row r="179" spans="1:27" s="31" customFormat="1" ht="32.25" customHeight="1" x14ac:dyDescent="0.25">
      <c r="A179" s="24" t="s">
        <v>127</v>
      </c>
      <c r="B179" s="24" t="s">
        <v>69</v>
      </c>
      <c r="C179" s="40" t="s">
        <v>144</v>
      </c>
      <c r="D179" s="25">
        <f>'дод 2'!E276</f>
        <v>66188800</v>
      </c>
      <c r="E179" s="25">
        <f>'дод 2'!F276</f>
        <v>955000</v>
      </c>
      <c r="F179" s="25">
        <f>'дод 2'!G276</f>
        <v>0</v>
      </c>
      <c r="G179" s="25">
        <f>'дод 2'!H276</f>
        <v>0</v>
      </c>
      <c r="H179" s="25">
        <f>'дод 2'!I276</f>
        <v>65233800</v>
      </c>
      <c r="I179" s="25">
        <f>'дод 2'!J276</f>
        <v>53613402.899999999</v>
      </c>
      <c r="J179" s="25">
        <f>'дод 2'!K276</f>
        <v>0</v>
      </c>
      <c r="K179" s="25">
        <f>'дод 2'!L276</f>
        <v>0</v>
      </c>
      <c r="L179" s="120">
        <f t="shared" si="32"/>
        <v>81.00071749298975</v>
      </c>
      <c r="M179" s="25">
        <f>'дод 2'!N276</f>
        <v>0</v>
      </c>
      <c r="N179" s="25">
        <f>'дод 2'!O276</f>
        <v>0</v>
      </c>
      <c r="O179" s="25">
        <f>'дод 2'!P276</f>
        <v>0</v>
      </c>
      <c r="P179" s="25">
        <f>'дод 2'!Q276</f>
        <v>0</v>
      </c>
      <c r="Q179" s="25">
        <f>'дод 2'!R276</f>
        <v>0</v>
      </c>
      <c r="R179" s="25">
        <f>'дод 2'!S276</f>
        <v>0</v>
      </c>
      <c r="S179" s="25">
        <f>'дод 2'!T276</f>
        <v>66188800</v>
      </c>
      <c r="T179" s="25">
        <f>'дод 2'!U276</f>
        <v>0</v>
      </c>
      <c r="U179" s="25">
        <f>'дод 2'!V276</f>
        <v>0</v>
      </c>
      <c r="V179" s="25">
        <f>'дод 2'!W276</f>
        <v>0</v>
      </c>
      <c r="W179" s="25">
        <f>'дод 2'!X276</f>
        <v>0</v>
      </c>
      <c r="X179" s="25">
        <f>'дод 2'!Y276</f>
        <v>0</v>
      </c>
      <c r="Y179" s="25">
        <f>'дод 2'!Z276</f>
        <v>0</v>
      </c>
      <c r="Z179" s="120"/>
      <c r="AA179" s="25">
        <f t="shared" si="34"/>
        <v>53613402.899999999</v>
      </c>
    </row>
    <row r="180" spans="1:27" s="31" customFormat="1" ht="32.25" hidden="1" customHeight="1" x14ac:dyDescent="0.25">
      <c r="A180" s="24">
        <v>6014</v>
      </c>
      <c r="B180" s="24" t="s">
        <v>69</v>
      </c>
      <c r="C180" s="40" t="s">
        <v>588</v>
      </c>
      <c r="D180" s="25">
        <f>'дод 2'!E277</f>
        <v>0</v>
      </c>
      <c r="E180" s="25">
        <f>'дод 2'!F277</f>
        <v>0</v>
      </c>
      <c r="F180" s="25">
        <f>'дод 2'!G277</f>
        <v>0</v>
      </c>
      <c r="G180" s="25">
        <f>'дод 2'!H277</f>
        <v>0</v>
      </c>
      <c r="H180" s="25">
        <f>'дод 2'!I277</f>
        <v>0</v>
      </c>
      <c r="I180" s="25">
        <f>'дод 2'!J277</f>
        <v>0</v>
      </c>
      <c r="J180" s="25">
        <f>'дод 2'!K277</f>
        <v>0</v>
      </c>
      <c r="K180" s="25">
        <f>'дод 2'!L277</f>
        <v>0</v>
      </c>
      <c r="L180" s="120" t="e">
        <f t="shared" si="32"/>
        <v>#DIV/0!</v>
      </c>
      <c r="M180" s="25">
        <f>'дод 2'!N277</f>
        <v>0</v>
      </c>
      <c r="N180" s="25">
        <f>'дод 2'!O277</f>
        <v>0</v>
      </c>
      <c r="O180" s="25">
        <f>'дод 2'!P277</f>
        <v>0</v>
      </c>
      <c r="P180" s="25">
        <f>'дод 2'!Q277</f>
        <v>0</v>
      </c>
      <c r="Q180" s="25">
        <f>'дод 2'!R277</f>
        <v>0</v>
      </c>
      <c r="R180" s="25">
        <f>'дод 2'!S277</f>
        <v>0</v>
      </c>
      <c r="S180" s="25">
        <f>'дод 2'!T277</f>
        <v>0</v>
      </c>
      <c r="T180" s="25">
        <f>'дод 2'!U277</f>
        <v>0</v>
      </c>
      <c r="U180" s="25">
        <f>'дод 2'!V277</f>
        <v>0</v>
      </c>
      <c r="V180" s="25">
        <f>'дод 2'!W277</f>
        <v>0</v>
      </c>
      <c r="W180" s="25">
        <f>'дод 2'!X277</f>
        <v>0</v>
      </c>
      <c r="X180" s="25">
        <f>'дод 2'!Y277</f>
        <v>0</v>
      </c>
      <c r="Y180" s="25">
        <f>'дод 2'!Z277</f>
        <v>0</v>
      </c>
      <c r="Z180" s="120"/>
      <c r="AA180" s="25">
        <f t="shared" si="34"/>
        <v>0</v>
      </c>
    </row>
    <row r="181" spans="1:27" s="31" customFormat="1" ht="32.25" hidden="1" customHeight="1" x14ac:dyDescent="0.25">
      <c r="A181" s="24" t="s">
        <v>257</v>
      </c>
      <c r="B181" s="24" t="s">
        <v>69</v>
      </c>
      <c r="C181" s="40" t="s">
        <v>258</v>
      </c>
      <c r="D181" s="25">
        <f>'дод 2'!E278</f>
        <v>0</v>
      </c>
      <c r="E181" s="25">
        <f>'дод 2'!F278</f>
        <v>0</v>
      </c>
      <c r="F181" s="25">
        <f>'дод 2'!G278</f>
        <v>0</v>
      </c>
      <c r="G181" s="25">
        <f>'дод 2'!H278</f>
        <v>0</v>
      </c>
      <c r="H181" s="25">
        <f>'дод 2'!I278</f>
        <v>0</v>
      </c>
      <c r="I181" s="25">
        <f>'дод 2'!J278</f>
        <v>0</v>
      </c>
      <c r="J181" s="25">
        <f>'дод 2'!K278</f>
        <v>0</v>
      </c>
      <c r="K181" s="25">
        <f>'дод 2'!L278</f>
        <v>0</v>
      </c>
      <c r="L181" s="120" t="e">
        <f t="shared" si="32"/>
        <v>#DIV/0!</v>
      </c>
      <c r="M181" s="25">
        <f>'дод 2'!N278</f>
        <v>0</v>
      </c>
      <c r="N181" s="25">
        <f>'дод 2'!O278</f>
        <v>0</v>
      </c>
      <c r="O181" s="25">
        <f>'дод 2'!P278</f>
        <v>0</v>
      </c>
      <c r="P181" s="25">
        <f>'дод 2'!Q278</f>
        <v>0</v>
      </c>
      <c r="Q181" s="25">
        <f>'дод 2'!R278</f>
        <v>0</v>
      </c>
      <c r="R181" s="25">
        <f>'дод 2'!S278</f>
        <v>0</v>
      </c>
      <c r="S181" s="25">
        <f>'дод 2'!T278</f>
        <v>0</v>
      </c>
      <c r="T181" s="25">
        <f>'дод 2'!U278</f>
        <v>0</v>
      </c>
      <c r="U181" s="25">
        <f>'дод 2'!V278</f>
        <v>0</v>
      </c>
      <c r="V181" s="25">
        <f>'дод 2'!W278</f>
        <v>0</v>
      </c>
      <c r="W181" s="25">
        <f>'дод 2'!X278</f>
        <v>0</v>
      </c>
      <c r="X181" s="25">
        <f>'дод 2'!Y278</f>
        <v>0</v>
      </c>
      <c r="Y181" s="25">
        <f>'дод 2'!Z278</f>
        <v>0</v>
      </c>
      <c r="Z181" s="120"/>
      <c r="AA181" s="25">
        <f t="shared" si="34"/>
        <v>0</v>
      </c>
    </row>
    <row r="182" spans="1:27" s="31" customFormat="1" ht="33" customHeight="1" x14ac:dyDescent="0.25">
      <c r="A182" s="24" t="s">
        <v>260</v>
      </c>
      <c r="B182" s="24" t="s">
        <v>69</v>
      </c>
      <c r="C182" s="40" t="s">
        <v>338</v>
      </c>
      <c r="D182" s="25">
        <f>'дод 2'!E279</f>
        <v>400000</v>
      </c>
      <c r="E182" s="25">
        <f>'дод 2'!F279</f>
        <v>400000</v>
      </c>
      <c r="F182" s="25">
        <f>'дод 2'!G279</f>
        <v>0</v>
      </c>
      <c r="G182" s="25">
        <f>'дод 2'!H279</f>
        <v>0</v>
      </c>
      <c r="H182" s="25">
        <f>'дод 2'!I279</f>
        <v>0</v>
      </c>
      <c r="I182" s="25">
        <f>'дод 2'!J279</f>
        <v>99933.96</v>
      </c>
      <c r="J182" s="25">
        <f>'дод 2'!K279</f>
        <v>0</v>
      </c>
      <c r="K182" s="25">
        <f>'дод 2'!L279</f>
        <v>0</v>
      </c>
      <c r="L182" s="120">
        <f t="shared" si="32"/>
        <v>24.983490000000003</v>
      </c>
      <c r="M182" s="25">
        <f>'дод 2'!N279</f>
        <v>0</v>
      </c>
      <c r="N182" s="25">
        <f>'дод 2'!O279</f>
        <v>0</v>
      </c>
      <c r="O182" s="25">
        <f>'дод 2'!P279</f>
        <v>0</v>
      </c>
      <c r="P182" s="25">
        <f>'дод 2'!Q279</f>
        <v>0</v>
      </c>
      <c r="Q182" s="25">
        <f>'дод 2'!R279</f>
        <v>0</v>
      </c>
      <c r="R182" s="25">
        <f>'дод 2'!S279</f>
        <v>0</v>
      </c>
      <c r="S182" s="25">
        <f>'дод 2'!T279</f>
        <v>400000</v>
      </c>
      <c r="T182" s="25">
        <f>'дод 2'!U279</f>
        <v>0</v>
      </c>
      <c r="U182" s="25">
        <f>'дод 2'!V279</f>
        <v>0</v>
      </c>
      <c r="V182" s="25">
        <f>'дод 2'!W279</f>
        <v>0</v>
      </c>
      <c r="W182" s="25">
        <f>'дод 2'!X279</f>
        <v>0</v>
      </c>
      <c r="X182" s="25">
        <f>'дод 2'!Y279</f>
        <v>0</v>
      </c>
      <c r="Y182" s="25">
        <f>'дод 2'!Z279</f>
        <v>0</v>
      </c>
      <c r="Z182" s="120"/>
      <c r="AA182" s="25">
        <f t="shared" si="34"/>
        <v>99933.96</v>
      </c>
    </row>
    <row r="183" spans="1:27" s="31" customFormat="1" ht="57.75" customHeight="1" x14ac:dyDescent="0.25">
      <c r="A183" s="24" t="s">
        <v>68</v>
      </c>
      <c r="B183" s="24" t="s">
        <v>69</v>
      </c>
      <c r="C183" s="40" t="s">
        <v>130</v>
      </c>
      <c r="D183" s="25">
        <f>'дод 2'!E280</f>
        <v>9221704.620000001</v>
      </c>
      <c r="E183" s="25">
        <f>'дод 2'!F280</f>
        <v>0</v>
      </c>
      <c r="F183" s="25">
        <f>'дод 2'!G280</f>
        <v>0</v>
      </c>
      <c r="G183" s="25">
        <f>'дод 2'!H280</f>
        <v>0</v>
      </c>
      <c r="H183" s="25">
        <f>'дод 2'!I280</f>
        <v>9221704.620000001</v>
      </c>
      <c r="I183" s="25">
        <f>'дод 2'!J280</f>
        <v>384301.06</v>
      </c>
      <c r="J183" s="25">
        <f>'дод 2'!K280</f>
        <v>0</v>
      </c>
      <c r="K183" s="25">
        <f>'дод 2'!L280</f>
        <v>0</v>
      </c>
      <c r="L183" s="120">
        <f t="shared" si="32"/>
        <v>4.1673538227035509</v>
      </c>
      <c r="M183" s="25">
        <f>'дод 2'!N280</f>
        <v>4295760</v>
      </c>
      <c r="N183" s="25">
        <f>'дод 2'!O280</f>
        <v>4295760</v>
      </c>
      <c r="O183" s="25">
        <f>'дод 2'!P280</f>
        <v>0</v>
      </c>
      <c r="P183" s="25">
        <f>'дод 2'!Q280</f>
        <v>0</v>
      </c>
      <c r="Q183" s="25">
        <f>'дод 2'!R280</f>
        <v>0</v>
      </c>
      <c r="R183" s="25">
        <f>'дод 2'!S280</f>
        <v>4295760</v>
      </c>
      <c r="S183" s="25">
        <f>'дод 2'!T280</f>
        <v>13517464.620000001</v>
      </c>
      <c r="T183" s="25">
        <f>'дод 2'!U280</f>
        <v>0</v>
      </c>
      <c r="U183" s="25">
        <f>'дод 2'!V280</f>
        <v>0</v>
      </c>
      <c r="V183" s="25">
        <f>'дод 2'!W280</f>
        <v>0</v>
      </c>
      <c r="W183" s="25">
        <f>'дод 2'!X280</f>
        <v>0</v>
      </c>
      <c r="X183" s="25">
        <f>'дод 2'!Y280</f>
        <v>0</v>
      </c>
      <c r="Y183" s="25">
        <f>'дод 2'!Z280</f>
        <v>0</v>
      </c>
      <c r="Z183" s="120">
        <f t="shared" si="33"/>
        <v>0</v>
      </c>
      <c r="AA183" s="25">
        <f t="shared" si="34"/>
        <v>384301.06</v>
      </c>
    </row>
    <row r="184" spans="1:27" ht="24" customHeight="1" x14ac:dyDescent="0.25">
      <c r="A184" s="24" t="s">
        <v>128</v>
      </c>
      <c r="B184" s="24" t="s">
        <v>69</v>
      </c>
      <c r="C184" s="40" t="s">
        <v>129</v>
      </c>
      <c r="D184" s="25">
        <f>'дод 2'!E281+'дод 2'!E343</f>
        <v>248225000</v>
      </c>
      <c r="E184" s="25">
        <f>'дод 2'!F281+'дод 2'!F343</f>
        <v>247155000</v>
      </c>
      <c r="F184" s="25">
        <f>'дод 2'!G281+'дод 2'!G343</f>
        <v>0</v>
      </c>
      <c r="G184" s="25">
        <f>'дод 2'!H281+'дод 2'!H343</f>
        <v>43380000</v>
      </c>
      <c r="H184" s="25">
        <f>'дод 2'!I281+'дод 2'!I343</f>
        <v>1070000</v>
      </c>
      <c r="I184" s="25">
        <f>'дод 2'!J281+'дод 2'!J343</f>
        <v>102389372.09</v>
      </c>
      <c r="J184" s="25">
        <f>'дод 2'!K281+'дод 2'!K343</f>
        <v>0</v>
      </c>
      <c r="K184" s="25">
        <f>'дод 2'!L281+'дод 2'!L343</f>
        <v>12405125.25</v>
      </c>
      <c r="L184" s="120">
        <f t="shared" si="32"/>
        <v>41.248613995367108</v>
      </c>
      <c r="M184" s="25">
        <f>'дод 2'!N281+'дод 2'!N343</f>
        <v>212000</v>
      </c>
      <c r="N184" s="25">
        <f>'дод 2'!O281+'дод 2'!O343</f>
        <v>212000</v>
      </c>
      <c r="O184" s="25">
        <f>'дод 2'!P281+'дод 2'!P343</f>
        <v>0</v>
      </c>
      <c r="P184" s="25">
        <f>'дод 2'!Q281+'дод 2'!Q343</f>
        <v>0</v>
      </c>
      <c r="Q184" s="25">
        <f>'дод 2'!R281+'дод 2'!R343</f>
        <v>0</v>
      </c>
      <c r="R184" s="25">
        <f>'дод 2'!S281+'дод 2'!S343</f>
        <v>212000</v>
      </c>
      <c r="S184" s="25">
        <f>'дод 2'!T281+'дод 2'!T343</f>
        <v>248437000</v>
      </c>
      <c r="T184" s="25">
        <f>'дод 2'!U281+'дод 2'!U343</f>
        <v>0</v>
      </c>
      <c r="U184" s="25">
        <f>'дод 2'!V281+'дод 2'!V343</f>
        <v>0</v>
      </c>
      <c r="V184" s="25">
        <f>'дод 2'!W281+'дод 2'!W343</f>
        <v>0</v>
      </c>
      <c r="W184" s="25">
        <f>'дод 2'!X281+'дод 2'!X343</f>
        <v>0</v>
      </c>
      <c r="X184" s="25">
        <f>'дод 2'!Y281+'дод 2'!Y343</f>
        <v>0</v>
      </c>
      <c r="Y184" s="25">
        <f>'дод 2'!Z281+'дод 2'!Z343</f>
        <v>0</v>
      </c>
      <c r="Z184" s="120">
        <f t="shared" si="33"/>
        <v>0</v>
      </c>
      <c r="AA184" s="25">
        <f t="shared" si="34"/>
        <v>102389372.09</v>
      </c>
    </row>
    <row r="185" spans="1:27" ht="94.5" hidden="1" customHeight="1" x14ac:dyDescent="0.25">
      <c r="A185" s="24">
        <v>6071</v>
      </c>
      <c r="B185" s="1" t="s">
        <v>306</v>
      </c>
      <c r="C185" s="42" t="s">
        <v>552</v>
      </c>
      <c r="D185" s="25">
        <f>'дод 2'!E284</f>
        <v>0</v>
      </c>
      <c r="E185" s="25">
        <f>'дод 2'!F284</f>
        <v>0</v>
      </c>
      <c r="F185" s="25">
        <f>'дод 2'!G284</f>
        <v>0</v>
      </c>
      <c r="G185" s="25">
        <f>'дод 2'!H284</f>
        <v>0</v>
      </c>
      <c r="H185" s="25">
        <f>'дод 2'!I284</f>
        <v>0</v>
      </c>
      <c r="I185" s="25">
        <f>'дод 2'!J284</f>
        <v>0</v>
      </c>
      <c r="J185" s="25">
        <f>'дод 2'!K284</f>
        <v>0</v>
      </c>
      <c r="K185" s="25">
        <f>'дод 2'!L284</f>
        <v>0</v>
      </c>
      <c r="L185" s="120" t="e">
        <f t="shared" si="32"/>
        <v>#DIV/0!</v>
      </c>
      <c r="M185" s="25">
        <f>'дод 2'!N284</f>
        <v>0</v>
      </c>
      <c r="N185" s="25">
        <f>'дод 2'!O284</f>
        <v>0</v>
      </c>
      <c r="O185" s="25">
        <f>'дод 2'!P284</f>
        <v>0</v>
      </c>
      <c r="P185" s="25">
        <f>'дод 2'!Q284</f>
        <v>0</v>
      </c>
      <c r="Q185" s="25">
        <f>'дод 2'!R284</f>
        <v>0</v>
      </c>
      <c r="R185" s="25">
        <f>'дод 2'!S284</f>
        <v>0</v>
      </c>
      <c r="S185" s="25">
        <f>'дод 2'!T284</f>
        <v>0</v>
      </c>
      <c r="T185" s="25">
        <f>'дод 2'!U284</f>
        <v>0</v>
      </c>
      <c r="U185" s="25">
        <f>'дод 2'!V284</f>
        <v>0</v>
      </c>
      <c r="V185" s="25">
        <f>'дод 2'!W284</f>
        <v>0</v>
      </c>
      <c r="W185" s="25">
        <f>'дод 2'!X284</f>
        <v>0</v>
      </c>
      <c r="X185" s="25">
        <f>'дод 2'!Y284</f>
        <v>0</v>
      </c>
      <c r="Y185" s="25">
        <f>'дод 2'!Z284</f>
        <v>0</v>
      </c>
      <c r="Z185" s="120" t="e">
        <f t="shared" si="33"/>
        <v>#DIV/0!</v>
      </c>
      <c r="AA185" s="25">
        <f t="shared" si="34"/>
        <v>0</v>
      </c>
    </row>
    <row r="186" spans="1:27" ht="83.25" hidden="1" customHeight="1" x14ac:dyDescent="0.25">
      <c r="A186" s="24">
        <v>6083</v>
      </c>
      <c r="B186" s="26" t="s">
        <v>67</v>
      </c>
      <c r="C186" s="42" t="s">
        <v>422</v>
      </c>
      <c r="D186" s="25">
        <f>'дод 2'!E248+'дод 2'!E282</f>
        <v>0</v>
      </c>
      <c r="E186" s="25">
        <f>'дод 2'!F248+'дод 2'!F282</f>
        <v>0</v>
      </c>
      <c r="F186" s="25">
        <f>'дод 2'!G248+'дод 2'!G282</f>
        <v>0</v>
      </c>
      <c r="G186" s="25">
        <f>'дод 2'!H248+'дод 2'!H282</f>
        <v>0</v>
      </c>
      <c r="H186" s="25">
        <f>'дод 2'!I248+'дод 2'!I282</f>
        <v>0</v>
      </c>
      <c r="I186" s="25">
        <f>'дод 2'!J248+'дод 2'!J282</f>
        <v>0</v>
      </c>
      <c r="J186" s="25">
        <f>'дод 2'!K248+'дод 2'!K282</f>
        <v>0</v>
      </c>
      <c r="K186" s="25">
        <f>'дод 2'!L248+'дод 2'!L282</f>
        <v>0</v>
      </c>
      <c r="L186" s="120" t="e">
        <f t="shared" si="32"/>
        <v>#DIV/0!</v>
      </c>
      <c r="M186" s="25">
        <f>'дод 2'!N248+'дод 2'!N282</f>
        <v>0</v>
      </c>
      <c r="N186" s="25">
        <f>'дод 2'!O248+'дод 2'!O282</f>
        <v>0</v>
      </c>
      <c r="O186" s="25">
        <f>'дод 2'!P248+'дод 2'!P282</f>
        <v>0</v>
      </c>
      <c r="P186" s="25">
        <f>'дод 2'!Q248+'дод 2'!Q282</f>
        <v>0</v>
      </c>
      <c r="Q186" s="25">
        <f>'дод 2'!R248+'дод 2'!R282</f>
        <v>0</v>
      </c>
      <c r="R186" s="25">
        <f>'дод 2'!S248+'дод 2'!S282</f>
        <v>0</v>
      </c>
      <c r="S186" s="25">
        <f>'дод 2'!T248+'дод 2'!T282</f>
        <v>0</v>
      </c>
      <c r="T186" s="25">
        <f>'дод 2'!U248+'дод 2'!U282</f>
        <v>0</v>
      </c>
      <c r="U186" s="25">
        <f>'дод 2'!V248+'дод 2'!V282</f>
        <v>0</v>
      </c>
      <c r="V186" s="25">
        <f>'дод 2'!W248+'дод 2'!W282</f>
        <v>0</v>
      </c>
      <c r="W186" s="25">
        <f>'дод 2'!X248+'дод 2'!X282</f>
        <v>0</v>
      </c>
      <c r="X186" s="25">
        <f>'дод 2'!Y248+'дод 2'!Y282</f>
        <v>0</v>
      </c>
      <c r="Y186" s="25">
        <f>'дод 2'!Z248+'дод 2'!Z282</f>
        <v>0</v>
      </c>
      <c r="Z186" s="120" t="e">
        <f t="shared" si="33"/>
        <v>#DIV/0!</v>
      </c>
      <c r="AA186" s="25">
        <f t="shared" si="34"/>
        <v>0</v>
      </c>
    </row>
    <row r="187" spans="1:27" s="31" customFormat="1" ht="126" hidden="1" customHeight="1" x14ac:dyDescent="0.25">
      <c r="A187" s="27"/>
      <c r="B187" s="46"/>
      <c r="C187" s="54" t="s">
        <v>544</v>
      </c>
      <c r="D187" s="30">
        <f>'дод 2'!E249+'дод 2'!E283</f>
        <v>0</v>
      </c>
      <c r="E187" s="30">
        <f>'дод 2'!F249+'дод 2'!F283</f>
        <v>0</v>
      </c>
      <c r="F187" s="30">
        <f>'дод 2'!G249+'дод 2'!G283</f>
        <v>0</v>
      </c>
      <c r="G187" s="30">
        <f>'дод 2'!H249+'дод 2'!H283</f>
        <v>0</v>
      </c>
      <c r="H187" s="30">
        <f>'дод 2'!I249+'дод 2'!I283</f>
        <v>0</v>
      </c>
      <c r="I187" s="30">
        <f>'дод 2'!J249+'дод 2'!J283</f>
        <v>0</v>
      </c>
      <c r="J187" s="30">
        <f>'дод 2'!K249+'дод 2'!K283</f>
        <v>0</v>
      </c>
      <c r="K187" s="30">
        <f>'дод 2'!L249+'дод 2'!L283</f>
        <v>0</v>
      </c>
      <c r="L187" s="120" t="e">
        <f t="shared" si="32"/>
        <v>#DIV/0!</v>
      </c>
      <c r="M187" s="30">
        <f>'дод 2'!N249+'дод 2'!N283</f>
        <v>0</v>
      </c>
      <c r="N187" s="30">
        <f>'дод 2'!O249+'дод 2'!O283</f>
        <v>0</v>
      </c>
      <c r="O187" s="30">
        <f>'дод 2'!P249+'дод 2'!P283</f>
        <v>0</v>
      </c>
      <c r="P187" s="30">
        <f>'дод 2'!Q249+'дод 2'!Q283</f>
        <v>0</v>
      </c>
      <c r="Q187" s="30">
        <f>'дод 2'!R249+'дод 2'!R283</f>
        <v>0</v>
      </c>
      <c r="R187" s="30">
        <f>'дод 2'!S249+'дод 2'!S283</f>
        <v>0</v>
      </c>
      <c r="S187" s="30">
        <f>'дод 2'!T249+'дод 2'!T283</f>
        <v>0</v>
      </c>
      <c r="T187" s="30">
        <f>'дод 2'!U249+'дод 2'!U283</f>
        <v>0</v>
      </c>
      <c r="U187" s="30">
        <f>'дод 2'!V249+'дод 2'!V283</f>
        <v>0</v>
      </c>
      <c r="V187" s="30">
        <f>'дод 2'!W249+'дод 2'!W283</f>
        <v>0</v>
      </c>
      <c r="W187" s="30">
        <f>'дод 2'!X249+'дод 2'!X283</f>
        <v>0</v>
      </c>
      <c r="X187" s="30">
        <f>'дод 2'!Y249+'дод 2'!Y283</f>
        <v>0</v>
      </c>
      <c r="Y187" s="30">
        <f>'дод 2'!Z249+'дод 2'!Z283</f>
        <v>0</v>
      </c>
      <c r="Z187" s="120" t="e">
        <f t="shared" si="33"/>
        <v>#DIV/0!</v>
      </c>
      <c r="AA187" s="25">
        <f t="shared" si="34"/>
        <v>0</v>
      </c>
    </row>
    <row r="188" spans="1:27" s="31" customFormat="1" ht="66" customHeight="1" x14ac:dyDescent="0.25">
      <c r="A188" s="24" t="s">
        <v>132</v>
      </c>
      <c r="B188" s="3" t="s">
        <v>67</v>
      </c>
      <c r="C188" s="40" t="s">
        <v>564</v>
      </c>
      <c r="D188" s="25">
        <f>'дод 2'!E347</f>
        <v>0</v>
      </c>
      <c r="E188" s="25">
        <f>'дод 2'!F347</f>
        <v>0</v>
      </c>
      <c r="F188" s="25">
        <f>'дод 2'!G347</f>
        <v>0</v>
      </c>
      <c r="G188" s="25">
        <f>'дод 2'!H347</f>
        <v>0</v>
      </c>
      <c r="H188" s="25">
        <f>'дод 2'!I347</f>
        <v>0</v>
      </c>
      <c r="I188" s="25">
        <f>'дод 2'!J347</f>
        <v>0</v>
      </c>
      <c r="J188" s="25">
        <f>'дод 2'!K347</f>
        <v>0</v>
      </c>
      <c r="K188" s="25">
        <f>'дод 2'!L347</f>
        <v>0</v>
      </c>
      <c r="L188" s="120"/>
      <c r="M188" s="25">
        <f>'дод 2'!N347</f>
        <v>412200</v>
      </c>
      <c r="N188" s="25">
        <f>'дод 2'!O347</f>
        <v>0</v>
      </c>
      <c r="O188" s="25">
        <f>'дод 2'!P347</f>
        <v>0</v>
      </c>
      <c r="P188" s="25">
        <f>'дод 2'!Q347</f>
        <v>0</v>
      </c>
      <c r="Q188" s="25">
        <f>'дод 2'!R347</f>
        <v>0</v>
      </c>
      <c r="R188" s="25">
        <f>'дод 2'!S347</f>
        <v>412200</v>
      </c>
      <c r="S188" s="25">
        <f>'дод 2'!T347</f>
        <v>412200</v>
      </c>
      <c r="T188" s="25">
        <f>'дод 2'!U347</f>
        <v>63283.22</v>
      </c>
      <c r="U188" s="25">
        <f>'дод 2'!V347</f>
        <v>0</v>
      </c>
      <c r="V188" s="25">
        <f>'дод 2'!W347</f>
        <v>63283.22</v>
      </c>
      <c r="W188" s="25">
        <f>'дод 2'!X347</f>
        <v>0</v>
      </c>
      <c r="X188" s="25">
        <f>'дод 2'!Y347</f>
        <v>0</v>
      </c>
      <c r="Y188" s="25">
        <f>'дод 2'!Z347</f>
        <v>0</v>
      </c>
      <c r="Z188" s="120">
        <f t="shared" si="33"/>
        <v>15.352552159146047</v>
      </c>
      <c r="AA188" s="25">
        <f t="shared" si="34"/>
        <v>63283.22</v>
      </c>
    </row>
    <row r="189" spans="1:27" ht="32.25" customHeight="1" x14ac:dyDescent="0.25">
      <c r="A189" s="24" t="s">
        <v>138</v>
      </c>
      <c r="B189" s="3" t="s">
        <v>306</v>
      </c>
      <c r="C189" s="40" t="s">
        <v>139</v>
      </c>
      <c r="D189" s="25">
        <f>'дод 2'!E285+'дод 2'!E367+'дод 2'!E398</f>
        <v>8506415.379999999</v>
      </c>
      <c r="E189" s="25">
        <f>'дод 2'!F285+'дод 2'!F367+'дод 2'!F398</f>
        <v>7586415.3799999999</v>
      </c>
      <c r="F189" s="25">
        <f>'дод 2'!G285+'дод 2'!G367+'дод 2'!G398</f>
        <v>0</v>
      </c>
      <c r="G189" s="25">
        <f>'дод 2'!H285+'дод 2'!H367+'дод 2'!H398</f>
        <v>5000</v>
      </c>
      <c r="H189" s="25">
        <f>'дод 2'!I285+'дод 2'!I367+'дод 2'!I398</f>
        <v>920000</v>
      </c>
      <c r="I189" s="25">
        <f>'дод 2'!J285+'дод 2'!J367+'дод 2'!J398</f>
        <v>987830.64</v>
      </c>
      <c r="J189" s="25">
        <f>'дод 2'!K285+'дод 2'!K367+'дод 2'!K398</f>
        <v>0</v>
      </c>
      <c r="K189" s="25">
        <f>'дод 2'!L285+'дод 2'!L367+'дод 2'!L398</f>
        <v>210.38</v>
      </c>
      <c r="L189" s="120">
        <f t="shared" si="32"/>
        <v>11.612772194531606</v>
      </c>
      <c r="M189" s="25">
        <f>'дод 2'!N285+'дод 2'!N367+'дод 2'!N398</f>
        <v>0</v>
      </c>
      <c r="N189" s="25">
        <f>'дод 2'!O285+'дод 2'!O367+'дод 2'!O398</f>
        <v>0</v>
      </c>
      <c r="O189" s="25">
        <f>'дод 2'!P285+'дод 2'!P367+'дод 2'!P398</f>
        <v>0</v>
      </c>
      <c r="P189" s="25">
        <f>'дод 2'!Q285+'дод 2'!Q367+'дод 2'!Q398</f>
        <v>0</v>
      </c>
      <c r="Q189" s="25">
        <f>'дод 2'!R285+'дод 2'!R367+'дод 2'!R398</f>
        <v>0</v>
      </c>
      <c r="R189" s="25">
        <f>'дод 2'!S285+'дод 2'!S367+'дод 2'!S398</f>
        <v>0</v>
      </c>
      <c r="S189" s="25">
        <f>'дод 2'!T285+'дод 2'!T367+'дод 2'!T398</f>
        <v>8506415.379999999</v>
      </c>
      <c r="T189" s="25">
        <f>'дод 2'!U285+'дод 2'!U367+'дод 2'!U398</f>
        <v>116516.28</v>
      </c>
      <c r="U189" s="25">
        <f>'дод 2'!V285+'дод 2'!V367+'дод 2'!V398</f>
        <v>0</v>
      </c>
      <c r="V189" s="25">
        <f>'дод 2'!W285+'дод 2'!W367+'дод 2'!W398</f>
        <v>6553.78</v>
      </c>
      <c r="W189" s="25">
        <f>'дод 2'!X285+'дод 2'!X367+'дод 2'!X398</f>
        <v>0</v>
      </c>
      <c r="X189" s="25">
        <f>'дод 2'!Y285+'дод 2'!Y367+'дод 2'!Y398</f>
        <v>0</v>
      </c>
      <c r="Y189" s="25">
        <f>'дод 2'!Z285+'дод 2'!Z367+'дод 2'!Z398</f>
        <v>109962.5</v>
      </c>
      <c r="Z189" s="120"/>
      <c r="AA189" s="25">
        <f t="shared" si="34"/>
        <v>1104346.92</v>
      </c>
    </row>
    <row r="190" spans="1:27" s="19" customFormat="1" ht="21.75" customHeight="1" x14ac:dyDescent="0.25">
      <c r="A190" s="32" t="s">
        <v>133</v>
      </c>
      <c r="B190" s="49"/>
      <c r="C190" s="50" t="s">
        <v>623</v>
      </c>
      <c r="D190" s="23">
        <f>D200+D202+D229+D242+D244+D260</f>
        <v>111735402</v>
      </c>
      <c r="E190" s="23">
        <f t="shared" ref="E190:Y190" si="42">E200+E202+E229+E242+E244+E260</f>
        <v>17995402</v>
      </c>
      <c r="F190" s="23">
        <f t="shared" si="42"/>
        <v>0</v>
      </c>
      <c r="G190" s="23">
        <f t="shared" si="42"/>
        <v>0</v>
      </c>
      <c r="H190" s="23">
        <f t="shared" si="42"/>
        <v>93740000</v>
      </c>
      <c r="I190" s="23">
        <f t="shared" si="42"/>
        <v>39882029.780000001</v>
      </c>
      <c r="J190" s="23">
        <f t="shared" si="42"/>
        <v>0</v>
      </c>
      <c r="K190" s="23">
        <f t="shared" si="42"/>
        <v>0</v>
      </c>
      <c r="L190" s="123">
        <f t="shared" si="32"/>
        <v>35.693279897091166</v>
      </c>
      <c r="M190" s="23">
        <f t="shared" si="42"/>
        <v>453265361.00999999</v>
      </c>
      <c r="N190" s="23">
        <f t="shared" si="42"/>
        <v>385705545</v>
      </c>
      <c r="O190" s="23">
        <f t="shared" si="42"/>
        <v>171189.35</v>
      </c>
      <c r="P190" s="23">
        <f t="shared" si="42"/>
        <v>0</v>
      </c>
      <c r="Q190" s="23">
        <f t="shared" ca="1" si="42"/>
        <v>111735402</v>
      </c>
      <c r="R190" s="23">
        <f t="shared" si="42"/>
        <v>453094171.65999997</v>
      </c>
      <c r="S190" s="23">
        <f t="shared" si="42"/>
        <v>565000763.00999999</v>
      </c>
      <c r="T190" s="23">
        <f t="shared" si="42"/>
        <v>37450674.299999997</v>
      </c>
      <c r="U190" s="23">
        <f t="shared" si="42"/>
        <v>26324089.259999998</v>
      </c>
      <c r="V190" s="23">
        <f t="shared" si="42"/>
        <v>10000</v>
      </c>
      <c r="W190" s="23">
        <f t="shared" si="42"/>
        <v>0</v>
      </c>
      <c r="X190" s="23">
        <f t="shared" si="42"/>
        <v>0</v>
      </c>
      <c r="Y190" s="23">
        <f t="shared" si="42"/>
        <v>37440674.299999997</v>
      </c>
      <c r="Z190" s="123">
        <f t="shared" si="33"/>
        <v>8.2624170125309337</v>
      </c>
      <c r="AA190" s="23">
        <f t="shared" si="34"/>
        <v>77332704.079999998</v>
      </c>
    </row>
    <row r="191" spans="1:27" s="37" customFormat="1" ht="47.25" hidden="1" customHeight="1" x14ac:dyDescent="0.25">
      <c r="A191" s="34"/>
      <c r="B191" s="51"/>
      <c r="C191" s="35" t="s">
        <v>382</v>
      </c>
      <c r="D191" s="36">
        <f>D203</f>
        <v>0</v>
      </c>
      <c r="E191" s="36">
        <f t="shared" ref="E191:Y191" si="43">E203</f>
        <v>0</v>
      </c>
      <c r="F191" s="36">
        <f t="shared" si="43"/>
        <v>0</v>
      </c>
      <c r="G191" s="36">
        <f t="shared" si="43"/>
        <v>0</v>
      </c>
      <c r="H191" s="36">
        <f t="shared" si="43"/>
        <v>0</v>
      </c>
      <c r="I191" s="36">
        <f t="shared" si="43"/>
        <v>0</v>
      </c>
      <c r="J191" s="36">
        <f t="shared" si="43"/>
        <v>0</v>
      </c>
      <c r="K191" s="36">
        <f t="shared" si="43"/>
        <v>0</v>
      </c>
      <c r="L191" s="120" t="e">
        <f t="shared" si="32"/>
        <v>#DIV/0!</v>
      </c>
      <c r="M191" s="36">
        <f t="shared" si="43"/>
        <v>0</v>
      </c>
      <c r="N191" s="36">
        <f t="shared" si="43"/>
        <v>0</v>
      </c>
      <c r="O191" s="36">
        <f t="shared" si="43"/>
        <v>0</v>
      </c>
      <c r="P191" s="36">
        <f t="shared" si="43"/>
        <v>0</v>
      </c>
      <c r="Q191" s="36">
        <f t="shared" si="43"/>
        <v>0</v>
      </c>
      <c r="R191" s="36">
        <f t="shared" si="43"/>
        <v>0</v>
      </c>
      <c r="S191" s="36">
        <f t="shared" si="43"/>
        <v>0</v>
      </c>
      <c r="T191" s="36">
        <f t="shared" si="43"/>
        <v>0</v>
      </c>
      <c r="U191" s="36">
        <f t="shared" si="43"/>
        <v>0</v>
      </c>
      <c r="V191" s="36">
        <f t="shared" si="43"/>
        <v>0</v>
      </c>
      <c r="W191" s="36">
        <f t="shared" si="43"/>
        <v>0</v>
      </c>
      <c r="X191" s="36">
        <f t="shared" si="43"/>
        <v>0</v>
      </c>
      <c r="Y191" s="36">
        <f t="shared" si="43"/>
        <v>0</v>
      </c>
      <c r="Z191" s="120" t="e">
        <f t="shared" si="33"/>
        <v>#DIV/0!</v>
      </c>
      <c r="AA191" s="25">
        <f t="shared" si="34"/>
        <v>0</v>
      </c>
    </row>
    <row r="192" spans="1:27" s="37" customFormat="1" ht="15.75" hidden="1" customHeight="1" x14ac:dyDescent="0.25">
      <c r="A192" s="34"/>
      <c r="B192" s="51"/>
      <c r="C192" s="8" t="s">
        <v>388</v>
      </c>
      <c r="D192" s="36">
        <f>D204</f>
        <v>0</v>
      </c>
      <c r="E192" s="36">
        <f t="shared" ref="E192:Y192" si="44">E204</f>
        <v>0</v>
      </c>
      <c r="F192" s="36">
        <f t="shared" si="44"/>
        <v>0</v>
      </c>
      <c r="G192" s="36">
        <f t="shared" si="44"/>
        <v>0</v>
      </c>
      <c r="H192" s="36">
        <f t="shared" si="44"/>
        <v>0</v>
      </c>
      <c r="I192" s="36">
        <f t="shared" si="44"/>
        <v>0</v>
      </c>
      <c r="J192" s="36">
        <f t="shared" si="44"/>
        <v>0</v>
      </c>
      <c r="K192" s="36">
        <f t="shared" si="44"/>
        <v>0</v>
      </c>
      <c r="L192" s="120" t="e">
        <f t="shared" si="32"/>
        <v>#DIV/0!</v>
      </c>
      <c r="M192" s="36">
        <f t="shared" si="44"/>
        <v>0</v>
      </c>
      <c r="N192" s="36">
        <f t="shared" si="44"/>
        <v>0</v>
      </c>
      <c r="O192" s="36">
        <f t="shared" si="44"/>
        <v>0</v>
      </c>
      <c r="P192" s="36">
        <f t="shared" si="44"/>
        <v>0</v>
      </c>
      <c r="Q192" s="36">
        <f t="shared" si="44"/>
        <v>0</v>
      </c>
      <c r="R192" s="36">
        <f t="shared" si="44"/>
        <v>0</v>
      </c>
      <c r="S192" s="36">
        <f t="shared" si="44"/>
        <v>0</v>
      </c>
      <c r="T192" s="36">
        <f t="shared" si="44"/>
        <v>0</v>
      </c>
      <c r="U192" s="36">
        <f t="shared" si="44"/>
        <v>0</v>
      </c>
      <c r="V192" s="36">
        <f t="shared" si="44"/>
        <v>0</v>
      </c>
      <c r="W192" s="36">
        <f t="shared" si="44"/>
        <v>0</v>
      </c>
      <c r="X192" s="36">
        <f t="shared" si="44"/>
        <v>0</v>
      </c>
      <c r="Y192" s="36">
        <f t="shared" si="44"/>
        <v>0</v>
      </c>
      <c r="Z192" s="120" t="e">
        <f t="shared" si="33"/>
        <v>#DIV/0!</v>
      </c>
      <c r="AA192" s="25">
        <f t="shared" si="34"/>
        <v>0</v>
      </c>
    </row>
    <row r="193" spans="1:27" s="37" customFormat="1" ht="101.25" hidden="1" customHeight="1" x14ac:dyDescent="0.25">
      <c r="A193" s="34"/>
      <c r="B193" s="51"/>
      <c r="C193" s="8" t="str">
        <f>'дод 2'!D269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93" s="8">
        <f>'дод 2'!E269</f>
        <v>0</v>
      </c>
      <c r="E193" s="8">
        <f>'дод 2'!F269</f>
        <v>0</v>
      </c>
      <c r="F193" s="8">
        <f>'дод 2'!G269</f>
        <v>0</v>
      </c>
      <c r="G193" s="8">
        <f>'дод 2'!H269</f>
        <v>0</v>
      </c>
      <c r="H193" s="8">
        <f>'дод 2'!I269</f>
        <v>0</v>
      </c>
      <c r="I193" s="8">
        <f>'дод 2'!J269</f>
        <v>0</v>
      </c>
      <c r="J193" s="8">
        <f>'дод 2'!K269</f>
        <v>0</v>
      </c>
      <c r="K193" s="8">
        <f>'дод 2'!L269</f>
        <v>0</v>
      </c>
      <c r="L193" s="120" t="e">
        <f t="shared" si="32"/>
        <v>#DIV/0!</v>
      </c>
      <c r="M193" s="8">
        <f>'дод 2'!N269</f>
        <v>0</v>
      </c>
      <c r="N193" s="8">
        <f>'дод 2'!O269</f>
        <v>0</v>
      </c>
      <c r="O193" s="8">
        <f>'дод 2'!P269</f>
        <v>0</v>
      </c>
      <c r="P193" s="8">
        <f>'дод 2'!Q269</f>
        <v>0</v>
      </c>
      <c r="Q193" s="8">
        <f>'дод 2'!R269</f>
        <v>0</v>
      </c>
      <c r="R193" s="8">
        <f>'дод 2'!S269</f>
        <v>0</v>
      </c>
      <c r="S193" s="8">
        <f>'дод 2'!T269</f>
        <v>0</v>
      </c>
      <c r="T193" s="8">
        <f>'дод 2'!U269</f>
        <v>0</v>
      </c>
      <c r="U193" s="8">
        <f>'дод 2'!V269</f>
        <v>0</v>
      </c>
      <c r="V193" s="8">
        <f>'дод 2'!W269</f>
        <v>0</v>
      </c>
      <c r="W193" s="8">
        <f>'дод 2'!X269</f>
        <v>0</v>
      </c>
      <c r="X193" s="8">
        <f>'дод 2'!Y269</f>
        <v>0</v>
      </c>
      <c r="Y193" s="8">
        <f>'дод 2'!Z269</f>
        <v>0</v>
      </c>
      <c r="Z193" s="120" t="e">
        <f t="shared" si="33"/>
        <v>#DIV/0!</v>
      </c>
      <c r="AA193" s="25">
        <f t="shared" si="34"/>
        <v>0</v>
      </c>
    </row>
    <row r="194" spans="1:27" s="37" customFormat="1" ht="56.25" hidden="1" customHeight="1" x14ac:dyDescent="0.25">
      <c r="A194" s="34"/>
      <c r="B194" s="51"/>
      <c r="C194" s="8" t="str">
        <f>C226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194" s="8">
        <f>D226</f>
        <v>0</v>
      </c>
      <c r="E194" s="8">
        <f t="shared" ref="E194:Y194" si="45">E226</f>
        <v>0</v>
      </c>
      <c r="F194" s="8">
        <f t="shared" si="45"/>
        <v>0</v>
      </c>
      <c r="G194" s="8">
        <f t="shared" si="45"/>
        <v>0</v>
      </c>
      <c r="H194" s="8">
        <f t="shared" si="45"/>
        <v>0</v>
      </c>
      <c r="I194" s="8">
        <f t="shared" si="45"/>
        <v>0</v>
      </c>
      <c r="J194" s="8">
        <f t="shared" si="45"/>
        <v>0</v>
      </c>
      <c r="K194" s="8">
        <f t="shared" si="45"/>
        <v>0</v>
      </c>
      <c r="L194" s="120" t="e">
        <f t="shared" si="32"/>
        <v>#DIV/0!</v>
      </c>
      <c r="M194" s="8">
        <f t="shared" si="45"/>
        <v>0</v>
      </c>
      <c r="N194" s="8">
        <f t="shared" si="45"/>
        <v>0</v>
      </c>
      <c r="O194" s="8">
        <f t="shared" si="45"/>
        <v>0</v>
      </c>
      <c r="P194" s="8">
        <f t="shared" si="45"/>
        <v>0</v>
      </c>
      <c r="Q194" s="8">
        <f t="shared" si="45"/>
        <v>0</v>
      </c>
      <c r="R194" s="8">
        <f t="shared" si="45"/>
        <v>0</v>
      </c>
      <c r="S194" s="8">
        <f t="shared" si="45"/>
        <v>0</v>
      </c>
      <c r="T194" s="8">
        <f t="shared" si="45"/>
        <v>0</v>
      </c>
      <c r="U194" s="8">
        <f t="shared" si="45"/>
        <v>0</v>
      </c>
      <c r="V194" s="8">
        <f t="shared" si="45"/>
        <v>0</v>
      </c>
      <c r="W194" s="8">
        <f t="shared" si="45"/>
        <v>0</v>
      </c>
      <c r="X194" s="8">
        <f t="shared" si="45"/>
        <v>0</v>
      </c>
      <c r="Y194" s="8">
        <f t="shared" si="45"/>
        <v>0</v>
      </c>
      <c r="Z194" s="120" t="e">
        <f t="shared" si="33"/>
        <v>#DIV/0!</v>
      </c>
      <c r="AA194" s="25">
        <f t="shared" si="34"/>
        <v>0</v>
      </c>
    </row>
    <row r="195" spans="1:27" s="37" customFormat="1" ht="92.25" customHeight="1" x14ac:dyDescent="0.25">
      <c r="A195" s="34"/>
      <c r="B195" s="51"/>
      <c r="C195" s="56" t="s">
        <v>686</v>
      </c>
      <c r="D195" s="36">
        <f>D205</f>
        <v>0</v>
      </c>
      <c r="E195" s="36">
        <f t="shared" ref="E195:Y195" si="46">E205</f>
        <v>0</v>
      </c>
      <c r="F195" s="36">
        <f t="shared" si="46"/>
        <v>0</v>
      </c>
      <c r="G195" s="36">
        <f t="shared" si="46"/>
        <v>0</v>
      </c>
      <c r="H195" s="36">
        <f t="shared" si="46"/>
        <v>0</v>
      </c>
      <c r="I195" s="36">
        <f t="shared" si="46"/>
        <v>0</v>
      </c>
      <c r="J195" s="36">
        <f t="shared" si="46"/>
        <v>0</v>
      </c>
      <c r="K195" s="36">
        <f t="shared" si="46"/>
        <v>0</v>
      </c>
      <c r="L195" s="120"/>
      <c r="M195" s="36">
        <f t="shared" si="46"/>
        <v>67150626.659999996</v>
      </c>
      <c r="N195" s="36">
        <f t="shared" si="46"/>
        <v>0</v>
      </c>
      <c r="O195" s="36">
        <f t="shared" si="46"/>
        <v>0</v>
      </c>
      <c r="P195" s="36">
        <f t="shared" si="46"/>
        <v>0</v>
      </c>
      <c r="Q195" s="36">
        <f t="shared" si="46"/>
        <v>0</v>
      </c>
      <c r="R195" s="36">
        <f t="shared" si="46"/>
        <v>67150626.659999996</v>
      </c>
      <c r="S195" s="36">
        <f t="shared" si="46"/>
        <v>67150626.659999996</v>
      </c>
      <c r="T195" s="36">
        <f t="shared" si="46"/>
        <v>11116585.039999999</v>
      </c>
      <c r="U195" s="36">
        <f t="shared" si="46"/>
        <v>0</v>
      </c>
      <c r="V195" s="36">
        <f t="shared" si="46"/>
        <v>0</v>
      </c>
      <c r="W195" s="36">
        <f t="shared" si="46"/>
        <v>0</v>
      </c>
      <c r="X195" s="36">
        <f t="shared" si="46"/>
        <v>0</v>
      </c>
      <c r="Y195" s="36">
        <f t="shared" si="46"/>
        <v>11116585.039999999</v>
      </c>
      <c r="Z195" s="124">
        <f t="shared" si="33"/>
        <v>16.554700369791007</v>
      </c>
      <c r="AA195" s="36">
        <f t="shared" si="34"/>
        <v>11116585.039999999</v>
      </c>
    </row>
    <row r="196" spans="1:27" s="37" customFormat="1" ht="18" customHeight="1" x14ac:dyDescent="0.25">
      <c r="A196" s="34"/>
      <c r="B196" s="34"/>
      <c r="C196" s="8" t="s">
        <v>407</v>
      </c>
      <c r="D196" s="36">
        <f>D245</f>
        <v>0</v>
      </c>
      <c r="E196" s="36">
        <f t="shared" ref="E196:Y196" si="47">E245</f>
        <v>0</v>
      </c>
      <c r="F196" s="36">
        <f t="shared" si="47"/>
        <v>0</v>
      </c>
      <c r="G196" s="36">
        <f t="shared" si="47"/>
        <v>0</v>
      </c>
      <c r="H196" s="36">
        <f t="shared" si="47"/>
        <v>0</v>
      </c>
      <c r="I196" s="36">
        <f t="shared" si="47"/>
        <v>0</v>
      </c>
      <c r="J196" s="36">
        <f t="shared" si="47"/>
        <v>0</v>
      </c>
      <c r="K196" s="36">
        <f t="shared" si="47"/>
        <v>0</v>
      </c>
      <c r="L196" s="120"/>
      <c r="M196" s="36">
        <f t="shared" si="47"/>
        <v>61868709</v>
      </c>
      <c r="N196" s="36">
        <f t="shared" si="47"/>
        <v>61868709</v>
      </c>
      <c r="O196" s="36">
        <f t="shared" si="47"/>
        <v>0</v>
      </c>
      <c r="P196" s="36">
        <f t="shared" si="47"/>
        <v>0</v>
      </c>
      <c r="Q196" s="36">
        <f t="shared" si="47"/>
        <v>0</v>
      </c>
      <c r="R196" s="36">
        <f t="shared" si="47"/>
        <v>61868709</v>
      </c>
      <c r="S196" s="36">
        <f t="shared" si="47"/>
        <v>61868709</v>
      </c>
      <c r="T196" s="36">
        <f t="shared" si="47"/>
        <v>0</v>
      </c>
      <c r="U196" s="36">
        <f t="shared" si="47"/>
        <v>0</v>
      </c>
      <c r="V196" s="36">
        <f t="shared" si="47"/>
        <v>0</v>
      </c>
      <c r="W196" s="36">
        <f t="shared" si="47"/>
        <v>0</v>
      </c>
      <c r="X196" s="36">
        <f t="shared" si="47"/>
        <v>0</v>
      </c>
      <c r="Y196" s="36">
        <f t="shared" si="47"/>
        <v>0</v>
      </c>
      <c r="Z196" s="120">
        <f t="shared" si="33"/>
        <v>0</v>
      </c>
      <c r="AA196" s="36">
        <f t="shared" si="34"/>
        <v>0</v>
      </c>
    </row>
    <row r="197" spans="1:27" s="37" customFormat="1" ht="18" customHeight="1" x14ac:dyDescent="0.25">
      <c r="A197" s="34"/>
      <c r="B197" s="34"/>
      <c r="C197" s="8" t="str">
        <f>C247</f>
        <v>грантів (дарунків)</v>
      </c>
      <c r="D197" s="36">
        <f>D247</f>
        <v>0</v>
      </c>
      <c r="E197" s="36">
        <f t="shared" ref="E197:Y197" si="48">E247</f>
        <v>0</v>
      </c>
      <c r="F197" s="36">
        <f t="shared" si="48"/>
        <v>0</v>
      </c>
      <c r="G197" s="36">
        <f t="shared" si="48"/>
        <v>0</v>
      </c>
      <c r="H197" s="36">
        <f t="shared" si="48"/>
        <v>0</v>
      </c>
      <c r="I197" s="36">
        <f t="shared" si="48"/>
        <v>0</v>
      </c>
      <c r="J197" s="36">
        <f t="shared" si="48"/>
        <v>0</v>
      </c>
      <c r="K197" s="36">
        <f t="shared" si="48"/>
        <v>0</v>
      </c>
      <c r="L197" s="120"/>
      <c r="M197" s="36">
        <f t="shared" si="48"/>
        <v>299189.34999999998</v>
      </c>
      <c r="N197" s="36">
        <f t="shared" si="48"/>
        <v>0</v>
      </c>
      <c r="O197" s="36">
        <f t="shared" si="48"/>
        <v>61189.35</v>
      </c>
      <c r="P197" s="36">
        <f t="shared" si="48"/>
        <v>0</v>
      </c>
      <c r="Q197" s="36">
        <f t="shared" si="48"/>
        <v>0</v>
      </c>
      <c r="R197" s="36">
        <f t="shared" si="48"/>
        <v>238000</v>
      </c>
      <c r="S197" s="36">
        <f t="shared" si="48"/>
        <v>299189.34999999998</v>
      </c>
      <c r="T197" s="36">
        <f t="shared" si="48"/>
        <v>0</v>
      </c>
      <c r="U197" s="36">
        <f t="shared" si="48"/>
        <v>0</v>
      </c>
      <c r="V197" s="36">
        <f t="shared" si="48"/>
        <v>0</v>
      </c>
      <c r="W197" s="36">
        <f t="shared" si="48"/>
        <v>0</v>
      </c>
      <c r="X197" s="36">
        <f t="shared" si="48"/>
        <v>0</v>
      </c>
      <c r="Y197" s="36">
        <f t="shared" si="48"/>
        <v>0</v>
      </c>
      <c r="Z197" s="120">
        <f t="shared" si="33"/>
        <v>0</v>
      </c>
      <c r="AA197" s="36">
        <f t="shared" si="34"/>
        <v>0</v>
      </c>
    </row>
    <row r="198" spans="1:27" s="37" customFormat="1" ht="47.25" x14ac:dyDescent="0.25">
      <c r="A198" s="34"/>
      <c r="B198" s="34"/>
      <c r="C198" s="8" t="str">
        <f>C246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198" s="36">
        <f>D246</f>
        <v>0</v>
      </c>
      <c r="E198" s="36">
        <f t="shared" ref="E198:Y198" si="49">E246</f>
        <v>0</v>
      </c>
      <c r="F198" s="36">
        <f t="shared" si="49"/>
        <v>0</v>
      </c>
      <c r="G198" s="36">
        <f t="shared" si="49"/>
        <v>0</v>
      </c>
      <c r="H198" s="36">
        <f t="shared" si="49"/>
        <v>0</v>
      </c>
      <c r="I198" s="36">
        <f t="shared" si="49"/>
        <v>0</v>
      </c>
      <c r="J198" s="36">
        <f t="shared" si="49"/>
        <v>0</v>
      </c>
      <c r="K198" s="36">
        <f t="shared" si="49"/>
        <v>0</v>
      </c>
      <c r="L198" s="120"/>
      <c r="M198" s="36">
        <f t="shared" si="49"/>
        <v>42207900</v>
      </c>
      <c r="N198" s="36">
        <f t="shared" si="49"/>
        <v>42207900</v>
      </c>
      <c r="O198" s="36">
        <f t="shared" si="49"/>
        <v>0</v>
      </c>
      <c r="P198" s="36">
        <f t="shared" si="49"/>
        <v>0</v>
      </c>
      <c r="Q198" s="36">
        <f t="shared" si="49"/>
        <v>0</v>
      </c>
      <c r="R198" s="36">
        <f t="shared" si="49"/>
        <v>42207900</v>
      </c>
      <c r="S198" s="36">
        <f t="shared" si="49"/>
        <v>42207900</v>
      </c>
      <c r="T198" s="36">
        <f t="shared" si="49"/>
        <v>0</v>
      </c>
      <c r="U198" s="36">
        <f t="shared" si="49"/>
        <v>0</v>
      </c>
      <c r="V198" s="36">
        <f t="shared" si="49"/>
        <v>0</v>
      </c>
      <c r="W198" s="36">
        <f t="shared" si="49"/>
        <v>0</v>
      </c>
      <c r="X198" s="36">
        <f t="shared" si="49"/>
        <v>0</v>
      </c>
      <c r="Y198" s="36">
        <f t="shared" si="49"/>
        <v>0</v>
      </c>
      <c r="Z198" s="120">
        <f t="shared" si="33"/>
        <v>0</v>
      </c>
      <c r="AA198" s="36">
        <f t="shared" si="34"/>
        <v>0</v>
      </c>
    </row>
    <row r="199" spans="1:27" s="37" customFormat="1" hidden="1" x14ac:dyDescent="0.25">
      <c r="A199" s="34"/>
      <c r="B199" s="34"/>
      <c r="C199" s="8" t="str">
        <f>C261</f>
        <v>грантів (дарунків)</v>
      </c>
      <c r="D199" s="36">
        <f>D261</f>
        <v>0</v>
      </c>
      <c r="E199" s="36">
        <f t="shared" ref="E199:Y199" si="50">E261</f>
        <v>0</v>
      </c>
      <c r="F199" s="36">
        <f t="shared" si="50"/>
        <v>0</v>
      </c>
      <c r="G199" s="36">
        <f t="shared" si="50"/>
        <v>0</v>
      </c>
      <c r="H199" s="36">
        <f t="shared" si="50"/>
        <v>0</v>
      </c>
      <c r="I199" s="36">
        <f t="shared" si="50"/>
        <v>0</v>
      </c>
      <c r="J199" s="36">
        <f t="shared" si="50"/>
        <v>0</v>
      </c>
      <c r="K199" s="36">
        <f t="shared" si="50"/>
        <v>0</v>
      </c>
      <c r="L199" s="120" t="e">
        <f t="shared" si="32"/>
        <v>#DIV/0!</v>
      </c>
      <c r="M199" s="36">
        <f t="shared" si="50"/>
        <v>0</v>
      </c>
      <c r="N199" s="36">
        <f t="shared" si="50"/>
        <v>0</v>
      </c>
      <c r="O199" s="36">
        <f t="shared" si="50"/>
        <v>0</v>
      </c>
      <c r="P199" s="36">
        <f t="shared" si="50"/>
        <v>0</v>
      </c>
      <c r="Q199" s="36">
        <f t="shared" si="50"/>
        <v>0</v>
      </c>
      <c r="R199" s="36">
        <f t="shared" si="50"/>
        <v>0</v>
      </c>
      <c r="S199" s="36">
        <f t="shared" si="50"/>
        <v>0</v>
      </c>
      <c r="T199" s="36">
        <f t="shared" si="50"/>
        <v>0</v>
      </c>
      <c r="U199" s="36">
        <f t="shared" si="50"/>
        <v>0</v>
      </c>
      <c r="V199" s="36">
        <f t="shared" si="50"/>
        <v>0</v>
      </c>
      <c r="W199" s="36">
        <f t="shared" si="50"/>
        <v>0</v>
      </c>
      <c r="X199" s="36">
        <f t="shared" si="50"/>
        <v>0</v>
      </c>
      <c r="Y199" s="36">
        <f t="shared" si="50"/>
        <v>0</v>
      </c>
      <c r="Z199" s="120" t="e">
        <f t="shared" si="33"/>
        <v>#DIV/0!</v>
      </c>
      <c r="AA199" s="25">
        <f t="shared" si="34"/>
        <v>0</v>
      </c>
    </row>
    <row r="200" spans="1:27" s="19" customFormat="1" x14ac:dyDescent="0.25">
      <c r="A200" s="32" t="s">
        <v>140</v>
      </c>
      <c r="B200" s="49"/>
      <c r="C200" s="50" t="s">
        <v>141</v>
      </c>
      <c r="D200" s="23">
        <f t="shared" ref="D200:Y200" si="51">D201</f>
        <v>600000</v>
      </c>
      <c r="E200" s="23">
        <f t="shared" si="51"/>
        <v>600000</v>
      </c>
      <c r="F200" s="23">
        <f t="shared" si="51"/>
        <v>0</v>
      </c>
      <c r="G200" s="23">
        <f t="shared" si="51"/>
        <v>0</v>
      </c>
      <c r="H200" s="23">
        <f t="shared" si="51"/>
        <v>0</v>
      </c>
      <c r="I200" s="23">
        <f t="shared" si="51"/>
        <v>4600</v>
      </c>
      <c r="J200" s="23">
        <f t="shared" si="51"/>
        <v>0</v>
      </c>
      <c r="K200" s="23">
        <f t="shared" si="51"/>
        <v>0</v>
      </c>
      <c r="L200" s="123">
        <f t="shared" si="32"/>
        <v>0.76666666666666661</v>
      </c>
      <c r="M200" s="23">
        <f t="shared" si="51"/>
        <v>0</v>
      </c>
      <c r="N200" s="23">
        <f t="shared" si="51"/>
        <v>0</v>
      </c>
      <c r="O200" s="23">
        <f t="shared" si="51"/>
        <v>0</v>
      </c>
      <c r="P200" s="23">
        <f t="shared" si="51"/>
        <v>0</v>
      </c>
      <c r="Q200" s="23">
        <f t="shared" si="51"/>
        <v>0</v>
      </c>
      <c r="R200" s="23">
        <f t="shared" si="51"/>
        <v>0</v>
      </c>
      <c r="S200" s="23">
        <f t="shared" si="51"/>
        <v>600000</v>
      </c>
      <c r="T200" s="23">
        <f t="shared" si="51"/>
        <v>0</v>
      </c>
      <c r="U200" s="23">
        <f t="shared" si="51"/>
        <v>0</v>
      </c>
      <c r="V200" s="23">
        <f t="shared" si="51"/>
        <v>0</v>
      </c>
      <c r="W200" s="23">
        <f t="shared" si="51"/>
        <v>0</v>
      </c>
      <c r="X200" s="23">
        <f t="shared" si="51"/>
        <v>0</v>
      </c>
      <c r="Y200" s="23">
        <f t="shared" si="51"/>
        <v>0</v>
      </c>
      <c r="Z200" s="120"/>
      <c r="AA200" s="23">
        <f t="shared" si="34"/>
        <v>4600</v>
      </c>
    </row>
    <row r="201" spans="1:27" ht="24" customHeight="1" x14ac:dyDescent="0.25">
      <c r="A201" s="24" t="s">
        <v>134</v>
      </c>
      <c r="B201" s="24" t="s">
        <v>82</v>
      </c>
      <c r="C201" s="40" t="s">
        <v>339</v>
      </c>
      <c r="D201" s="25">
        <f>'дод 2'!E382+'дод 2'!E390+'дод 2'!E399</f>
        <v>600000</v>
      </c>
      <c r="E201" s="25">
        <f>'дод 2'!F382+'дод 2'!F390+'дод 2'!F399</f>
        <v>600000</v>
      </c>
      <c r="F201" s="25">
        <f>'дод 2'!G382+'дод 2'!G390+'дод 2'!G399</f>
        <v>0</v>
      </c>
      <c r="G201" s="25">
        <f>'дод 2'!H382+'дод 2'!H390+'дод 2'!H399</f>
        <v>0</v>
      </c>
      <c r="H201" s="25">
        <f>'дод 2'!I382+'дод 2'!I390+'дод 2'!I399</f>
        <v>0</v>
      </c>
      <c r="I201" s="25">
        <f>'дод 2'!J382+'дод 2'!J390+'дод 2'!J399</f>
        <v>4600</v>
      </c>
      <c r="J201" s="25">
        <f>'дод 2'!K382+'дод 2'!K390+'дод 2'!K399</f>
        <v>0</v>
      </c>
      <c r="K201" s="25">
        <f>'дод 2'!L382+'дод 2'!L390+'дод 2'!L399</f>
        <v>0</v>
      </c>
      <c r="L201" s="120">
        <f t="shared" si="32"/>
        <v>0.76666666666666661</v>
      </c>
      <c r="M201" s="25">
        <f>'дод 2'!N382+'дод 2'!N390+'дод 2'!N399</f>
        <v>0</v>
      </c>
      <c r="N201" s="25">
        <f>'дод 2'!O382+'дод 2'!O390+'дод 2'!O399</f>
        <v>0</v>
      </c>
      <c r="O201" s="25">
        <f>'дод 2'!P382+'дод 2'!P390+'дод 2'!P399</f>
        <v>0</v>
      </c>
      <c r="P201" s="25">
        <f>'дод 2'!Q382+'дод 2'!Q390+'дод 2'!Q399</f>
        <v>0</v>
      </c>
      <c r="Q201" s="25">
        <f>'дод 2'!R382+'дод 2'!R390+'дод 2'!R399</f>
        <v>0</v>
      </c>
      <c r="R201" s="25">
        <f>'дод 2'!S382+'дод 2'!S390+'дод 2'!S399</f>
        <v>0</v>
      </c>
      <c r="S201" s="25">
        <f>'дод 2'!T382+'дод 2'!T390+'дод 2'!T399</f>
        <v>600000</v>
      </c>
      <c r="T201" s="25">
        <f>'дод 2'!U382+'дод 2'!U390+'дод 2'!U399</f>
        <v>0</v>
      </c>
      <c r="U201" s="25">
        <f>'дод 2'!V382+'дод 2'!V390+'дод 2'!V399</f>
        <v>0</v>
      </c>
      <c r="V201" s="25">
        <f>'дод 2'!W382+'дод 2'!W390+'дод 2'!W399</f>
        <v>0</v>
      </c>
      <c r="W201" s="25">
        <f>'дод 2'!X382+'дод 2'!X390+'дод 2'!X399</f>
        <v>0</v>
      </c>
      <c r="X201" s="25">
        <f>'дод 2'!Y382+'дод 2'!Y390+'дод 2'!Y399</f>
        <v>0</v>
      </c>
      <c r="Y201" s="25">
        <f>'дод 2'!Z382+'дод 2'!Z390+'дод 2'!Z399</f>
        <v>0</v>
      </c>
      <c r="Z201" s="120"/>
      <c r="AA201" s="25">
        <f t="shared" si="34"/>
        <v>4600</v>
      </c>
    </row>
    <row r="202" spans="1:27" s="19" customFormat="1" ht="32.25" customHeight="1" x14ac:dyDescent="0.25">
      <c r="A202" s="32" t="s">
        <v>96</v>
      </c>
      <c r="B202" s="32"/>
      <c r="C202" s="57" t="s">
        <v>685</v>
      </c>
      <c r="D202" s="23">
        <f>D206+D208+D210+D211+D212+D213+D214+D215+D216+D217+D219+D221+D223+D225+D224+D227</f>
        <v>6045000</v>
      </c>
      <c r="E202" s="23">
        <f t="shared" ref="E202:Y202" si="52">E206+E208+E210+E211+E212+E213+E214+E215+E216+E217+E219+E221+E223+E225+E224+E227</f>
        <v>6045000</v>
      </c>
      <c r="F202" s="23">
        <f t="shared" si="52"/>
        <v>0</v>
      </c>
      <c r="G202" s="23">
        <f t="shared" si="52"/>
        <v>0</v>
      </c>
      <c r="H202" s="23">
        <f t="shared" si="52"/>
        <v>0</v>
      </c>
      <c r="I202" s="23">
        <f t="shared" si="52"/>
        <v>0</v>
      </c>
      <c r="J202" s="23">
        <f t="shared" si="52"/>
        <v>0</v>
      </c>
      <c r="K202" s="23">
        <f t="shared" si="52"/>
        <v>0</v>
      </c>
      <c r="L202" s="120">
        <f t="shared" si="32"/>
        <v>0</v>
      </c>
      <c r="M202" s="23">
        <f t="shared" si="52"/>
        <v>175253271.66</v>
      </c>
      <c r="N202" s="23">
        <f t="shared" si="52"/>
        <v>108102645</v>
      </c>
      <c r="O202" s="23">
        <f t="shared" si="52"/>
        <v>0</v>
      </c>
      <c r="P202" s="23">
        <f t="shared" si="52"/>
        <v>0</v>
      </c>
      <c r="Q202" s="23">
        <f t="shared" si="52"/>
        <v>0</v>
      </c>
      <c r="R202" s="23">
        <f t="shared" si="52"/>
        <v>175253271.66</v>
      </c>
      <c r="S202" s="23">
        <f t="shared" si="52"/>
        <v>181298271.66</v>
      </c>
      <c r="T202" s="23">
        <f t="shared" si="52"/>
        <v>19088202.969999999</v>
      </c>
      <c r="U202" s="23">
        <f t="shared" si="52"/>
        <v>7971617.9299999988</v>
      </c>
      <c r="V202" s="23">
        <f t="shared" si="52"/>
        <v>0</v>
      </c>
      <c r="W202" s="23">
        <f t="shared" si="52"/>
        <v>0</v>
      </c>
      <c r="X202" s="23">
        <f t="shared" si="52"/>
        <v>0</v>
      </c>
      <c r="Y202" s="23">
        <f t="shared" si="52"/>
        <v>19088202.969999999</v>
      </c>
      <c r="Z202" s="123">
        <f t="shared" si="33"/>
        <v>10.891781242767356</v>
      </c>
      <c r="AA202" s="23">
        <f t="shared" si="34"/>
        <v>19088202.969999999</v>
      </c>
    </row>
    <row r="203" spans="1:27" s="37" customFormat="1" ht="63" hidden="1" customHeight="1" x14ac:dyDescent="0.25">
      <c r="A203" s="34"/>
      <c r="B203" s="34"/>
      <c r="C203" s="35" t="s">
        <v>597</v>
      </c>
      <c r="D203" s="36">
        <f>D220</f>
        <v>0</v>
      </c>
      <c r="E203" s="36">
        <f t="shared" ref="E203:Y203" si="53">E220</f>
        <v>0</v>
      </c>
      <c r="F203" s="36">
        <f t="shared" si="53"/>
        <v>0</v>
      </c>
      <c r="G203" s="36">
        <f t="shared" si="53"/>
        <v>0</v>
      </c>
      <c r="H203" s="36">
        <f t="shared" si="53"/>
        <v>0</v>
      </c>
      <c r="I203" s="36">
        <f t="shared" si="53"/>
        <v>0</v>
      </c>
      <c r="J203" s="36">
        <f t="shared" si="53"/>
        <v>0</v>
      </c>
      <c r="K203" s="36">
        <f t="shared" si="53"/>
        <v>0</v>
      </c>
      <c r="L203" s="120" t="e">
        <f t="shared" si="32"/>
        <v>#DIV/0!</v>
      </c>
      <c r="M203" s="36">
        <f t="shared" si="53"/>
        <v>0</v>
      </c>
      <c r="N203" s="36">
        <f t="shared" si="53"/>
        <v>0</v>
      </c>
      <c r="O203" s="36">
        <f t="shared" si="53"/>
        <v>0</v>
      </c>
      <c r="P203" s="36">
        <f t="shared" si="53"/>
        <v>0</v>
      </c>
      <c r="Q203" s="36">
        <f t="shared" si="53"/>
        <v>0</v>
      </c>
      <c r="R203" s="36">
        <f t="shared" si="53"/>
        <v>0</v>
      </c>
      <c r="S203" s="36">
        <f t="shared" si="53"/>
        <v>0</v>
      </c>
      <c r="T203" s="36">
        <f t="shared" si="53"/>
        <v>0</v>
      </c>
      <c r="U203" s="36">
        <f t="shared" si="53"/>
        <v>0</v>
      </c>
      <c r="V203" s="36">
        <f t="shared" si="53"/>
        <v>0</v>
      </c>
      <c r="W203" s="36">
        <f t="shared" si="53"/>
        <v>0</v>
      </c>
      <c r="X203" s="36">
        <f t="shared" si="53"/>
        <v>0</v>
      </c>
      <c r="Y203" s="36">
        <f t="shared" si="53"/>
        <v>0</v>
      </c>
      <c r="Z203" s="120" t="e">
        <f t="shared" si="33"/>
        <v>#DIV/0!</v>
      </c>
      <c r="AA203" s="25">
        <f t="shared" si="34"/>
        <v>0</v>
      </c>
    </row>
    <row r="204" spans="1:27" s="37" customFormat="1" ht="15.75" hidden="1" customHeight="1" x14ac:dyDescent="0.25">
      <c r="A204" s="34"/>
      <c r="B204" s="34"/>
      <c r="C204" s="8" t="s">
        <v>388</v>
      </c>
      <c r="D204" s="36">
        <f>D209+D222</f>
        <v>0</v>
      </c>
      <c r="E204" s="36">
        <f t="shared" ref="E204:Y204" si="54">E209+E222</f>
        <v>0</v>
      </c>
      <c r="F204" s="36">
        <f t="shared" si="54"/>
        <v>0</v>
      </c>
      <c r="G204" s="36">
        <f t="shared" si="54"/>
        <v>0</v>
      </c>
      <c r="H204" s="36">
        <f t="shared" si="54"/>
        <v>0</v>
      </c>
      <c r="I204" s="36">
        <f t="shared" si="54"/>
        <v>0</v>
      </c>
      <c r="J204" s="36">
        <f t="shared" si="54"/>
        <v>0</v>
      </c>
      <c r="K204" s="36">
        <f t="shared" si="54"/>
        <v>0</v>
      </c>
      <c r="L204" s="120" t="e">
        <f t="shared" si="32"/>
        <v>#DIV/0!</v>
      </c>
      <c r="M204" s="36">
        <f t="shared" si="54"/>
        <v>0</v>
      </c>
      <c r="N204" s="36">
        <f t="shared" si="54"/>
        <v>0</v>
      </c>
      <c r="O204" s="36">
        <f t="shared" si="54"/>
        <v>0</v>
      </c>
      <c r="P204" s="36">
        <f t="shared" si="54"/>
        <v>0</v>
      </c>
      <c r="Q204" s="36">
        <f t="shared" si="54"/>
        <v>0</v>
      </c>
      <c r="R204" s="36">
        <f t="shared" si="54"/>
        <v>0</v>
      </c>
      <c r="S204" s="36">
        <f t="shared" si="54"/>
        <v>0</v>
      </c>
      <c r="T204" s="36">
        <f t="shared" si="54"/>
        <v>0</v>
      </c>
      <c r="U204" s="36">
        <f t="shared" si="54"/>
        <v>0</v>
      </c>
      <c r="V204" s="36">
        <f t="shared" si="54"/>
        <v>0</v>
      </c>
      <c r="W204" s="36">
        <f t="shared" si="54"/>
        <v>0</v>
      </c>
      <c r="X204" s="36">
        <f t="shared" si="54"/>
        <v>0</v>
      </c>
      <c r="Y204" s="36">
        <f t="shared" si="54"/>
        <v>0</v>
      </c>
      <c r="Z204" s="120" t="e">
        <f t="shared" si="33"/>
        <v>#DIV/0!</v>
      </c>
      <c r="AA204" s="25">
        <f t="shared" si="34"/>
        <v>0</v>
      </c>
    </row>
    <row r="205" spans="1:27" s="37" customFormat="1" ht="95.25" customHeight="1" x14ac:dyDescent="0.25">
      <c r="A205" s="34"/>
      <c r="B205" s="34"/>
      <c r="C205" s="56" t="s">
        <v>686</v>
      </c>
      <c r="D205" s="36">
        <f>D228</f>
        <v>0</v>
      </c>
      <c r="E205" s="36">
        <f t="shared" ref="E205:Y205" si="55">E228</f>
        <v>0</v>
      </c>
      <c r="F205" s="36">
        <f t="shared" si="55"/>
        <v>0</v>
      </c>
      <c r="G205" s="36">
        <f t="shared" si="55"/>
        <v>0</v>
      </c>
      <c r="H205" s="36">
        <f t="shared" si="55"/>
        <v>0</v>
      </c>
      <c r="I205" s="36">
        <f t="shared" si="55"/>
        <v>0</v>
      </c>
      <c r="J205" s="36">
        <f t="shared" si="55"/>
        <v>0</v>
      </c>
      <c r="K205" s="36">
        <f t="shared" si="55"/>
        <v>0</v>
      </c>
      <c r="L205" s="120"/>
      <c r="M205" s="36">
        <f t="shared" si="55"/>
        <v>67150626.659999996</v>
      </c>
      <c r="N205" s="36">
        <f t="shared" si="55"/>
        <v>0</v>
      </c>
      <c r="O205" s="36">
        <f t="shared" si="55"/>
        <v>0</v>
      </c>
      <c r="P205" s="36">
        <f t="shared" si="55"/>
        <v>0</v>
      </c>
      <c r="Q205" s="36">
        <f t="shared" si="55"/>
        <v>0</v>
      </c>
      <c r="R205" s="36">
        <f t="shared" si="55"/>
        <v>67150626.659999996</v>
      </c>
      <c r="S205" s="36">
        <f t="shared" si="55"/>
        <v>67150626.659999996</v>
      </c>
      <c r="T205" s="36">
        <f t="shared" si="55"/>
        <v>11116585.039999999</v>
      </c>
      <c r="U205" s="36">
        <f t="shared" si="55"/>
        <v>0</v>
      </c>
      <c r="V205" s="36">
        <f t="shared" si="55"/>
        <v>0</v>
      </c>
      <c r="W205" s="36">
        <f t="shared" si="55"/>
        <v>0</v>
      </c>
      <c r="X205" s="36">
        <f t="shared" si="55"/>
        <v>0</v>
      </c>
      <c r="Y205" s="36">
        <f t="shared" si="55"/>
        <v>11116585.039999999</v>
      </c>
      <c r="Z205" s="124">
        <f t="shared" si="33"/>
        <v>16.554700369791007</v>
      </c>
      <c r="AA205" s="36">
        <f t="shared" si="34"/>
        <v>11116585.039999999</v>
      </c>
    </row>
    <row r="206" spans="1:27" ht="24" customHeight="1" x14ac:dyDescent="0.25">
      <c r="A206" s="24" t="s">
        <v>269</v>
      </c>
      <c r="B206" s="24" t="s">
        <v>110</v>
      </c>
      <c r="C206" s="4" t="s">
        <v>671</v>
      </c>
      <c r="D206" s="25">
        <f>'дод 2'!E348+'дод 2'!E286</f>
        <v>0</v>
      </c>
      <c r="E206" s="25">
        <f>'дод 2'!F348+'дод 2'!F286</f>
        <v>0</v>
      </c>
      <c r="F206" s="25">
        <f>'дод 2'!G348+'дод 2'!G286</f>
        <v>0</v>
      </c>
      <c r="G206" s="25">
        <f>'дод 2'!H348+'дод 2'!H286</f>
        <v>0</v>
      </c>
      <c r="H206" s="25">
        <f>'дод 2'!I348+'дод 2'!I286</f>
        <v>0</v>
      </c>
      <c r="I206" s="25">
        <f>'дод 2'!J348+'дод 2'!J286</f>
        <v>0</v>
      </c>
      <c r="J206" s="25">
        <f>'дод 2'!K348+'дод 2'!K286</f>
        <v>0</v>
      </c>
      <c r="K206" s="25">
        <f>'дод 2'!L348+'дод 2'!L286</f>
        <v>0</v>
      </c>
      <c r="L206" s="120"/>
      <c r="M206" s="25">
        <f>'дод 2'!N348+'дод 2'!N286</f>
        <v>27151420</v>
      </c>
      <c r="N206" s="25">
        <f>'дод 2'!O348+'дод 2'!O286</f>
        <v>27151420</v>
      </c>
      <c r="O206" s="25">
        <f>'дод 2'!P348+'дод 2'!P286</f>
        <v>0</v>
      </c>
      <c r="P206" s="25">
        <f>'дод 2'!Q348+'дод 2'!Q286</f>
        <v>0</v>
      </c>
      <c r="Q206" s="25">
        <f>'дод 2'!R348+'дод 2'!R286</f>
        <v>0</v>
      </c>
      <c r="R206" s="25">
        <f>'дод 2'!S348+'дод 2'!S286</f>
        <v>27151420</v>
      </c>
      <c r="S206" s="25">
        <f>'дод 2'!T348+'дод 2'!T286</f>
        <v>27151420</v>
      </c>
      <c r="T206" s="25">
        <f>'дод 2'!U348+'дод 2'!U286</f>
        <v>1956973.39</v>
      </c>
      <c r="U206" s="25">
        <f>'дод 2'!V348+'дод 2'!V286</f>
        <v>1956973.39</v>
      </c>
      <c r="V206" s="25">
        <f>'дод 2'!W348+'дод 2'!W286</f>
        <v>0</v>
      </c>
      <c r="W206" s="25">
        <f>'дод 2'!X348+'дод 2'!X286</f>
        <v>0</v>
      </c>
      <c r="X206" s="25">
        <f>'дод 2'!Y348+'дод 2'!Y286</f>
        <v>0</v>
      </c>
      <c r="Y206" s="25">
        <f>'дод 2'!Z348+'дод 2'!Z286</f>
        <v>1956973.39</v>
      </c>
      <c r="Z206" s="120">
        <f t="shared" si="33"/>
        <v>7.2076281461522074</v>
      </c>
      <c r="AA206" s="25">
        <f t="shared" si="34"/>
        <v>1956973.39</v>
      </c>
    </row>
    <row r="207" spans="1:27" ht="98.25" hidden="1" customHeight="1" x14ac:dyDescent="0.25">
      <c r="A207" s="24"/>
      <c r="B207" s="24"/>
      <c r="C207" s="29" t="str">
        <f>'дод 2'!D287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07" s="29">
        <f>'дод 2'!E287</f>
        <v>0</v>
      </c>
      <c r="E207" s="29">
        <f>'дод 2'!F287</f>
        <v>0</v>
      </c>
      <c r="F207" s="29">
        <f>'дод 2'!G287</f>
        <v>0</v>
      </c>
      <c r="G207" s="29">
        <f>'дод 2'!H287</f>
        <v>0</v>
      </c>
      <c r="H207" s="29">
        <f>'дод 2'!I287</f>
        <v>0</v>
      </c>
      <c r="I207" s="29">
        <f>'дод 2'!J287</f>
        <v>0</v>
      </c>
      <c r="J207" s="29">
        <f>'дод 2'!K287</f>
        <v>0</v>
      </c>
      <c r="K207" s="29">
        <f>'дод 2'!L287</f>
        <v>0</v>
      </c>
      <c r="L207" s="120"/>
      <c r="M207" s="29">
        <f>'дод 2'!N287</f>
        <v>0</v>
      </c>
      <c r="N207" s="29">
        <f>'дод 2'!O287</f>
        <v>0</v>
      </c>
      <c r="O207" s="29">
        <f>'дод 2'!P287</f>
        <v>0</v>
      </c>
      <c r="P207" s="29">
        <f>'дод 2'!Q287</f>
        <v>0</v>
      </c>
      <c r="Q207" s="29">
        <f>'дод 2'!R287</f>
        <v>0</v>
      </c>
      <c r="R207" s="29">
        <f>'дод 2'!S287</f>
        <v>0</v>
      </c>
      <c r="S207" s="29">
        <f>'дод 2'!T287</f>
        <v>0</v>
      </c>
      <c r="T207" s="29">
        <f>'дод 2'!U287</f>
        <v>0</v>
      </c>
      <c r="U207" s="29">
        <f>'дод 2'!V287</f>
        <v>0</v>
      </c>
      <c r="V207" s="29">
        <f>'дод 2'!W287</f>
        <v>0</v>
      </c>
      <c r="W207" s="29">
        <f>'дод 2'!X287</f>
        <v>0</v>
      </c>
      <c r="X207" s="29">
        <f>'дод 2'!Y287</f>
        <v>0</v>
      </c>
      <c r="Y207" s="29">
        <f>'дод 2'!Z287</f>
        <v>0</v>
      </c>
      <c r="Z207" s="120" t="e">
        <f t="shared" si="33"/>
        <v>#DIV/0!</v>
      </c>
      <c r="AA207" s="25">
        <f t="shared" si="34"/>
        <v>0</v>
      </c>
    </row>
    <row r="208" spans="1:27" s="31" customFormat="1" ht="18.75" x14ac:dyDescent="0.25">
      <c r="A208" s="24" t="s">
        <v>274</v>
      </c>
      <c r="B208" s="24" t="s">
        <v>110</v>
      </c>
      <c r="C208" s="4" t="s">
        <v>507</v>
      </c>
      <c r="D208" s="25">
        <f>'дод 2'!E134+'дод 2'!E349</f>
        <v>0</v>
      </c>
      <c r="E208" s="25">
        <f>'дод 2'!F134+'дод 2'!F349</f>
        <v>0</v>
      </c>
      <c r="F208" s="25">
        <f>'дод 2'!G134+'дод 2'!G349</f>
        <v>0</v>
      </c>
      <c r="G208" s="25">
        <f>'дод 2'!H134+'дод 2'!H349</f>
        <v>0</v>
      </c>
      <c r="H208" s="25">
        <f>'дод 2'!I134+'дод 2'!I349</f>
        <v>0</v>
      </c>
      <c r="I208" s="25">
        <f>'дод 2'!J134+'дод 2'!J349</f>
        <v>0</v>
      </c>
      <c r="J208" s="25">
        <f>'дод 2'!K134+'дод 2'!K349</f>
        <v>0</v>
      </c>
      <c r="K208" s="25">
        <f>'дод 2'!L134+'дод 2'!L349</f>
        <v>0</v>
      </c>
      <c r="L208" s="120"/>
      <c r="M208" s="25">
        <f>'дод 2'!N134+'дод 2'!N349</f>
        <v>37415574</v>
      </c>
      <c r="N208" s="25">
        <f>'дод 2'!O134+'дод 2'!O349</f>
        <v>37415574</v>
      </c>
      <c r="O208" s="25">
        <f>'дод 2'!P134+'дод 2'!P349</f>
        <v>0</v>
      </c>
      <c r="P208" s="25">
        <f>'дод 2'!Q134+'дод 2'!Q349</f>
        <v>0</v>
      </c>
      <c r="Q208" s="25">
        <f>'дод 2'!R134+'дод 2'!R349</f>
        <v>0</v>
      </c>
      <c r="R208" s="25">
        <f>'дод 2'!S134+'дод 2'!S349</f>
        <v>37415574</v>
      </c>
      <c r="S208" s="25">
        <f>'дод 2'!T134+'дод 2'!T349</f>
        <v>37415574</v>
      </c>
      <c r="T208" s="25">
        <f>'дод 2'!U134+'дод 2'!U349</f>
        <v>1036950</v>
      </c>
      <c r="U208" s="25">
        <f>'дод 2'!V134+'дод 2'!V349</f>
        <v>1036950</v>
      </c>
      <c r="V208" s="25">
        <f>'дод 2'!W134+'дод 2'!W349</f>
        <v>0</v>
      </c>
      <c r="W208" s="25">
        <f>'дод 2'!X134+'дод 2'!X349</f>
        <v>0</v>
      </c>
      <c r="X208" s="25">
        <f>'дод 2'!Y134+'дод 2'!Y349</f>
        <v>0</v>
      </c>
      <c r="Y208" s="25">
        <f>'дод 2'!Z134+'дод 2'!Z349</f>
        <v>1036950</v>
      </c>
      <c r="Z208" s="120">
        <f t="shared" si="33"/>
        <v>2.7714395080508454</v>
      </c>
      <c r="AA208" s="25">
        <f t="shared" si="34"/>
        <v>1036950</v>
      </c>
    </row>
    <row r="209" spans="1:27" s="31" customFormat="1" ht="21.75" hidden="1" customHeight="1" x14ac:dyDescent="0.25">
      <c r="A209" s="27"/>
      <c r="B209" s="27"/>
      <c r="C209" s="39" t="s">
        <v>388</v>
      </c>
      <c r="D209" s="30">
        <f>'дод 2'!E135</f>
        <v>0</v>
      </c>
      <c r="E209" s="30">
        <f>'дод 2'!F135</f>
        <v>0</v>
      </c>
      <c r="F209" s="30">
        <f>'дод 2'!G135</f>
        <v>0</v>
      </c>
      <c r="G209" s="30">
        <f>'дод 2'!H135</f>
        <v>0</v>
      </c>
      <c r="H209" s="30">
        <f>'дод 2'!I135</f>
        <v>0</v>
      </c>
      <c r="I209" s="30">
        <f>'дод 2'!J135</f>
        <v>0</v>
      </c>
      <c r="J209" s="30">
        <f>'дод 2'!K135</f>
        <v>0</v>
      </c>
      <c r="K209" s="30">
        <f>'дод 2'!L135</f>
        <v>0</v>
      </c>
      <c r="L209" s="120"/>
      <c r="M209" s="30">
        <f>'дод 2'!N135</f>
        <v>0</v>
      </c>
      <c r="N209" s="30">
        <f>'дод 2'!O135</f>
        <v>0</v>
      </c>
      <c r="O209" s="30">
        <f>'дод 2'!P135</f>
        <v>0</v>
      </c>
      <c r="P209" s="30">
        <f>'дод 2'!Q135</f>
        <v>0</v>
      </c>
      <c r="Q209" s="30">
        <f>'дод 2'!R135</f>
        <v>0</v>
      </c>
      <c r="R209" s="30">
        <f>'дод 2'!S135</f>
        <v>0</v>
      </c>
      <c r="S209" s="30">
        <f>'дод 2'!T135</f>
        <v>0</v>
      </c>
      <c r="T209" s="30">
        <f>'дод 2'!U135</f>
        <v>0</v>
      </c>
      <c r="U209" s="30">
        <f>'дод 2'!V135</f>
        <v>0</v>
      </c>
      <c r="V209" s="30">
        <f>'дод 2'!W135</f>
        <v>0</v>
      </c>
      <c r="W209" s="30">
        <f>'дод 2'!X135</f>
        <v>0</v>
      </c>
      <c r="X209" s="30">
        <f>'дод 2'!Y135</f>
        <v>0</v>
      </c>
      <c r="Y209" s="30">
        <f>'дод 2'!Z135</f>
        <v>0</v>
      </c>
      <c r="Z209" s="120" t="e">
        <f t="shared" ref="Z209:Z272" si="56">T209/M209*100</f>
        <v>#DIV/0!</v>
      </c>
      <c r="AA209" s="25">
        <f t="shared" ref="AA209:AA272" si="57">I209+T209</f>
        <v>0</v>
      </c>
    </row>
    <row r="210" spans="1:27" s="31" customFormat="1" ht="24" customHeight="1" x14ac:dyDescent="0.25">
      <c r="A210" s="24" t="s">
        <v>276</v>
      </c>
      <c r="B210" s="24" t="s">
        <v>110</v>
      </c>
      <c r="C210" s="4" t="s">
        <v>508</v>
      </c>
      <c r="D210" s="25">
        <f>'дод 2'!E350+'дод 2'!E182</f>
        <v>0</v>
      </c>
      <c r="E210" s="25">
        <f>'дод 2'!F350+'дод 2'!F182</f>
        <v>0</v>
      </c>
      <c r="F210" s="25">
        <f>'дод 2'!G350+'дод 2'!G182</f>
        <v>0</v>
      </c>
      <c r="G210" s="25">
        <f>'дод 2'!H350+'дод 2'!H182</f>
        <v>0</v>
      </c>
      <c r="H210" s="25">
        <f>'дод 2'!I350+'дод 2'!I182</f>
        <v>0</v>
      </c>
      <c r="I210" s="25">
        <f>'дод 2'!J350+'дод 2'!J182</f>
        <v>0</v>
      </c>
      <c r="J210" s="25">
        <f>'дод 2'!K350+'дод 2'!K182</f>
        <v>0</v>
      </c>
      <c r="K210" s="25">
        <f>'дод 2'!L350+'дод 2'!L182</f>
        <v>0</v>
      </c>
      <c r="L210" s="120"/>
      <c r="M210" s="25">
        <f>'дод 2'!N350+'дод 2'!N182</f>
        <v>10228612</v>
      </c>
      <c r="N210" s="25">
        <f>'дод 2'!O350+'дод 2'!O182</f>
        <v>10228612</v>
      </c>
      <c r="O210" s="25">
        <f>'дод 2'!P350+'дод 2'!P182</f>
        <v>0</v>
      </c>
      <c r="P210" s="25">
        <f>'дод 2'!Q350+'дод 2'!Q182</f>
        <v>0</v>
      </c>
      <c r="Q210" s="25">
        <f>'дод 2'!R350+'дод 2'!R182</f>
        <v>0</v>
      </c>
      <c r="R210" s="25">
        <f>'дод 2'!S350+'дод 2'!S182</f>
        <v>10228612</v>
      </c>
      <c r="S210" s="25">
        <f>'дод 2'!T350+'дод 2'!T182</f>
        <v>10228612</v>
      </c>
      <c r="T210" s="25">
        <f>'дод 2'!U350+'дод 2'!U182</f>
        <v>140232.79999999999</v>
      </c>
      <c r="U210" s="25">
        <f>'дод 2'!V350+'дод 2'!V182</f>
        <v>140232.79999999999</v>
      </c>
      <c r="V210" s="25">
        <f>'дод 2'!W350+'дод 2'!W182</f>
        <v>0</v>
      </c>
      <c r="W210" s="25">
        <f>'дод 2'!X350+'дод 2'!X182</f>
        <v>0</v>
      </c>
      <c r="X210" s="25">
        <f>'дод 2'!Y350+'дод 2'!Y182</f>
        <v>0</v>
      </c>
      <c r="Y210" s="25">
        <f>'дод 2'!Z350+'дод 2'!Z182</f>
        <v>140232.79999999999</v>
      </c>
      <c r="Z210" s="120">
        <f t="shared" si="56"/>
        <v>1.3709856234648452</v>
      </c>
      <c r="AA210" s="25">
        <f t="shared" si="57"/>
        <v>140232.79999999999</v>
      </c>
    </row>
    <row r="211" spans="1:27" s="31" customFormat="1" ht="22.5" hidden="1" customHeight="1" x14ac:dyDescent="0.25">
      <c r="A211" s="24">
        <v>7323</v>
      </c>
      <c r="B211" s="26" t="s">
        <v>110</v>
      </c>
      <c r="C211" s="4" t="s">
        <v>509</v>
      </c>
      <c r="D211" s="25">
        <f>'дод 2'!E236+'дод 2'!E42</f>
        <v>0</v>
      </c>
      <c r="E211" s="25">
        <f>'дод 2'!F236+'дод 2'!F42</f>
        <v>0</v>
      </c>
      <c r="F211" s="25">
        <f>'дод 2'!G236+'дод 2'!G42</f>
        <v>0</v>
      </c>
      <c r="G211" s="25">
        <f>'дод 2'!H236+'дод 2'!H42</f>
        <v>0</v>
      </c>
      <c r="H211" s="25">
        <f>'дод 2'!I236+'дод 2'!I42</f>
        <v>0</v>
      </c>
      <c r="I211" s="25">
        <f>'дод 2'!J236+'дод 2'!J42</f>
        <v>0</v>
      </c>
      <c r="J211" s="25">
        <f>'дод 2'!K236+'дод 2'!K42</f>
        <v>0</v>
      </c>
      <c r="K211" s="25">
        <f>'дод 2'!L236+'дод 2'!L42</f>
        <v>0</v>
      </c>
      <c r="L211" s="120"/>
      <c r="M211" s="25">
        <f>'дод 2'!N236+'дод 2'!N42</f>
        <v>0</v>
      </c>
      <c r="N211" s="25">
        <f>'дод 2'!O236+'дод 2'!O42</f>
        <v>0</v>
      </c>
      <c r="O211" s="25">
        <f>'дод 2'!P236+'дод 2'!P42</f>
        <v>0</v>
      </c>
      <c r="P211" s="25">
        <f>'дод 2'!Q236+'дод 2'!Q42</f>
        <v>0</v>
      </c>
      <c r="Q211" s="25">
        <f>'дод 2'!R236+'дод 2'!R42</f>
        <v>0</v>
      </c>
      <c r="R211" s="25">
        <f>'дод 2'!S236+'дод 2'!S42</f>
        <v>0</v>
      </c>
      <c r="S211" s="25">
        <f>'дод 2'!T236+'дод 2'!T42</f>
        <v>0</v>
      </c>
      <c r="T211" s="25">
        <f>'дод 2'!U236+'дод 2'!U42</f>
        <v>0</v>
      </c>
      <c r="U211" s="25">
        <f>'дод 2'!V236+'дод 2'!V42</f>
        <v>0</v>
      </c>
      <c r="V211" s="25">
        <f>'дод 2'!W236+'дод 2'!W42</f>
        <v>0</v>
      </c>
      <c r="W211" s="25">
        <f>'дод 2'!X236+'дод 2'!X42</f>
        <v>0</v>
      </c>
      <c r="X211" s="25">
        <f>'дод 2'!Y236+'дод 2'!Y42</f>
        <v>0</v>
      </c>
      <c r="Y211" s="25">
        <f>'дод 2'!Z236+'дод 2'!Z42</f>
        <v>0</v>
      </c>
      <c r="Z211" s="120" t="e">
        <f t="shared" si="56"/>
        <v>#DIV/0!</v>
      </c>
      <c r="AA211" s="25">
        <f t="shared" si="57"/>
        <v>0</v>
      </c>
    </row>
    <row r="212" spans="1:27" s="31" customFormat="1" ht="19.5" hidden="1" customHeight="1" x14ac:dyDescent="0.25">
      <c r="A212" s="24">
        <v>7324</v>
      </c>
      <c r="B212" s="26" t="s">
        <v>110</v>
      </c>
      <c r="C212" s="4" t="s">
        <v>510</v>
      </c>
      <c r="D212" s="25">
        <f>'дод 2'!E258+'дод 2'!E351</f>
        <v>0</v>
      </c>
      <c r="E212" s="25">
        <f>'дод 2'!F258+'дод 2'!F351</f>
        <v>0</v>
      </c>
      <c r="F212" s="25">
        <f>'дод 2'!G258+'дод 2'!G351</f>
        <v>0</v>
      </c>
      <c r="G212" s="25">
        <f>'дод 2'!H258+'дод 2'!H351</f>
        <v>0</v>
      </c>
      <c r="H212" s="25">
        <f>'дод 2'!I258+'дод 2'!I351</f>
        <v>0</v>
      </c>
      <c r="I212" s="25">
        <f>'дод 2'!J258+'дод 2'!J351</f>
        <v>0</v>
      </c>
      <c r="J212" s="25">
        <f>'дод 2'!K258+'дод 2'!K351</f>
        <v>0</v>
      </c>
      <c r="K212" s="25">
        <f>'дод 2'!L258+'дод 2'!L351</f>
        <v>0</v>
      </c>
      <c r="L212" s="120"/>
      <c r="M212" s="25">
        <f>'дод 2'!N258+'дод 2'!N351</f>
        <v>0</v>
      </c>
      <c r="N212" s="25">
        <f>'дод 2'!O258+'дод 2'!O351</f>
        <v>0</v>
      </c>
      <c r="O212" s="25">
        <f>'дод 2'!P258+'дод 2'!P351</f>
        <v>0</v>
      </c>
      <c r="P212" s="25">
        <f>'дод 2'!Q258+'дод 2'!Q351</f>
        <v>0</v>
      </c>
      <c r="Q212" s="25">
        <f>'дод 2'!R258+'дод 2'!R351</f>
        <v>0</v>
      </c>
      <c r="R212" s="25">
        <f>'дод 2'!S258+'дод 2'!S351</f>
        <v>0</v>
      </c>
      <c r="S212" s="25">
        <f>'дод 2'!T258+'дод 2'!T351</f>
        <v>0</v>
      </c>
      <c r="T212" s="25">
        <f>'дод 2'!U258+'дод 2'!U351</f>
        <v>0</v>
      </c>
      <c r="U212" s="25">
        <f>'дод 2'!V258+'дод 2'!V351</f>
        <v>0</v>
      </c>
      <c r="V212" s="25">
        <f>'дод 2'!W258+'дод 2'!W351</f>
        <v>0</v>
      </c>
      <c r="W212" s="25">
        <f>'дод 2'!X258+'дод 2'!X351</f>
        <v>0</v>
      </c>
      <c r="X212" s="25">
        <f>'дод 2'!Y258+'дод 2'!Y351</f>
        <v>0</v>
      </c>
      <c r="Y212" s="25">
        <f>'дод 2'!Z258+'дод 2'!Z351</f>
        <v>0</v>
      </c>
      <c r="Z212" s="120" t="e">
        <f t="shared" si="56"/>
        <v>#DIV/0!</v>
      </c>
      <c r="AA212" s="25">
        <f t="shared" si="57"/>
        <v>0</v>
      </c>
    </row>
    <row r="213" spans="1:27" s="31" customFormat="1" ht="35.25" customHeight="1" x14ac:dyDescent="0.25">
      <c r="A213" s="24">
        <v>7325</v>
      </c>
      <c r="B213" s="26" t="s">
        <v>110</v>
      </c>
      <c r="C213" s="4" t="s">
        <v>505</v>
      </c>
      <c r="D213" s="25">
        <f>'дод 2'!E352+'дод 2'!E43</f>
        <v>0</v>
      </c>
      <c r="E213" s="25">
        <f>'дод 2'!F352+'дод 2'!F43</f>
        <v>0</v>
      </c>
      <c r="F213" s="25">
        <f>'дод 2'!G352+'дод 2'!G43</f>
        <v>0</v>
      </c>
      <c r="G213" s="25">
        <f>'дод 2'!H352+'дод 2'!H43</f>
        <v>0</v>
      </c>
      <c r="H213" s="25">
        <f>'дод 2'!I352+'дод 2'!I43</f>
        <v>0</v>
      </c>
      <c r="I213" s="25">
        <f>'дод 2'!J352+'дод 2'!J43</f>
        <v>0</v>
      </c>
      <c r="J213" s="25">
        <f>'дод 2'!K352+'дод 2'!K43</f>
        <v>0</v>
      </c>
      <c r="K213" s="25">
        <f>'дод 2'!L352+'дод 2'!L43</f>
        <v>0</v>
      </c>
      <c r="L213" s="120"/>
      <c r="M213" s="25">
        <f>'дод 2'!N352+'дод 2'!N43</f>
        <v>250000</v>
      </c>
      <c r="N213" s="25">
        <f>'дод 2'!O352+'дод 2'!O43</f>
        <v>250000</v>
      </c>
      <c r="O213" s="25">
        <f>'дод 2'!P352+'дод 2'!P43</f>
        <v>0</v>
      </c>
      <c r="P213" s="25">
        <f>'дод 2'!Q352+'дод 2'!Q43</f>
        <v>0</v>
      </c>
      <c r="Q213" s="25">
        <f>'дод 2'!R352+'дод 2'!R43</f>
        <v>0</v>
      </c>
      <c r="R213" s="25">
        <f>'дод 2'!S352+'дод 2'!S43</f>
        <v>250000</v>
      </c>
      <c r="S213" s="25">
        <f>'дод 2'!T352+'дод 2'!T43</f>
        <v>250000</v>
      </c>
      <c r="T213" s="25">
        <f>'дод 2'!U352+'дод 2'!U43</f>
        <v>0</v>
      </c>
      <c r="U213" s="25">
        <f>'дод 2'!V352+'дод 2'!V43</f>
        <v>0</v>
      </c>
      <c r="V213" s="25">
        <f>'дод 2'!W352+'дод 2'!W43</f>
        <v>0</v>
      </c>
      <c r="W213" s="25">
        <f>'дод 2'!X352+'дод 2'!X43</f>
        <v>0</v>
      </c>
      <c r="X213" s="25">
        <f>'дод 2'!Y352+'дод 2'!Y43</f>
        <v>0</v>
      </c>
      <c r="Y213" s="25">
        <f>'дод 2'!Z352+'дод 2'!Z43</f>
        <v>0</v>
      </c>
      <c r="Z213" s="120">
        <f t="shared" si="56"/>
        <v>0</v>
      </c>
      <c r="AA213" s="25">
        <f t="shared" si="57"/>
        <v>0</v>
      </c>
    </row>
    <row r="214" spans="1:27" ht="21.75" customHeight="1" x14ac:dyDescent="0.25">
      <c r="A214" s="24" t="s">
        <v>271</v>
      </c>
      <c r="B214" s="24" t="s">
        <v>110</v>
      </c>
      <c r="C214" s="4" t="s">
        <v>506</v>
      </c>
      <c r="D214" s="25">
        <f>'дод 2'!E353+'дод 2'!E288+'дод 2'!E44</f>
        <v>0</v>
      </c>
      <c r="E214" s="25">
        <f>'дод 2'!F353+'дод 2'!F288+'дод 2'!F44</f>
        <v>0</v>
      </c>
      <c r="F214" s="25">
        <f>'дод 2'!G353+'дод 2'!G288+'дод 2'!G44</f>
        <v>0</v>
      </c>
      <c r="G214" s="25">
        <f>'дод 2'!H353+'дод 2'!H288+'дод 2'!H44</f>
        <v>0</v>
      </c>
      <c r="H214" s="25">
        <f>'дод 2'!I353+'дод 2'!I288+'дод 2'!I44</f>
        <v>0</v>
      </c>
      <c r="I214" s="25">
        <f>'дод 2'!J353+'дод 2'!J288+'дод 2'!J44</f>
        <v>0</v>
      </c>
      <c r="J214" s="25">
        <f>'дод 2'!K353+'дод 2'!K288+'дод 2'!K44</f>
        <v>0</v>
      </c>
      <c r="K214" s="25">
        <f>'дод 2'!L353+'дод 2'!L288+'дод 2'!L44</f>
        <v>0</v>
      </c>
      <c r="L214" s="120"/>
      <c r="M214" s="25">
        <f>'дод 2'!N353+'дод 2'!N288+'дод 2'!N44</f>
        <v>21179160</v>
      </c>
      <c r="N214" s="25">
        <f>'дод 2'!O353+'дод 2'!O288+'дод 2'!O44</f>
        <v>21179160</v>
      </c>
      <c r="O214" s="25">
        <f>'дод 2'!P353+'дод 2'!P288+'дод 2'!P44</f>
        <v>0</v>
      </c>
      <c r="P214" s="25">
        <f>'дод 2'!Q353+'дод 2'!Q288+'дод 2'!Q44</f>
        <v>0</v>
      </c>
      <c r="Q214" s="25">
        <f>'дод 2'!R353+'дод 2'!R288+'дод 2'!R44</f>
        <v>0</v>
      </c>
      <c r="R214" s="25">
        <f>'дод 2'!S353+'дод 2'!S288+'дод 2'!S44</f>
        <v>21179160</v>
      </c>
      <c r="S214" s="25">
        <f>'дод 2'!T353+'дод 2'!T288+'дод 2'!T44</f>
        <v>21179160</v>
      </c>
      <c r="T214" s="25">
        <f>'дод 2'!U353+'дод 2'!U288+'дод 2'!U44</f>
        <v>340794.35</v>
      </c>
      <c r="U214" s="25">
        <f>'дод 2'!V353+'дод 2'!V288+'дод 2'!V44</f>
        <v>340794.35</v>
      </c>
      <c r="V214" s="25">
        <f>'дод 2'!W353+'дод 2'!W288+'дод 2'!W44</f>
        <v>0</v>
      </c>
      <c r="W214" s="25">
        <f>'дод 2'!X353+'дод 2'!X288+'дод 2'!X44</f>
        <v>0</v>
      </c>
      <c r="X214" s="25">
        <f>'дод 2'!Y353+'дод 2'!Y288+'дод 2'!Y44</f>
        <v>0</v>
      </c>
      <c r="Y214" s="25">
        <f>'дод 2'!Z353+'дод 2'!Z288+'дод 2'!Z44</f>
        <v>340794.35</v>
      </c>
      <c r="Z214" s="120">
        <f t="shared" si="56"/>
        <v>1.6091022967860857</v>
      </c>
      <c r="AA214" s="25">
        <f t="shared" si="57"/>
        <v>340794.35</v>
      </c>
    </row>
    <row r="215" spans="1:27" ht="31.5" customHeight="1" x14ac:dyDescent="0.25">
      <c r="A215" s="24" t="s">
        <v>135</v>
      </c>
      <c r="B215" s="24" t="s">
        <v>110</v>
      </c>
      <c r="C215" s="40" t="s">
        <v>1</v>
      </c>
      <c r="D215" s="25">
        <f>'дод 2'!E289+'дод 2'!E354+'дод 2'!E368+'дод 2'!E400</f>
        <v>0</v>
      </c>
      <c r="E215" s="25">
        <f>'дод 2'!F289+'дод 2'!F354+'дод 2'!F368+'дод 2'!F400</f>
        <v>0</v>
      </c>
      <c r="F215" s="25">
        <f>'дод 2'!G289+'дод 2'!G354+'дод 2'!G368+'дод 2'!G400</f>
        <v>0</v>
      </c>
      <c r="G215" s="25">
        <f>'дод 2'!H289+'дод 2'!H354+'дод 2'!H368+'дод 2'!H400</f>
        <v>0</v>
      </c>
      <c r="H215" s="25">
        <f>'дод 2'!I289+'дод 2'!I354+'дод 2'!I368+'дод 2'!I400</f>
        <v>0</v>
      </c>
      <c r="I215" s="25">
        <f>'дод 2'!J289+'дод 2'!J354+'дод 2'!J368+'дод 2'!J400</f>
        <v>0</v>
      </c>
      <c r="J215" s="25">
        <f>'дод 2'!K289+'дод 2'!K354+'дод 2'!K368+'дод 2'!K400</f>
        <v>0</v>
      </c>
      <c r="K215" s="25">
        <f>'дод 2'!L289+'дод 2'!L354+'дод 2'!L368+'дод 2'!L400</f>
        <v>0</v>
      </c>
      <c r="L215" s="120"/>
      <c r="M215" s="25">
        <f>'дод 2'!N289+'дод 2'!N354+'дод 2'!N368+'дод 2'!N400</f>
        <v>8807879</v>
      </c>
      <c r="N215" s="25">
        <f>'дод 2'!O289+'дод 2'!O354+'дод 2'!O368+'дод 2'!O400</f>
        <v>8807879</v>
      </c>
      <c r="O215" s="25">
        <f>'дод 2'!P289+'дод 2'!P354+'дод 2'!P368+'дод 2'!P400</f>
        <v>0</v>
      </c>
      <c r="P215" s="25">
        <f>'дод 2'!Q289+'дод 2'!Q354+'дод 2'!Q368+'дод 2'!Q400</f>
        <v>0</v>
      </c>
      <c r="Q215" s="25">
        <f>'дод 2'!R289+'дод 2'!R354+'дод 2'!R368+'дод 2'!R400</f>
        <v>0</v>
      </c>
      <c r="R215" s="25">
        <f>'дод 2'!S289+'дод 2'!S354+'дод 2'!S368+'дод 2'!S400</f>
        <v>8807879</v>
      </c>
      <c r="S215" s="25">
        <f>'дод 2'!T289+'дод 2'!T354+'дод 2'!T368+'дод 2'!T400</f>
        <v>8807879</v>
      </c>
      <c r="T215" s="25">
        <f>'дод 2'!U289+'дод 2'!U354+'дод 2'!U368+'дод 2'!U400</f>
        <v>4399580</v>
      </c>
      <c r="U215" s="25">
        <f>'дод 2'!V289+'дод 2'!V354+'дод 2'!V368+'дод 2'!V400</f>
        <v>4399580</v>
      </c>
      <c r="V215" s="25">
        <f>'дод 2'!W289+'дод 2'!W354+'дод 2'!W368+'дод 2'!W400</f>
        <v>0</v>
      </c>
      <c r="W215" s="25">
        <f>'дод 2'!X289+'дод 2'!X354+'дод 2'!X368+'дод 2'!X400</f>
        <v>0</v>
      </c>
      <c r="X215" s="25">
        <f>'дод 2'!Y289+'дод 2'!Y354+'дод 2'!Y368+'дод 2'!Y400</f>
        <v>0</v>
      </c>
      <c r="Y215" s="25">
        <f>'дод 2'!Z289+'дод 2'!Z354+'дод 2'!Z368+'дод 2'!Z400</f>
        <v>4399580</v>
      </c>
      <c r="Z215" s="120">
        <f t="shared" si="56"/>
        <v>49.950504542580568</v>
      </c>
      <c r="AA215" s="25">
        <f t="shared" si="57"/>
        <v>4399580</v>
      </c>
    </row>
    <row r="216" spans="1:27" ht="35.25" hidden="1" customHeight="1" x14ac:dyDescent="0.25">
      <c r="A216" s="26" t="s">
        <v>437</v>
      </c>
      <c r="B216" s="26" t="s">
        <v>110</v>
      </c>
      <c r="C216" s="40" t="s">
        <v>438</v>
      </c>
      <c r="D216" s="25">
        <f>'дод 2'!E369</f>
        <v>0</v>
      </c>
      <c r="E216" s="25">
        <f>'дод 2'!F369</f>
        <v>0</v>
      </c>
      <c r="F216" s="25">
        <f>'дод 2'!G369</f>
        <v>0</v>
      </c>
      <c r="G216" s="25">
        <f>'дод 2'!H369</f>
        <v>0</v>
      </c>
      <c r="H216" s="25">
        <f>'дод 2'!I369</f>
        <v>0</v>
      </c>
      <c r="I216" s="25">
        <f>'дод 2'!J369</f>
        <v>0</v>
      </c>
      <c r="J216" s="25">
        <f>'дод 2'!K369</f>
        <v>0</v>
      </c>
      <c r="K216" s="25">
        <f>'дод 2'!L369</f>
        <v>0</v>
      </c>
      <c r="L216" s="120"/>
      <c r="M216" s="25">
        <f>'дод 2'!N369</f>
        <v>0</v>
      </c>
      <c r="N216" s="25">
        <f>'дод 2'!O369</f>
        <v>0</v>
      </c>
      <c r="O216" s="25">
        <f>'дод 2'!P369</f>
        <v>0</v>
      </c>
      <c r="P216" s="25">
        <f>'дод 2'!Q369</f>
        <v>0</v>
      </c>
      <c r="Q216" s="25">
        <f>'дод 2'!R369</f>
        <v>0</v>
      </c>
      <c r="R216" s="25">
        <f>'дод 2'!S369</f>
        <v>0</v>
      </c>
      <c r="S216" s="25">
        <f>'дод 2'!T369</f>
        <v>0</v>
      </c>
      <c r="T216" s="25">
        <f>'дод 2'!U369</f>
        <v>0</v>
      </c>
      <c r="U216" s="25">
        <f>'дод 2'!V369</f>
        <v>0</v>
      </c>
      <c r="V216" s="25">
        <f>'дод 2'!W369</f>
        <v>0</v>
      </c>
      <c r="W216" s="25">
        <f>'дод 2'!X369</f>
        <v>0</v>
      </c>
      <c r="X216" s="25">
        <f>'дод 2'!Y369</f>
        <v>0</v>
      </c>
      <c r="Y216" s="25">
        <f>'дод 2'!Z369</f>
        <v>0</v>
      </c>
      <c r="Z216" s="120" t="e">
        <f t="shared" si="56"/>
        <v>#DIV/0!</v>
      </c>
      <c r="AA216" s="25">
        <f t="shared" si="57"/>
        <v>0</v>
      </c>
    </row>
    <row r="217" spans="1:27" ht="40.9" customHeight="1" x14ac:dyDescent="0.25">
      <c r="A217" s="24">
        <v>7361</v>
      </c>
      <c r="B217" s="24" t="s">
        <v>81</v>
      </c>
      <c r="C217" s="40" t="s">
        <v>366</v>
      </c>
      <c r="D217" s="25">
        <f>'дод 2'!E290+'дод 2'!E355+'дод 2'!E183</f>
        <v>0</v>
      </c>
      <c r="E217" s="25">
        <f>'дод 2'!F290+'дод 2'!F355+'дод 2'!F183</f>
        <v>0</v>
      </c>
      <c r="F217" s="25">
        <f>'дод 2'!G290+'дод 2'!G355+'дод 2'!G183</f>
        <v>0</v>
      </c>
      <c r="G217" s="25">
        <f>'дод 2'!H290+'дод 2'!H355+'дод 2'!H183</f>
        <v>0</v>
      </c>
      <c r="H217" s="25">
        <f>'дод 2'!I290+'дод 2'!I355+'дод 2'!I183</f>
        <v>0</v>
      </c>
      <c r="I217" s="25">
        <f>'дод 2'!J290+'дод 2'!J355+'дод 2'!J183</f>
        <v>0</v>
      </c>
      <c r="J217" s="25">
        <f>'дод 2'!K290+'дод 2'!K355+'дод 2'!K183</f>
        <v>0</v>
      </c>
      <c r="K217" s="25">
        <f>'дод 2'!L290+'дод 2'!L355+'дод 2'!L183</f>
        <v>0</v>
      </c>
      <c r="L217" s="120"/>
      <c r="M217" s="25">
        <f>'дод 2'!N290+'дод 2'!N355+'дод 2'!N183</f>
        <v>120000</v>
      </c>
      <c r="N217" s="25">
        <f>'дод 2'!O290+'дод 2'!O355+'дод 2'!O183</f>
        <v>120000</v>
      </c>
      <c r="O217" s="25">
        <f>'дод 2'!P290+'дод 2'!P355+'дод 2'!P183</f>
        <v>0</v>
      </c>
      <c r="P217" s="25">
        <f>'дод 2'!Q290+'дод 2'!Q355+'дод 2'!Q183</f>
        <v>0</v>
      </c>
      <c r="Q217" s="25">
        <f>'дод 2'!R290+'дод 2'!R355+'дод 2'!R183</f>
        <v>0</v>
      </c>
      <c r="R217" s="25">
        <f>'дод 2'!S290+'дод 2'!S355+'дод 2'!S183</f>
        <v>120000</v>
      </c>
      <c r="S217" s="25">
        <f>'дод 2'!T290+'дод 2'!T355+'дод 2'!T183</f>
        <v>120000</v>
      </c>
      <c r="T217" s="25">
        <f>'дод 2'!U290+'дод 2'!U355+'дод 2'!U183</f>
        <v>68208.600000000006</v>
      </c>
      <c r="U217" s="25">
        <f>'дод 2'!V290+'дод 2'!V355+'дод 2'!V183</f>
        <v>68208.600000000006</v>
      </c>
      <c r="V217" s="25">
        <f>'дод 2'!W290+'дод 2'!W355+'дод 2'!W183</f>
        <v>0</v>
      </c>
      <c r="W217" s="25">
        <f>'дод 2'!X290+'дод 2'!X355+'дод 2'!X183</f>
        <v>0</v>
      </c>
      <c r="X217" s="25">
        <f>'дод 2'!Y290+'дод 2'!Y355+'дод 2'!Y183</f>
        <v>0</v>
      </c>
      <c r="Y217" s="25">
        <f>'дод 2'!Z290+'дод 2'!Z355+'дод 2'!Z183</f>
        <v>68208.600000000006</v>
      </c>
      <c r="Z217" s="120">
        <f t="shared" si="56"/>
        <v>56.840500000000006</v>
      </c>
      <c r="AA217" s="25">
        <f t="shared" si="57"/>
        <v>68208.600000000006</v>
      </c>
    </row>
    <row r="218" spans="1:27" s="31" customFormat="1" ht="46.5" hidden="1" customHeight="1" x14ac:dyDescent="0.25">
      <c r="A218" s="24">
        <v>7362</v>
      </c>
      <c r="B218" s="24" t="s">
        <v>81</v>
      </c>
      <c r="C218" s="40" t="s">
        <v>358</v>
      </c>
      <c r="D218" s="25">
        <f>'дод 2'!E291</f>
        <v>0</v>
      </c>
      <c r="E218" s="25">
        <f>'дод 2'!F291</f>
        <v>0</v>
      </c>
      <c r="F218" s="25">
        <f>'дод 2'!G291</f>
        <v>0</v>
      </c>
      <c r="G218" s="25">
        <f>'дод 2'!H291</f>
        <v>0</v>
      </c>
      <c r="H218" s="25">
        <f>'дод 2'!I291</f>
        <v>0</v>
      </c>
      <c r="I218" s="25">
        <f>'дод 2'!J291</f>
        <v>0</v>
      </c>
      <c r="J218" s="25">
        <f>'дод 2'!K291</f>
        <v>0</v>
      </c>
      <c r="K218" s="25">
        <f>'дод 2'!L291</f>
        <v>0</v>
      </c>
      <c r="L218" s="120" t="e">
        <f t="shared" ref="L218:L272" si="58">I218/D218*100</f>
        <v>#DIV/0!</v>
      </c>
      <c r="M218" s="25">
        <f>'дод 2'!N291</f>
        <v>0</v>
      </c>
      <c r="N218" s="25">
        <f>'дод 2'!O291</f>
        <v>0</v>
      </c>
      <c r="O218" s="25">
        <f>'дод 2'!P291</f>
        <v>0</v>
      </c>
      <c r="P218" s="25">
        <f>'дод 2'!Q291</f>
        <v>0</v>
      </c>
      <c r="Q218" s="25">
        <f>'дод 2'!R291</f>
        <v>0</v>
      </c>
      <c r="R218" s="25">
        <f>'дод 2'!S291</f>
        <v>0</v>
      </c>
      <c r="S218" s="25">
        <f>'дод 2'!T291</f>
        <v>0</v>
      </c>
      <c r="T218" s="25">
        <f>'дод 2'!U291</f>
        <v>0</v>
      </c>
      <c r="U218" s="25">
        <f>'дод 2'!V291</f>
        <v>0</v>
      </c>
      <c r="V218" s="25">
        <f>'дод 2'!W291</f>
        <v>0</v>
      </c>
      <c r="W218" s="25">
        <f>'дод 2'!X291</f>
        <v>0</v>
      </c>
      <c r="X218" s="25">
        <f>'дод 2'!Y291</f>
        <v>0</v>
      </c>
      <c r="Y218" s="25">
        <f>'дод 2'!Z291</f>
        <v>0</v>
      </c>
      <c r="Z218" s="120" t="e">
        <f t="shared" si="56"/>
        <v>#DIV/0!</v>
      </c>
      <c r="AA218" s="25">
        <f t="shared" si="57"/>
        <v>0</v>
      </c>
    </row>
    <row r="219" spans="1:27" s="31" customFormat="1" ht="47.25" hidden="1" customHeight="1" x14ac:dyDescent="0.25">
      <c r="A219" s="24">
        <v>7363</v>
      </c>
      <c r="B219" s="1" t="s">
        <v>81</v>
      </c>
      <c r="C219" s="38" t="s">
        <v>570</v>
      </c>
      <c r="D219" s="25">
        <f>'дод 2'!E292+'дод 2'!E136+'дод 2'!E184+'дод 2'!E356</f>
        <v>0</v>
      </c>
      <c r="E219" s="25">
        <f>'дод 2'!F292+'дод 2'!F136+'дод 2'!F184+'дод 2'!F356</f>
        <v>0</v>
      </c>
      <c r="F219" s="25">
        <f>'дод 2'!G292+'дод 2'!G136+'дод 2'!G184+'дод 2'!G356</f>
        <v>0</v>
      </c>
      <c r="G219" s="25">
        <f>'дод 2'!H292+'дод 2'!H136+'дод 2'!H184+'дод 2'!H356</f>
        <v>0</v>
      </c>
      <c r="H219" s="25">
        <f>'дод 2'!I292+'дод 2'!I136+'дод 2'!I184+'дод 2'!I356</f>
        <v>0</v>
      </c>
      <c r="I219" s="25">
        <f>'дод 2'!J292+'дод 2'!J136+'дод 2'!J184+'дод 2'!J356</f>
        <v>0</v>
      </c>
      <c r="J219" s="25">
        <f>'дод 2'!K292+'дод 2'!K136+'дод 2'!K184+'дод 2'!K356</f>
        <v>0</v>
      </c>
      <c r="K219" s="25">
        <f>'дод 2'!L292+'дод 2'!L136+'дод 2'!L184+'дод 2'!L356</f>
        <v>0</v>
      </c>
      <c r="L219" s="120" t="e">
        <f t="shared" si="58"/>
        <v>#DIV/0!</v>
      </c>
      <c r="M219" s="25">
        <f>'дод 2'!N292+'дод 2'!N136+'дод 2'!N184+'дод 2'!N356</f>
        <v>0</v>
      </c>
      <c r="N219" s="25">
        <f>'дод 2'!O292+'дод 2'!O136+'дод 2'!O184+'дод 2'!O356</f>
        <v>0</v>
      </c>
      <c r="O219" s="25">
        <f>'дод 2'!P292+'дод 2'!P136+'дод 2'!P184+'дод 2'!P356</f>
        <v>0</v>
      </c>
      <c r="P219" s="25">
        <f>'дод 2'!Q292+'дод 2'!Q136+'дод 2'!Q184+'дод 2'!Q356</f>
        <v>0</v>
      </c>
      <c r="Q219" s="25">
        <f>'дод 2'!R292+'дод 2'!R136+'дод 2'!R184+'дод 2'!R356</f>
        <v>0</v>
      </c>
      <c r="R219" s="25">
        <f>'дод 2'!S292+'дод 2'!S136+'дод 2'!S184+'дод 2'!S356</f>
        <v>0</v>
      </c>
      <c r="S219" s="25">
        <f>'дод 2'!T292+'дод 2'!T136+'дод 2'!T184+'дод 2'!T356</f>
        <v>0</v>
      </c>
      <c r="T219" s="25">
        <f>'дод 2'!U292+'дод 2'!U136+'дод 2'!U184+'дод 2'!U356</f>
        <v>0</v>
      </c>
      <c r="U219" s="25">
        <f>'дод 2'!V292+'дод 2'!V136+'дод 2'!V184+'дод 2'!V356</f>
        <v>0</v>
      </c>
      <c r="V219" s="25">
        <f>'дод 2'!W292+'дод 2'!W136+'дод 2'!W184+'дод 2'!W356</f>
        <v>0</v>
      </c>
      <c r="W219" s="25">
        <f>'дод 2'!X292+'дод 2'!X136+'дод 2'!X184+'дод 2'!X356</f>
        <v>0</v>
      </c>
      <c r="X219" s="25">
        <f>'дод 2'!Y292+'дод 2'!Y136+'дод 2'!Y184+'дод 2'!Y356</f>
        <v>0</v>
      </c>
      <c r="Y219" s="25">
        <f>'дод 2'!Z292+'дод 2'!Z136+'дод 2'!Z184+'дод 2'!Z356</f>
        <v>0</v>
      </c>
      <c r="Z219" s="120" t="e">
        <f t="shared" si="56"/>
        <v>#DIV/0!</v>
      </c>
      <c r="AA219" s="25">
        <f t="shared" si="57"/>
        <v>0</v>
      </c>
    </row>
    <row r="220" spans="1:27" s="31" customFormat="1" ht="47.25" hidden="1" customHeight="1" x14ac:dyDescent="0.25">
      <c r="A220" s="27"/>
      <c r="B220" s="41"/>
      <c r="C220" s="29" t="s">
        <v>597</v>
      </c>
      <c r="D220" s="30">
        <f>'дод 2'!E137+'дод 2'!E185+'дод 2'!E293+'дод 2'!E357</f>
        <v>0</v>
      </c>
      <c r="E220" s="30">
        <f>'дод 2'!F137+'дод 2'!F185+'дод 2'!F293+'дод 2'!F357</f>
        <v>0</v>
      </c>
      <c r="F220" s="30">
        <f>'дод 2'!G137+'дод 2'!G185+'дод 2'!G293+'дод 2'!G357</f>
        <v>0</v>
      </c>
      <c r="G220" s="30">
        <f>'дод 2'!H137+'дод 2'!H185+'дод 2'!H293+'дод 2'!H357</f>
        <v>0</v>
      </c>
      <c r="H220" s="30">
        <f>'дод 2'!I137+'дод 2'!I185+'дод 2'!I293+'дод 2'!I357</f>
        <v>0</v>
      </c>
      <c r="I220" s="30">
        <f>'дод 2'!J137+'дод 2'!J185+'дод 2'!J293+'дод 2'!J357</f>
        <v>0</v>
      </c>
      <c r="J220" s="30">
        <f>'дод 2'!K137+'дод 2'!K185+'дод 2'!K293+'дод 2'!K357</f>
        <v>0</v>
      </c>
      <c r="K220" s="30">
        <f>'дод 2'!L137+'дод 2'!L185+'дод 2'!L293+'дод 2'!L357</f>
        <v>0</v>
      </c>
      <c r="L220" s="120" t="e">
        <f t="shared" si="58"/>
        <v>#DIV/0!</v>
      </c>
      <c r="M220" s="30">
        <f>'дод 2'!N137+'дод 2'!N185+'дод 2'!N293+'дод 2'!N357</f>
        <v>0</v>
      </c>
      <c r="N220" s="30">
        <f>'дод 2'!O137+'дод 2'!O185+'дод 2'!O293+'дод 2'!O357</f>
        <v>0</v>
      </c>
      <c r="O220" s="30">
        <f>'дод 2'!P137+'дод 2'!P185+'дод 2'!P293+'дод 2'!P357</f>
        <v>0</v>
      </c>
      <c r="P220" s="30">
        <f>'дод 2'!Q137+'дод 2'!Q185+'дод 2'!Q293+'дод 2'!Q357</f>
        <v>0</v>
      </c>
      <c r="Q220" s="30">
        <f>'дод 2'!R137+'дод 2'!R185+'дод 2'!R293+'дод 2'!R357</f>
        <v>0</v>
      </c>
      <c r="R220" s="30">
        <f>'дод 2'!S137+'дод 2'!S185+'дод 2'!S293+'дод 2'!S357</f>
        <v>0</v>
      </c>
      <c r="S220" s="30">
        <f>'дод 2'!T137+'дод 2'!T185+'дод 2'!T293+'дод 2'!T357</f>
        <v>0</v>
      </c>
      <c r="T220" s="30">
        <f>'дод 2'!U137+'дод 2'!U185+'дод 2'!U293+'дод 2'!U357</f>
        <v>0</v>
      </c>
      <c r="U220" s="30">
        <f>'дод 2'!V137+'дод 2'!V185+'дод 2'!V293+'дод 2'!V357</f>
        <v>0</v>
      </c>
      <c r="V220" s="30">
        <f>'дод 2'!W137+'дод 2'!W185+'дод 2'!W293+'дод 2'!W357</f>
        <v>0</v>
      </c>
      <c r="W220" s="30">
        <f>'дод 2'!X137+'дод 2'!X185+'дод 2'!X293+'дод 2'!X357</f>
        <v>0</v>
      </c>
      <c r="X220" s="30">
        <f>'дод 2'!Y137+'дод 2'!Y185+'дод 2'!Y293+'дод 2'!Y357</f>
        <v>0</v>
      </c>
      <c r="Y220" s="30">
        <f>'дод 2'!Z137+'дод 2'!Z185+'дод 2'!Z293+'дод 2'!Z357</f>
        <v>0</v>
      </c>
      <c r="Z220" s="120" t="e">
        <f t="shared" si="56"/>
        <v>#DIV/0!</v>
      </c>
      <c r="AA220" s="25">
        <f t="shared" si="57"/>
        <v>0</v>
      </c>
    </row>
    <row r="221" spans="1:27" ht="31.5" hidden="1" customHeight="1" x14ac:dyDescent="0.25">
      <c r="A221" s="24">
        <v>7368</v>
      </c>
      <c r="B221" s="24" t="s">
        <v>81</v>
      </c>
      <c r="C221" s="38" t="s">
        <v>534</v>
      </c>
      <c r="D221" s="25">
        <f>'дод 2'!E294</f>
        <v>0</v>
      </c>
      <c r="E221" s="25">
        <f>'дод 2'!F294</f>
        <v>0</v>
      </c>
      <c r="F221" s="25">
        <f>'дод 2'!G294</f>
        <v>0</v>
      </c>
      <c r="G221" s="25">
        <f>'дод 2'!H294</f>
        <v>0</v>
      </c>
      <c r="H221" s="25">
        <f>'дод 2'!I294</f>
        <v>0</v>
      </c>
      <c r="I221" s="25">
        <f>'дод 2'!J294</f>
        <v>0</v>
      </c>
      <c r="J221" s="25">
        <f>'дод 2'!K294</f>
        <v>0</v>
      </c>
      <c r="K221" s="25">
        <f>'дод 2'!L294</f>
        <v>0</v>
      </c>
      <c r="L221" s="120" t="e">
        <f t="shared" si="58"/>
        <v>#DIV/0!</v>
      </c>
      <c r="M221" s="25">
        <f>'дод 2'!N294</f>
        <v>0</v>
      </c>
      <c r="N221" s="25">
        <f>'дод 2'!O294</f>
        <v>0</v>
      </c>
      <c r="O221" s="25">
        <f>'дод 2'!P294</f>
        <v>0</v>
      </c>
      <c r="P221" s="25">
        <f>'дод 2'!Q294</f>
        <v>0</v>
      </c>
      <c r="Q221" s="25">
        <f>'дод 2'!R294</f>
        <v>0</v>
      </c>
      <c r="R221" s="25">
        <f>'дод 2'!S294</f>
        <v>0</v>
      </c>
      <c r="S221" s="25">
        <f>'дод 2'!T294</f>
        <v>0</v>
      </c>
      <c r="T221" s="25">
        <f>'дод 2'!U294</f>
        <v>0</v>
      </c>
      <c r="U221" s="25">
        <f>'дод 2'!V294</f>
        <v>0</v>
      </c>
      <c r="V221" s="25">
        <f>'дод 2'!W294</f>
        <v>0</v>
      </c>
      <c r="W221" s="25">
        <f>'дод 2'!X294</f>
        <v>0</v>
      </c>
      <c r="X221" s="25">
        <f>'дод 2'!Y294</f>
        <v>0</v>
      </c>
      <c r="Y221" s="25">
        <f>'дод 2'!Z294</f>
        <v>0</v>
      </c>
      <c r="Z221" s="120" t="e">
        <f t="shared" si="56"/>
        <v>#DIV/0!</v>
      </c>
      <c r="AA221" s="25">
        <f t="shared" si="57"/>
        <v>0</v>
      </c>
    </row>
    <row r="222" spans="1:27" s="31" customFormat="1" ht="15.75" hidden="1" customHeight="1" x14ac:dyDescent="0.25">
      <c r="A222" s="27"/>
      <c r="B222" s="41"/>
      <c r="C222" s="39" t="s">
        <v>387</v>
      </c>
      <c r="D222" s="30">
        <f>'дод 2'!E295</f>
        <v>0</v>
      </c>
      <c r="E222" s="30">
        <f>'дод 2'!F295</f>
        <v>0</v>
      </c>
      <c r="F222" s="30">
        <f>'дод 2'!G295</f>
        <v>0</v>
      </c>
      <c r="G222" s="30">
        <f>'дод 2'!H295</f>
        <v>0</v>
      </c>
      <c r="H222" s="30">
        <f>'дод 2'!I295</f>
        <v>0</v>
      </c>
      <c r="I222" s="30">
        <f>'дод 2'!J295</f>
        <v>0</v>
      </c>
      <c r="J222" s="30">
        <f>'дод 2'!K295</f>
        <v>0</v>
      </c>
      <c r="K222" s="30">
        <f>'дод 2'!L295</f>
        <v>0</v>
      </c>
      <c r="L222" s="120" t="e">
        <f t="shared" si="58"/>
        <v>#DIV/0!</v>
      </c>
      <c r="M222" s="30">
        <f>'дод 2'!N295</f>
        <v>0</v>
      </c>
      <c r="N222" s="30">
        <f>'дод 2'!O295</f>
        <v>0</v>
      </c>
      <c r="O222" s="30">
        <f>'дод 2'!P295</f>
        <v>0</v>
      </c>
      <c r="P222" s="30">
        <f>'дод 2'!Q295</f>
        <v>0</v>
      </c>
      <c r="Q222" s="30">
        <f>'дод 2'!R295</f>
        <v>0</v>
      </c>
      <c r="R222" s="30">
        <f>'дод 2'!S295</f>
        <v>0</v>
      </c>
      <c r="S222" s="30">
        <f>'дод 2'!T295</f>
        <v>0</v>
      </c>
      <c r="T222" s="30">
        <f>'дод 2'!U295</f>
        <v>0</v>
      </c>
      <c r="U222" s="30">
        <f>'дод 2'!V295</f>
        <v>0</v>
      </c>
      <c r="V222" s="30">
        <f>'дод 2'!W295</f>
        <v>0</v>
      </c>
      <c r="W222" s="30">
        <f>'дод 2'!X295</f>
        <v>0</v>
      </c>
      <c r="X222" s="30">
        <f>'дод 2'!Y295</f>
        <v>0</v>
      </c>
      <c r="Y222" s="30">
        <f>'дод 2'!Z295</f>
        <v>0</v>
      </c>
      <c r="Z222" s="120" t="e">
        <f t="shared" si="56"/>
        <v>#DIV/0!</v>
      </c>
      <c r="AA222" s="25">
        <f t="shared" si="57"/>
        <v>0</v>
      </c>
    </row>
    <row r="223" spans="1:27" s="31" customFormat="1" ht="31.5" customHeight="1" x14ac:dyDescent="0.25">
      <c r="A223" s="24">
        <v>7370</v>
      </c>
      <c r="B223" s="1" t="s">
        <v>81</v>
      </c>
      <c r="C223" s="38" t="s">
        <v>415</v>
      </c>
      <c r="D223" s="25">
        <f>'дод 2'!E358+'дод 2'!E370+'дод 2'!E401</f>
        <v>245000</v>
      </c>
      <c r="E223" s="25">
        <f>'дод 2'!F358+'дод 2'!F370+'дод 2'!F401</f>
        <v>245000</v>
      </c>
      <c r="F223" s="25">
        <f>'дод 2'!G358+'дод 2'!G370+'дод 2'!G401</f>
        <v>0</v>
      </c>
      <c r="G223" s="25">
        <f>'дод 2'!H358+'дод 2'!H370+'дод 2'!H401</f>
        <v>0</v>
      </c>
      <c r="H223" s="25">
        <f>'дод 2'!I358+'дод 2'!I370+'дод 2'!I401</f>
        <v>0</v>
      </c>
      <c r="I223" s="25">
        <f>'дод 2'!J358+'дод 2'!J370+'дод 2'!J401</f>
        <v>0</v>
      </c>
      <c r="J223" s="25">
        <f>'дод 2'!K358+'дод 2'!K370+'дод 2'!K401</f>
        <v>0</v>
      </c>
      <c r="K223" s="25">
        <f>'дод 2'!L358+'дод 2'!L370+'дод 2'!L401</f>
        <v>0</v>
      </c>
      <c r="L223" s="120">
        <f t="shared" si="58"/>
        <v>0</v>
      </c>
      <c r="M223" s="25">
        <f>'дод 2'!N358+'дод 2'!N370+'дод 2'!N401</f>
        <v>250000</v>
      </c>
      <c r="N223" s="25">
        <f>'дод 2'!O358+'дод 2'!O370+'дод 2'!O401</f>
        <v>250000</v>
      </c>
      <c r="O223" s="25">
        <f>'дод 2'!P358+'дод 2'!P370+'дод 2'!P401</f>
        <v>0</v>
      </c>
      <c r="P223" s="25">
        <f>'дод 2'!Q358+'дод 2'!Q370+'дод 2'!Q401</f>
        <v>0</v>
      </c>
      <c r="Q223" s="25">
        <f>'дод 2'!R358+'дод 2'!R370+'дод 2'!R401</f>
        <v>0</v>
      </c>
      <c r="R223" s="25">
        <f>'дод 2'!S358+'дод 2'!S370+'дод 2'!S401</f>
        <v>250000</v>
      </c>
      <c r="S223" s="25">
        <f>'дод 2'!T358+'дод 2'!T370+'дод 2'!T401</f>
        <v>495000</v>
      </c>
      <c r="T223" s="25">
        <f>'дод 2'!U358+'дод 2'!U370+'дод 2'!U401</f>
        <v>0</v>
      </c>
      <c r="U223" s="25">
        <f>'дод 2'!V358+'дод 2'!V370+'дод 2'!V401</f>
        <v>0</v>
      </c>
      <c r="V223" s="25">
        <f>'дод 2'!W358+'дод 2'!W370+'дод 2'!W401</f>
        <v>0</v>
      </c>
      <c r="W223" s="25">
        <f>'дод 2'!X358+'дод 2'!X370+'дод 2'!X401</f>
        <v>0</v>
      </c>
      <c r="X223" s="25">
        <f>'дод 2'!Y358+'дод 2'!Y370+'дод 2'!Y401</f>
        <v>0</v>
      </c>
      <c r="Y223" s="25">
        <f>'дод 2'!Z358+'дод 2'!Z370+'дод 2'!Z401</f>
        <v>0</v>
      </c>
      <c r="Z223" s="120">
        <f t="shared" si="56"/>
        <v>0</v>
      </c>
      <c r="AA223" s="25">
        <f t="shared" si="57"/>
        <v>0</v>
      </c>
    </row>
    <row r="224" spans="1:27" s="31" customFormat="1" ht="47.25" x14ac:dyDescent="0.25">
      <c r="A224" s="24">
        <v>7375</v>
      </c>
      <c r="B224" s="1" t="s">
        <v>81</v>
      </c>
      <c r="C224" s="38" t="s">
        <v>670</v>
      </c>
      <c r="D224" s="25">
        <f>'дод 2'!E301</f>
        <v>5800000</v>
      </c>
      <c r="E224" s="25">
        <f>'дод 2'!F301</f>
        <v>5800000</v>
      </c>
      <c r="F224" s="25">
        <f>'дод 2'!G301</f>
        <v>0</v>
      </c>
      <c r="G224" s="25">
        <f>'дод 2'!H301</f>
        <v>0</v>
      </c>
      <c r="H224" s="25">
        <f>'дод 2'!I301</f>
        <v>0</v>
      </c>
      <c r="I224" s="25">
        <f>'дод 2'!J301</f>
        <v>0</v>
      </c>
      <c r="J224" s="25">
        <f>'дод 2'!K301</f>
        <v>0</v>
      </c>
      <c r="K224" s="25">
        <f>'дод 2'!L301</f>
        <v>0</v>
      </c>
      <c r="L224" s="120">
        <f t="shared" si="58"/>
        <v>0</v>
      </c>
      <c r="M224" s="25">
        <f>'дод 2'!N301</f>
        <v>2700000</v>
      </c>
      <c r="N224" s="25">
        <f>'дод 2'!O301</f>
        <v>2700000</v>
      </c>
      <c r="O224" s="25">
        <f>'дод 2'!P301</f>
        <v>0</v>
      </c>
      <c r="P224" s="25">
        <f>'дод 2'!Q301</f>
        <v>0</v>
      </c>
      <c r="Q224" s="25">
        <f>'дод 2'!R301</f>
        <v>0</v>
      </c>
      <c r="R224" s="25">
        <f>'дод 2'!S301</f>
        <v>2700000</v>
      </c>
      <c r="S224" s="25">
        <f>'дод 2'!T301</f>
        <v>8500000</v>
      </c>
      <c r="T224" s="25">
        <f>'дод 2'!U301</f>
        <v>28878.79</v>
      </c>
      <c r="U224" s="25">
        <f>'дод 2'!V301</f>
        <v>28878.79</v>
      </c>
      <c r="V224" s="25">
        <f>'дод 2'!W301</f>
        <v>0</v>
      </c>
      <c r="W224" s="25">
        <f>'дод 2'!X301</f>
        <v>0</v>
      </c>
      <c r="X224" s="25">
        <f>'дод 2'!Y301</f>
        <v>0</v>
      </c>
      <c r="Y224" s="25">
        <f>'дод 2'!Z301</f>
        <v>28878.79</v>
      </c>
      <c r="Z224" s="120">
        <f t="shared" si="56"/>
        <v>1.0695848148148148</v>
      </c>
      <c r="AA224" s="25">
        <f t="shared" si="57"/>
        <v>28878.79</v>
      </c>
    </row>
    <row r="225" spans="1:27" s="31" customFormat="1" ht="45.75" hidden="1" customHeight="1" x14ac:dyDescent="0.25">
      <c r="A225" s="24">
        <v>7383</v>
      </c>
      <c r="B225" s="1" t="s">
        <v>81</v>
      </c>
      <c r="C225" s="38" t="s">
        <v>647</v>
      </c>
      <c r="D225" s="25">
        <f>'дод 2'!E302</f>
        <v>0</v>
      </c>
      <c r="E225" s="25">
        <f>'дод 2'!F302</f>
        <v>0</v>
      </c>
      <c r="F225" s="25">
        <f>'дод 2'!G302</f>
        <v>0</v>
      </c>
      <c r="G225" s="25">
        <f>'дод 2'!H302</f>
        <v>0</v>
      </c>
      <c r="H225" s="25">
        <f>'дод 2'!I302</f>
        <v>0</v>
      </c>
      <c r="I225" s="25">
        <f>'дод 2'!J302</f>
        <v>0</v>
      </c>
      <c r="J225" s="25">
        <f>'дод 2'!K302</f>
        <v>0</v>
      </c>
      <c r="K225" s="25">
        <f>'дод 2'!L302</f>
        <v>0</v>
      </c>
      <c r="L225" s="120" t="e">
        <f t="shared" si="58"/>
        <v>#DIV/0!</v>
      </c>
      <c r="M225" s="25">
        <f>'дод 2'!N302</f>
        <v>0</v>
      </c>
      <c r="N225" s="25">
        <f>'дод 2'!O302</f>
        <v>0</v>
      </c>
      <c r="O225" s="25">
        <f>'дод 2'!P302</f>
        <v>0</v>
      </c>
      <c r="P225" s="25">
        <f>'дод 2'!Q302</f>
        <v>0</v>
      </c>
      <c r="Q225" s="25">
        <f>'дод 2'!R302</f>
        <v>0</v>
      </c>
      <c r="R225" s="25">
        <f>'дод 2'!S302</f>
        <v>0</v>
      </c>
      <c r="S225" s="25">
        <f>'дод 2'!T302</f>
        <v>0</v>
      </c>
      <c r="T225" s="25">
        <f>'дод 2'!U302</f>
        <v>0</v>
      </c>
      <c r="U225" s="25">
        <f>'дод 2'!V302</f>
        <v>0</v>
      </c>
      <c r="V225" s="25">
        <f>'дод 2'!W302</f>
        <v>0</v>
      </c>
      <c r="W225" s="25">
        <f>'дод 2'!X302</f>
        <v>0</v>
      </c>
      <c r="X225" s="25">
        <f>'дод 2'!Y302</f>
        <v>0</v>
      </c>
      <c r="Y225" s="25">
        <f>'дод 2'!Z302</f>
        <v>0</v>
      </c>
      <c r="Z225" s="120" t="e">
        <f t="shared" si="56"/>
        <v>#DIV/0!</v>
      </c>
      <c r="AA225" s="25">
        <f t="shared" si="57"/>
        <v>0</v>
      </c>
    </row>
    <row r="226" spans="1:27" s="31" customFormat="1" ht="48" hidden="1" customHeight="1" x14ac:dyDescent="0.25">
      <c r="A226" s="24"/>
      <c r="B226" s="1"/>
      <c r="C226" s="39" t="s">
        <v>648</v>
      </c>
      <c r="D226" s="30">
        <f>'дод 2'!E303</f>
        <v>0</v>
      </c>
      <c r="E226" s="30">
        <f>'дод 2'!F303</f>
        <v>0</v>
      </c>
      <c r="F226" s="30">
        <f>'дод 2'!G303</f>
        <v>0</v>
      </c>
      <c r="G226" s="30">
        <f>'дод 2'!H303</f>
        <v>0</v>
      </c>
      <c r="H226" s="30">
        <f>'дод 2'!I303</f>
        <v>0</v>
      </c>
      <c r="I226" s="30">
        <f>'дод 2'!J303</f>
        <v>0</v>
      </c>
      <c r="J226" s="30">
        <f>'дод 2'!K303</f>
        <v>0</v>
      </c>
      <c r="K226" s="30">
        <f>'дод 2'!L303</f>
        <v>0</v>
      </c>
      <c r="L226" s="120" t="e">
        <f t="shared" si="58"/>
        <v>#DIV/0!</v>
      </c>
      <c r="M226" s="30">
        <f>'дод 2'!N303</f>
        <v>0</v>
      </c>
      <c r="N226" s="30">
        <f>'дод 2'!O303</f>
        <v>0</v>
      </c>
      <c r="O226" s="30">
        <f>'дод 2'!P303</f>
        <v>0</v>
      </c>
      <c r="P226" s="30">
        <f>'дод 2'!Q303</f>
        <v>0</v>
      </c>
      <c r="Q226" s="30">
        <f>'дод 2'!R303</f>
        <v>0</v>
      </c>
      <c r="R226" s="30">
        <f>'дод 2'!S303</f>
        <v>0</v>
      </c>
      <c r="S226" s="30">
        <f>'дод 2'!T303</f>
        <v>0</v>
      </c>
      <c r="T226" s="30">
        <f>'дод 2'!U303</f>
        <v>0</v>
      </c>
      <c r="U226" s="30">
        <f>'дод 2'!V303</f>
        <v>0</v>
      </c>
      <c r="V226" s="30">
        <f>'дод 2'!W303</f>
        <v>0</v>
      </c>
      <c r="W226" s="30">
        <f>'дод 2'!X303</f>
        <v>0</v>
      </c>
      <c r="X226" s="30">
        <f>'дод 2'!Y303</f>
        <v>0</v>
      </c>
      <c r="Y226" s="30">
        <f>'дод 2'!Z303</f>
        <v>0</v>
      </c>
      <c r="Z226" s="120" t="e">
        <f t="shared" si="56"/>
        <v>#DIV/0!</v>
      </c>
      <c r="AA226" s="25">
        <f t="shared" si="57"/>
        <v>0</v>
      </c>
    </row>
    <row r="227" spans="1:27" s="31" customFormat="1" ht="75.400000000000006" customHeight="1" x14ac:dyDescent="0.25">
      <c r="A227" s="24">
        <v>7384</v>
      </c>
      <c r="B227" s="1" t="s">
        <v>81</v>
      </c>
      <c r="C227" s="40" t="s">
        <v>682</v>
      </c>
      <c r="D227" s="30">
        <f>'дод 2'!E307+'дод 2'!E138</f>
        <v>0</v>
      </c>
      <c r="E227" s="30">
        <f>'дод 2'!F307+'дод 2'!F138</f>
        <v>0</v>
      </c>
      <c r="F227" s="30">
        <f>'дод 2'!G307+'дод 2'!G138</f>
        <v>0</v>
      </c>
      <c r="G227" s="30">
        <f>'дод 2'!H307+'дод 2'!H138</f>
        <v>0</v>
      </c>
      <c r="H227" s="30">
        <f>'дод 2'!I307+'дод 2'!I138</f>
        <v>0</v>
      </c>
      <c r="I227" s="30">
        <f>'дод 2'!J307+'дод 2'!J138</f>
        <v>0</v>
      </c>
      <c r="J227" s="30">
        <f>'дод 2'!K307+'дод 2'!K138</f>
        <v>0</v>
      </c>
      <c r="K227" s="30">
        <f>'дод 2'!L307+'дод 2'!L138</f>
        <v>0</v>
      </c>
      <c r="L227" s="120"/>
      <c r="M227" s="30">
        <f>'дод 2'!N307+'дод 2'!N138</f>
        <v>67150626.659999996</v>
      </c>
      <c r="N227" s="30">
        <f>'дод 2'!O307+'дод 2'!O138</f>
        <v>0</v>
      </c>
      <c r="O227" s="30">
        <f>'дод 2'!P307+'дод 2'!P138</f>
        <v>0</v>
      </c>
      <c r="P227" s="30">
        <f>'дод 2'!Q307+'дод 2'!Q138</f>
        <v>0</v>
      </c>
      <c r="Q227" s="30">
        <f>'дод 2'!R307+'дод 2'!R138</f>
        <v>0</v>
      </c>
      <c r="R227" s="30">
        <f>'дод 2'!S307+'дод 2'!S138</f>
        <v>67150626.659999996</v>
      </c>
      <c r="S227" s="30">
        <f>'дод 2'!T307+'дод 2'!T138</f>
        <v>67150626.659999996</v>
      </c>
      <c r="T227" s="30">
        <f>'дод 2'!U307+'дод 2'!U138</f>
        <v>11116585.039999999</v>
      </c>
      <c r="U227" s="30">
        <f>'дод 2'!V307+'дод 2'!V138</f>
        <v>0</v>
      </c>
      <c r="V227" s="30">
        <f>'дод 2'!W307+'дод 2'!W138</f>
        <v>0</v>
      </c>
      <c r="W227" s="30">
        <f>'дод 2'!X307+'дод 2'!X138</f>
        <v>0</v>
      </c>
      <c r="X227" s="30">
        <f>'дод 2'!Y307+'дод 2'!Y138</f>
        <v>0</v>
      </c>
      <c r="Y227" s="30">
        <f>'дод 2'!Z307+'дод 2'!Z138</f>
        <v>11116585.039999999</v>
      </c>
      <c r="Z227" s="120">
        <f t="shared" si="56"/>
        <v>16.554700369791007</v>
      </c>
      <c r="AA227" s="25">
        <f t="shared" si="57"/>
        <v>11116585.039999999</v>
      </c>
    </row>
    <row r="228" spans="1:27" s="31" customFormat="1" ht="102.75" customHeight="1" x14ac:dyDescent="0.25">
      <c r="A228" s="27"/>
      <c r="B228" s="41"/>
      <c r="C228" s="48" t="s">
        <v>686</v>
      </c>
      <c r="D228" s="30">
        <f>'дод 2'!E308+'дод 2'!E139</f>
        <v>0</v>
      </c>
      <c r="E228" s="30">
        <f>'дод 2'!F308+'дод 2'!F139</f>
        <v>0</v>
      </c>
      <c r="F228" s="30">
        <f>'дод 2'!G308+'дод 2'!G139</f>
        <v>0</v>
      </c>
      <c r="G228" s="30">
        <f>'дод 2'!H308+'дод 2'!H139</f>
        <v>0</v>
      </c>
      <c r="H228" s="30">
        <f>'дод 2'!I308+'дод 2'!I139</f>
        <v>0</v>
      </c>
      <c r="I228" s="30">
        <f>'дод 2'!J308+'дод 2'!J139</f>
        <v>0</v>
      </c>
      <c r="J228" s="30">
        <f>'дод 2'!K308+'дод 2'!K139</f>
        <v>0</v>
      </c>
      <c r="K228" s="30">
        <f>'дод 2'!L308+'дод 2'!L139</f>
        <v>0</v>
      </c>
      <c r="L228" s="120"/>
      <c r="M228" s="30">
        <f>'дод 2'!N308+'дод 2'!N139</f>
        <v>67150626.659999996</v>
      </c>
      <c r="N228" s="30">
        <f>'дод 2'!O308+'дод 2'!O139</f>
        <v>0</v>
      </c>
      <c r="O228" s="30">
        <f>'дод 2'!P308+'дод 2'!P139</f>
        <v>0</v>
      </c>
      <c r="P228" s="30">
        <f>'дод 2'!Q308+'дод 2'!Q139</f>
        <v>0</v>
      </c>
      <c r="Q228" s="30">
        <f>'дод 2'!R308+'дод 2'!R139</f>
        <v>0</v>
      </c>
      <c r="R228" s="30">
        <f>'дод 2'!S308+'дод 2'!S139</f>
        <v>67150626.659999996</v>
      </c>
      <c r="S228" s="30">
        <f>'дод 2'!T308+'дод 2'!T139</f>
        <v>67150626.659999996</v>
      </c>
      <c r="T228" s="30">
        <f>'дод 2'!U308+'дод 2'!U139</f>
        <v>11116585.039999999</v>
      </c>
      <c r="U228" s="30">
        <f>'дод 2'!V308+'дод 2'!V139</f>
        <v>0</v>
      </c>
      <c r="V228" s="30">
        <f>'дод 2'!W308+'дод 2'!W139</f>
        <v>0</v>
      </c>
      <c r="W228" s="30">
        <f>'дод 2'!X308+'дод 2'!X139</f>
        <v>0</v>
      </c>
      <c r="X228" s="30">
        <f>'дод 2'!Y308+'дод 2'!Y139</f>
        <v>0</v>
      </c>
      <c r="Y228" s="30">
        <f>'дод 2'!Z308+'дод 2'!Z139</f>
        <v>11116585.039999999</v>
      </c>
      <c r="Z228" s="125">
        <f t="shared" si="56"/>
        <v>16.554700369791007</v>
      </c>
      <c r="AA228" s="30">
        <f t="shared" si="57"/>
        <v>11116585.039999999</v>
      </c>
    </row>
    <row r="229" spans="1:27" s="19" customFormat="1" ht="34.5" customHeight="1" x14ac:dyDescent="0.25">
      <c r="A229" s="32" t="s">
        <v>84</v>
      </c>
      <c r="B229" s="49"/>
      <c r="C229" s="50" t="s">
        <v>558</v>
      </c>
      <c r="D229" s="23">
        <f>D233+D234+D235+D236+D238+D240+D239</f>
        <v>91381000</v>
      </c>
      <c r="E229" s="23">
        <f t="shared" ref="E229:Y229" si="59">E233+E234+E235+E236+E238+E240+E239</f>
        <v>321000</v>
      </c>
      <c r="F229" s="23">
        <f t="shared" si="59"/>
        <v>0</v>
      </c>
      <c r="G229" s="23">
        <f t="shared" si="59"/>
        <v>0</v>
      </c>
      <c r="H229" s="23">
        <f t="shared" si="59"/>
        <v>91060000</v>
      </c>
      <c r="I229" s="23">
        <f t="shared" si="59"/>
        <v>38869036</v>
      </c>
      <c r="J229" s="23">
        <f t="shared" si="59"/>
        <v>0</v>
      </c>
      <c r="K229" s="23">
        <f t="shared" si="59"/>
        <v>0</v>
      </c>
      <c r="L229" s="123">
        <f t="shared" si="58"/>
        <v>42.535139689869879</v>
      </c>
      <c r="M229" s="23">
        <f t="shared" si="59"/>
        <v>0</v>
      </c>
      <c r="N229" s="23">
        <f t="shared" si="59"/>
        <v>0</v>
      </c>
      <c r="O229" s="23">
        <f t="shared" si="59"/>
        <v>0</v>
      </c>
      <c r="P229" s="23">
        <f t="shared" si="59"/>
        <v>0</v>
      </c>
      <c r="Q229" s="23">
        <f t="shared" si="59"/>
        <v>0</v>
      </c>
      <c r="R229" s="23">
        <f t="shared" si="59"/>
        <v>0</v>
      </c>
      <c r="S229" s="23">
        <f t="shared" si="59"/>
        <v>91381000</v>
      </c>
      <c r="T229" s="23">
        <f t="shared" si="59"/>
        <v>0</v>
      </c>
      <c r="U229" s="23">
        <f t="shared" si="59"/>
        <v>0</v>
      </c>
      <c r="V229" s="23">
        <f t="shared" si="59"/>
        <v>0</v>
      </c>
      <c r="W229" s="23">
        <f t="shared" si="59"/>
        <v>0</v>
      </c>
      <c r="X229" s="23">
        <f t="shared" si="59"/>
        <v>0</v>
      </c>
      <c r="Y229" s="23">
        <f t="shared" si="59"/>
        <v>0</v>
      </c>
      <c r="Z229" s="120"/>
      <c r="AA229" s="23">
        <f t="shared" si="57"/>
        <v>38869036</v>
      </c>
    </row>
    <row r="230" spans="1:27" s="37" customFormat="1" ht="97.5" hidden="1" customHeight="1" x14ac:dyDescent="0.25">
      <c r="A230" s="34"/>
      <c r="B230" s="51"/>
      <c r="C230" s="35" t="s">
        <v>389</v>
      </c>
      <c r="D230" s="36">
        <f t="shared" ref="D230" si="60">D241</f>
        <v>0</v>
      </c>
      <c r="E230" s="36">
        <f t="shared" ref="E230:Y230" si="61">E241</f>
        <v>0</v>
      </c>
      <c r="F230" s="36">
        <f t="shared" si="61"/>
        <v>0</v>
      </c>
      <c r="G230" s="36">
        <f t="shared" si="61"/>
        <v>0</v>
      </c>
      <c r="H230" s="36">
        <f t="shared" si="61"/>
        <v>0</v>
      </c>
      <c r="I230" s="36">
        <f t="shared" si="61"/>
        <v>0</v>
      </c>
      <c r="J230" s="36">
        <f t="shared" si="61"/>
        <v>0</v>
      </c>
      <c r="K230" s="36">
        <f t="shared" si="61"/>
        <v>0</v>
      </c>
      <c r="L230" s="120" t="e">
        <f t="shared" si="58"/>
        <v>#DIV/0!</v>
      </c>
      <c r="M230" s="36">
        <f t="shared" si="61"/>
        <v>0</v>
      </c>
      <c r="N230" s="36">
        <f t="shared" si="61"/>
        <v>0</v>
      </c>
      <c r="O230" s="36">
        <f t="shared" si="61"/>
        <v>0</v>
      </c>
      <c r="P230" s="36">
        <f t="shared" si="61"/>
        <v>0</v>
      </c>
      <c r="Q230" s="36">
        <f t="shared" si="61"/>
        <v>0</v>
      </c>
      <c r="R230" s="36">
        <f t="shared" si="61"/>
        <v>0</v>
      </c>
      <c r="S230" s="36">
        <f t="shared" si="61"/>
        <v>0</v>
      </c>
      <c r="T230" s="36">
        <f t="shared" si="61"/>
        <v>0</v>
      </c>
      <c r="U230" s="36">
        <f t="shared" si="61"/>
        <v>0</v>
      </c>
      <c r="V230" s="36">
        <f t="shared" si="61"/>
        <v>0</v>
      </c>
      <c r="W230" s="36">
        <f t="shared" si="61"/>
        <v>0</v>
      </c>
      <c r="X230" s="36">
        <f t="shared" si="61"/>
        <v>0</v>
      </c>
      <c r="Y230" s="36">
        <f t="shared" si="61"/>
        <v>0</v>
      </c>
      <c r="Z230" s="120" t="e">
        <f t="shared" si="56"/>
        <v>#DIV/0!</v>
      </c>
      <c r="AA230" s="25">
        <f t="shared" si="57"/>
        <v>0</v>
      </c>
    </row>
    <row r="231" spans="1:27" s="37" customFormat="1" ht="65.25" hidden="1" customHeight="1" x14ac:dyDescent="0.25">
      <c r="A231" s="34"/>
      <c r="B231" s="51"/>
      <c r="C231" s="35" t="s">
        <v>426</v>
      </c>
      <c r="D231" s="36" t="e">
        <f>#REF!</f>
        <v>#REF!</v>
      </c>
      <c r="E231" s="36" t="e">
        <f>#REF!</f>
        <v>#REF!</v>
      </c>
      <c r="F231" s="36" t="e">
        <f>#REF!</f>
        <v>#REF!</v>
      </c>
      <c r="G231" s="36" t="e">
        <f>#REF!</f>
        <v>#REF!</v>
      </c>
      <c r="H231" s="36" t="e">
        <f>#REF!</f>
        <v>#REF!</v>
      </c>
      <c r="I231" s="36" t="e">
        <f>#REF!</f>
        <v>#REF!</v>
      </c>
      <c r="J231" s="36" t="e">
        <f>#REF!</f>
        <v>#REF!</v>
      </c>
      <c r="K231" s="36" t="e">
        <f>#REF!</f>
        <v>#REF!</v>
      </c>
      <c r="L231" s="120" t="e">
        <f t="shared" si="58"/>
        <v>#REF!</v>
      </c>
      <c r="M231" s="36" t="e">
        <f>#REF!</f>
        <v>#REF!</v>
      </c>
      <c r="N231" s="36" t="e">
        <f>#REF!</f>
        <v>#REF!</v>
      </c>
      <c r="O231" s="36" t="e">
        <f>#REF!</f>
        <v>#REF!</v>
      </c>
      <c r="P231" s="36" t="e">
        <f>#REF!</f>
        <v>#REF!</v>
      </c>
      <c r="Q231" s="36" t="e">
        <f>#REF!</f>
        <v>#REF!</v>
      </c>
      <c r="R231" s="36" t="e">
        <f>#REF!</f>
        <v>#REF!</v>
      </c>
      <c r="S231" s="36" t="e">
        <f>#REF!</f>
        <v>#REF!</v>
      </c>
      <c r="T231" s="36" t="e">
        <f>#REF!</f>
        <v>#REF!</v>
      </c>
      <c r="U231" s="36" t="e">
        <f>#REF!</f>
        <v>#REF!</v>
      </c>
      <c r="V231" s="36" t="e">
        <f>#REF!</f>
        <v>#REF!</v>
      </c>
      <c r="W231" s="36" t="e">
        <f>#REF!</f>
        <v>#REF!</v>
      </c>
      <c r="X231" s="36" t="e">
        <f>#REF!</f>
        <v>#REF!</v>
      </c>
      <c r="Y231" s="36" t="e">
        <f>#REF!</f>
        <v>#REF!</v>
      </c>
      <c r="Z231" s="120" t="e">
        <f t="shared" si="56"/>
        <v>#REF!</v>
      </c>
      <c r="AA231" s="25" t="e">
        <f t="shared" si="57"/>
        <v>#REF!</v>
      </c>
    </row>
    <row r="232" spans="1:27" s="37" customFormat="1" ht="15.75" hidden="1" customHeight="1" x14ac:dyDescent="0.25">
      <c r="A232" s="34"/>
      <c r="B232" s="51"/>
      <c r="C232" s="8" t="s">
        <v>387</v>
      </c>
      <c r="D232" s="36" t="e">
        <f>#REF!</f>
        <v>#REF!</v>
      </c>
      <c r="E232" s="36" t="e">
        <f>#REF!</f>
        <v>#REF!</v>
      </c>
      <c r="F232" s="36" t="e">
        <f>#REF!</f>
        <v>#REF!</v>
      </c>
      <c r="G232" s="36" t="e">
        <f>#REF!</f>
        <v>#REF!</v>
      </c>
      <c r="H232" s="36" t="e">
        <f>#REF!</f>
        <v>#REF!</v>
      </c>
      <c r="I232" s="36" t="e">
        <f>#REF!</f>
        <v>#REF!</v>
      </c>
      <c r="J232" s="36" t="e">
        <f>#REF!</f>
        <v>#REF!</v>
      </c>
      <c r="K232" s="36" t="e">
        <f>#REF!</f>
        <v>#REF!</v>
      </c>
      <c r="L232" s="120" t="e">
        <f t="shared" si="58"/>
        <v>#REF!</v>
      </c>
      <c r="M232" s="36" t="e">
        <f>#REF!</f>
        <v>#REF!</v>
      </c>
      <c r="N232" s="36" t="e">
        <f>#REF!</f>
        <v>#REF!</v>
      </c>
      <c r="O232" s="36" t="e">
        <f>#REF!</f>
        <v>#REF!</v>
      </c>
      <c r="P232" s="36" t="e">
        <f>#REF!</f>
        <v>#REF!</v>
      </c>
      <c r="Q232" s="36" t="e">
        <f>#REF!</f>
        <v>#REF!</v>
      </c>
      <c r="R232" s="36" t="e">
        <f>#REF!</f>
        <v>#REF!</v>
      </c>
      <c r="S232" s="36" t="e">
        <f>#REF!</f>
        <v>#REF!</v>
      </c>
      <c r="T232" s="36" t="e">
        <f>#REF!</f>
        <v>#REF!</v>
      </c>
      <c r="U232" s="36" t="e">
        <f>#REF!</f>
        <v>#REF!</v>
      </c>
      <c r="V232" s="36" t="e">
        <f>#REF!</f>
        <v>#REF!</v>
      </c>
      <c r="W232" s="36" t="e">
        <f>#REF!</f>
        <v>#REF!</v>
      </c>
      <c r="X232" s="36" t="e">
        <f>#REF!</f>
        <v>#REF!</v>
      </c>
      <c r="Y232" s="36" t="e">
        <f>#REF!</f>
        <v>#REF!</v>
      </c>
      <c r="Z232" s="120" t="e">
        <f t="shared" si="56"/>
        <v>#REF!</v>
      </c>
      <c r="AA232" s="25" t="e">
        <f t="shared" si="57"/>
        <v>#REF!</v>
      </c>
    </row>
    <row r="233" spans="1:27" s="31" customFormat="1" ht="18.75" customHeight="1" x14ac:dyDescent="0.25">
      <c r="A233" s="24" t="s">
        <v>3</v>
      </c>
      <c r="B233" s="24" t="s">
        <v>83</v>
      </c>
      <c r="C233" s="40" t="s">
        <v>35</v>
      </c>
      <c r="D233" s="25">
        <f>'дод 2'!E45</f>
        <v>26100000</v>
      </c>
      <c r="E233" s="25">
        <f>'дод 2'!F45</f>
        <v>0</v>
      </c>
      <c r="F233" s="25">
        <f>'дод 2'!G45</f>
        <v>0</v>
      </c>
      <c r="G233" s="25">
        <f>'дод 2'!H45</f>
        <v>0</v>
      </c>
      <c r="H233" s="25">
        <f>'дод 2'!I45</f>
        <v>26100000</v>
      </c>
      <c r="I233" s="25">
        <f>'дод 2'!J45</f>
        <v>10969308</v>
      </c>
      <c r="J233" s="25">
        <f>'дод 2'!K45</f>
        <v>0</v>
      </c>
      <c r="K233" s="25">
        <f>'дод 2'!L45</f>
        <v>0</v>
      </c>
      <c r="L233" s="120">
        <f t="shared" si="58"/>
        <v>42.027999999999999</v>
      </c>
      <c r="M233" s="25">
        <f>'дод 2'!N45</f>
        <v>0</v>
      </c>
      <c r="N233" s="25">
        <f>'дод 2'!O45</f>
        <v>0</v>
      </c>
      <c r="O233" s="25">
        <f>'дод 2'!P45</f>
        <v>0</v>
      </c>
      <c r="P233" s="25">
        <f>'дод 2'!Q45</f>
        <v>0</v>
      </c>
      <c r="Q233" s="25">
        <f>'дод 2'!R45</f>
        <v>0</v>
      </c>
      <c r="R233" s="25">
        <f>'дод 2'!S45</f>
        <v>0</v>
      </c>
      <c r="S233" s="25">
        <f>'дод 2'!T45</f>
        <v>26100000</v>
      </c>
      <c r="T233" s="25">
        <f>'дод 2'!U45</f>
        <v>0</v>
      </c>
      <c r="U233" s="25">
        <f>'дод 2'!V45</f>
        <v>0</v>
      </c>
      <c r="V233" s="25">
        <f>'дод 2'!W45</f>
        <v>0</v>
      </c>
      <c r="W233" s="25">
        <f>'дод 2'!X45</f>
        <v>0</v>
      </c>
      <c r="X233" s="25">
        <f>'дод 2'!Y45</f>
        <v>0</v>
      </c>
      <c r="Y233" s="25">
        <f>'дод 2'!Z45</f>
        <v>0</v>
      </c>
      <c r="Z233" s="120"/>
      <c r="AA233" s="25">
        <f t="shared" si="57"/>
        <v>10969308</v>
      </c>
    </row>
    <row r="234" spans="1:27" s="31" customFormat="1" ht="20.25" hidden="1" customHeight="1" x14ac:dyDescent="0.25">
      <c r="A234" s="24">
        <v>7413</v>
      </c>
      <c r="B234" s="24" t="s">
        <v>83</v>
      </c>
      <c r="C234" s="40" t="s">
        <v>369</v>
      </c>
      <c r="D234" s="25">
        <f>'дод 2'!E46</f>
        <v>0</v>
      </c>
      <c r="E234" s="25">
        <f>'дод 2'!F46</f>
        <v>0</v>
      </c>
      <c r="F234" s="25">
        <f>'дод 2'!G46</f>
        <v>0</v>
      </c>
      <c r="G234" s="25">
        <f>'дод 2'!H46</f>
        <v>0</v>
      </c>
      <c r="H234" s="25">
        <f>'дод 2'!I46</f>
        <v>0</v>
      </c>
      <c r="I234" s="25">
        <f>'дод 2'!J46</f>
        <v>0</v>
      </c>
      <c r="J234" s="25">
        <f>'дод 2'!K46</f>
        <v>0</v>
      </c>
      <c r="K234" s="25">
        <f>'дод 2'!L46</f>
        <v>0</v>
      </c>
      <c r="L234" s="120" t="e">
        <f t="shared" si="58"/>
        <v>#DIV/0!</v>
      </c>
      <c r="M234" s="25">
        <f>'дод 2'!N46</f>
        <v>0</v>
      </c>
      <c r="N234" s="25">
        <f>'дод 2'!O46</f>
        <v>0</v>
      </c>
      <c r="O234" s="25">
        <f>'дод 2'!P46</f>
        <v>0</v>
      </c>
      <c r="P234" s="25">
        <f>'дод 2'!Q46</f>
        <v>0</v>
      </c>
      <c r="Q234" s="25">
        <f>'дод 2'!R46</f>
        <v>0</v>
      </c>
      <c r="R234" s="25">
        <f>'дод 2'!S46</f>
        <v>0</v>
      </c>
      <c r="S234" s="25">
        <f>'дод 2'!T46</f>
        <v>0</v>
      </c>
      <c r="T234" s="25">
        <f>'дод 2'!U46</f>
        <v>0</v>
      </c>
      <c r="U234" s="25">
        <f>'дод 2'!V46</f>
        <v>0</v>
      </c>
      <c r="V234" s="25">
        <f>'дод 2'!W46</f>
        <v>0</v>
      </c>
      <c r="W234" s="25">
        <f>'дод 2'!X46</f>
        <v>0</v>
      </c>
      <c r="X234" s="25">
        <f>'дод 2'!Y46</f>
        <v>0</v>
      </c>
      <c r="Y234" s="25">
        <f>'дод 2'!Z46</f>
        <v>0</v>
      </c>
      <c r="Z234" s="120" t="e">
        <f t="shared" si="56"/>
        <v>#DIV/0!</v>
      </c>
      <c r="AA234" s="25">
        <f t="shared" si="57"/>
        <v>0</v>
      </c>
    </row>
    <row r="235" spans="1:27" s="31" customFormat="1" ht="36" customHeight="1" x14ac:dyDescent="0.25">
      <c r="A235" s="3">
        <v>7422</v>
      </c>
      <c r="B235" s="1" t="s">
        <v>401</v>
      </c>
      <c r="C235" s="58" t="s">
        <v>522</v>
      </c>
      <c r="D235" s="25">
        <f>'дод 2'!E47</f>
        <v>64960000</v>
      </c>
      <c r="E235" s="25">
        <f>'дод 2'!F47</f>
        <v>0</v>
      </c>
      <c r="F235" s="25">
        <f>'дод 2'!G47</f>
        <v>0</v>
      </c>
      <c r="G235" s="25">
        <f>'дод 2'!H47</f>
        <v>0</v>
      </c>
      <c r="H235" s="25">
        <f>'дод 2'!I47</f>
        <v>64960000</v>
      </c>
      <c r="I235" s="25">
        <f>'дод 2'!J47</f>
        <v>27899728</v>
      </c>
      <c r="J235" s="25">
        <f>'дод 2'!K47</f>
        <v>0</v>
      </c>
      <c r="K235" s="25">
        <f>'дод 2'!L47</f>
        <v>0</v>
      </c>
      <c r="L235" s="120">
        <f t="shared" si="58"/>
        <v>42.94908866995074</v>
      </c>
      <c r="M235" s="25">
        <f>'дод 2'!N47</f>
        <v>0</v>
      </c>
      <c r="N235" s="25">
        <f>'дод 2'!O47</f>
        <v>0</v>
      </c>
      <c r="O235" s="25">
        <f>'дод 2'!P47</f>
        <v>0</v>
      </c>
      <c r="P235" s="25">
        <f>'дод 2'!Q47</f>
        <v>0</v>
      </c>
      <c r="Q235" s="25">
        <f>'дод 2'!R47</f>
        <v>0</v>
      </c>
      <c r="R235" s="25">
        <f>'дод 2'!S47</f>
        <v>0</v>
      </c>
      <c r="S235" s="25">
        <f>'дод 2'!T47</f>
        <v>64960000</v>
      </c>
      <c r="T235" s="25">
        <f>'дод 2'!U47</f>
        <v>0</v>
      </c>
      <c r="U235" s="25">
        <f>'дод 2'!V47</f>
        <v>0</v>
      </c>
      <c r="V235" s="25">
        <f>'дод 2'!W47</f>
        <v>0</v>
      </c>
      <c r="W235" s="25">
        <f>'дод 2'!X47</f>
        <v>0</v>
      </c>
      <c r="X235" s="25">
        <f>'дод 2'!Y47</f>
        <v>0</v>
      </c>
      <c r="Y235" s="25">
        <f>'дод 2'!Z47</f>
        <v>0</v>
      </c>
      <c r="Z235" s="120"/>
      <c r="AA235" s="25">
        <f t="shared" si="57"/>
        <v>27899728</v>
      </c>
    </row>
    <row r="236" spans="1:27" s="31" customFormat="1" ht="24" hidden="1" customHeight="1" x14ac:dyDescent="0.25">
      <c r="A236" s="24">
        <v>7426</v>
      </c>
      <c r="B236" s="26" t="s">
        <v>401</v>
      </c>
      <c r="C236" s="40" t="s">
        <v>370</v>
      </c>
      <c r="D236" s="25">
        <f>'дод 2'!E48</f>
        <v>0</v>
      </c>
      <c r="E236" s="25">
        <f>'дод 2'!F48</f>
        <v>0</v>
      </c>
      <c r="F236" s="25">
        <f>'дод 2'!G48</f>
        <v>0</v>
      </c>
      <c r="G236" s="25">
        <f>'дод 2'!H48</f>
        <v>0</v>
      </c>
      <c r="H236" s="25">
        <f>'дод 2'!I48</f>
        <v>0</v>
      </c>
      <c r="I236" s="25">
        <f>'дод 2'!J48</f>
        <v>0</v>
      </c>
      <c r="J236" s="25">
        <f>'дод 2'!K48</f>
        <v>0</v>
      </c>
      <c r="K236" s="25">
        <f>'дод 2'!L48</f>
        <v>0</v>
      </c>
      <c r="L236" s="120" t="e">
        <f t="shared" si="58"/>
        <v>#DIV/0!</v>
      </c>
      <c r="M236" s="25">
        <f>'дод 2'!N48</f>
        <v>0</v>
      </c>
      <c r="N236" s="25">
        <f>'дод 2'!O48</f>
        <v>0</v>
      </c>
      <c r="O236" s="25">
        <f>'дод 2'!P48</f>
        <v>0</v>
      </c>
      <c r="P236" s="25">
        <f>'дод 2'!Q48</f>
        <v>0</v>
      </c>
      <c r="Q236" s="25">
        <f>'дод 2'!R48</f>
        <v>0</v>
      </c>
      <c r="R236" s="25">
        <f>'дод 2'!S48</f>
        <v>0</v>
      </c>
      <c r="S236" s="25">
        <f>'дод 2'!T48</f>
        <v>0</v>
      </c>
      <c r="T236" s="25">
        <f>'дод 2'!U48</f>
        <v>0</v>
      </c>
      <c r="U236" s="25">
        <f>'дод 2'!V48</f>
        <v>0</v>
      </c>
      <c r="V236" s="25">
        <f>'дод 2'!W48</f>
        <v>0</v>
      </c>
      <c r="W236" s="25">
        <f>'дод 2'!X48</f>
        <v>0</v>
      </c>
      <c r="X236" s="25">
        <f>'дод 2'!Y48</f>
        <v>0</v>
      </c>
      <c r="Y236" s="25">
        <f>'дод 2'!Z48</f>
        <v>0</v>
      </c>
      <c r="Z236" s="120"/>
      <c r="AA236" s="25">
        <f t="shared" si="57"/>
        <v>0</v>
      </c>
    </row>
    <row r="237" spans="1:27" s="31" customFormat="1" ht="63" hidden="1" customHeight="1" x14ac:dyDescent="0.25">
      <c r="A237" s="27"/>
      <c r="B237" s="27"/>
      <c r="C237" s="29" t="s">
        <v>426</v>
      </c>
      <c r="D237" s="30">
        <f>'дод 2'!E297</f>
        <v>0</v>
      </c>
      <c r="E237" s="30">
        <f>'дод 2'!F297</f>
        <v>0</v>
      </c>
      <c r="F237" s="30">
        <f>'дод 2'!G297</f>
        <v>0</v>
      </c>
      <c r="G237" s="30">
        <f>'дод 2'!H297</f>
        <v>0</v>
      </c>
      <c r="H237" s="30">
        <f>'дод 2'!I297</f>
        <v>0</v>
      </c>
      <c r="I237" s="30">
        <f>'дод 2'!J297</f>
        <v>0</v>
      </c>
      <c r="J237" s="30">
        <f>'дод 2'!K297</f>
        <v>0</v>
      </c>
      <c r="K237" s="30">
        <f>'дод 2'!L297</f>
        <v>0</v>
      </c>
      <c r="L237" s="120" t="e">
        <f t="shared" si="58"/>
        <v>#DIV/0!</v>
      </c>
      <c r="M237" s="30">
        <f>'дод 2'!N297</f>
        <v>0</v>
      </c>
      <c r="N237" s="30">
        <f>'дод 2'!O297</f>
        <v>0</v>
      </c>
      <c r="O237" s="30">
        <f>'дод 2'!P297</f>
        <v>0</v>
      </c>
      <c r="P237" s="30">
        <f>'дод 2'!Q297</f>
        <v>0</v>
      </c>
      <c r="Q237" s="30">
        <f>'дод 2'!R297</f>
        <v>0</v>
      </c>
      <c r="R237" s="30">
        <f>'дод 2'!S297</f>
        <v>0</v>
      </c>
      <c r="S237" s="30">
        <f>'дод 2'!T297</f>
        <v>0</v>
      </c>
      <c r="T237" s="30">
        <f>'дод 2'!U297</f>
        <v>0</v>
      </c>
      <c r="U237" s="30">
        <f>'дод 2'!V297</f>
        <v>0</v>
      </c>
      <c r="V237" s="30">
        <f>'дод 2'!W297</f>
        <v>0</v>
      </c>
      <c r="W237" s="30">
        <f>'дод 2'!X297</f>
        <v>0</v>
      </c>
      <c r="X237" s="30">
        <f>'дод 2'!Y297</f>
        <v>0</v>
      </c>
      <c r="Y237" s="30">
        <f>'дод 2'!Z297</f>
        <v>0</v>
      </c>
      <c r="Z237" s="120"/>
      <c r="AA237" s="25">
        <f t="shared" si="57"/>
        <v>0</v>
      </c>
    </row>
    <row r="238" spans="1:27" s="31" customFormat="1" ht="18" customHeight="1" x14ac:dyDescent="0.25">
      <c r="A238" s="26" t="s">
        <v>433</v>
      </c>
      <c r="B238" s="26" t="s">
        <v>392</v>
      </c>
      <c r="C238" s="40" t="s">
        <v>439</v>
      </c>
      <c r="D238" s="25">
        <f>'дод 2'!E49</f>
        <v>321000</v>
      </c>
      <c r="E238" s="25">
        <f>'дод 2'!F49</f>
        <v>321000</v>
      </c>
      <c r="F238" s="25">
        <f>'дод 2'!G49</f>
        <v>0</v>
      </c>
      <c r="G238" s="25">
        <f>'дод 2'!H49</f>
        <v>0</v>
      </c>
      <c r="H238" s="25">
        <f>'дод 2'!I49</f>
        <v>0</v>
      </c>
      <c r="I238" s="25">
        <f>'дод 2'!J49</f>
        <v>0</v>
      </c>
      <c r="J238" s="25">
        <f>'дод 2'!K49</f>
        <v>0</v>
      </c>
      <c r="K238" s="25">
        <f>'дод 2'!L49</f>
        <v>0</v>
      </c>
      <c r="L238" s="120">
        <f t="shared" si="58"/>
        <v>0</v>
      </c>
      <c r="M238" s="25">
        <f>'дод 2'!N49</f>
        <v>0</v>
      </c>
      <c r="N238" s="25">
        <f>'дод 2'!O49</f>
        <v>0</v>
      </c>
      <c r="O238" s="25">
        <f>'дод 2'!P49</f>
        <v>0</v>
      </c>
      <c r="P238" s="25">
        <f>'дод 2'!Q49</f>
        <v>0</v>
      </c>
      <c r="Q238" s="25">
        <f>'дод 2'!R49</f>
        <v>0</v>
      </c>
      <c r="R238" s="25">
        <f>'дод 2'!S49</f>
        <v>0</v>
      </c>
      <c r="S238" s="25">
        <f>'дод 2'!T49</f>
        <v>321000</v>
      </c>
      <c r="T238" s="25">
        <f>'дод 2'!U49</f>
        <v>0</v>
      </c>
      <c r="U238" s="25">
        <f>'дод 2'!V49</f>
        <v>0</v>
      </c>
      <c r="V238" s="25">
        <f>'дод 2'!W49</f>
        <v>0</v>
      </c>
      <c r="W238" s="25">
        <f>'дод 2'!X49</f>
        <v>0</v>
      </c>
      <c r="X238" s="25">
        <f>'дод 2'!Y49</f>
        <v>0</v>
      </c>
      <c r="Y238" s="25">
        <f>'дод 2'!Z49</f>
        <v>0</v>
      </c>
      <c r="Z238" s="120"/>
      <c r="AA238" s="25">
        <f t="shared" si="57"/>
        <v>0</v>
      </c>
    </row>
    <row r="239" spans="1:27" s="31" customFormat="1" ht="39" hidden="1" customHeight="1" x14ac:dyDescent="0.25">
      <c r="A239" s="26" t="s">
        <v>664</v>
      </c>
      <c r="B239" s="26" t="s">
        <v>392</v>
      </c>
      <c r="C239" s="38" t="s">
        <v>665</v>
      </c>
      <c r="D239" s="25">
        <f>'дод 2'!E304</f>
        <v>0</v>
      </c>
      <c r="E239" s="25">
        <f>'дод 2'!F304</f>
        <v>0</v>
      </c>
      <c r="F239" s="25">
        <f>'дод 2'!G304</f>
        <v>0</v>
      </c>
      <c r="G239" s="25">
        <f>'дод 2'!H304</f>
        <v>0</v>
      </c>
      <c r="H239" s="25">
        <f>'дод 2'!I304</f>
        <v>0</v>
      </c>
      <c r="I239" s="25">
        <f>'дод 2'!J304</f>
        <v>0</v>
      </c>
      <c r="J239" s="25">
        <f>'дод 2'!K304</f>
        <v>0</v>
      </c>
      <c r="K239" s="25">
        <f>'дод 2'!L304</f>
        <v>0</v>
      </c>
      <c r="L239" s="120" t="e">
        <f t="shared" si="58"/>
        <v>#DIV/0!</v>
      </c>
      <c r="M239" s="25">
        <f>'дод 2'!N304</f>
        <v>0</v>
      </c>
      <c r="N239" s="25">
        <f>'дод 2'!O304</f>
        <v>0</v>
      </c>
      <c r="O239" s="25">
        <f>'дод 2'!P304</f>
        <v>0</v>
      </c>
      <c r="P239" s="25">
        <f>'дод 2'!Q304</f>
        <v>0</v>
      </c>
      <c r="Q239" s="25">
        <f>'дод 2'!R304</f>
        <v>0</v>
      </c>
      <c r="R239" s="25">
        <f>'дод 2'!S304</f>
        <v>0</v>
      </c>
      <c r="S239" s="25">
        <f>'дод 2'!T304</f>
        <v>0</v>
      </c>
      <c r="T239" s="25">
        <f>'дод 2'!U304</f>
        <v>0</v>
      </c>
      <c r="U239" s="25">
        <f>'дод 2'!V304</f>
        <v>0</v>
      </c>
      <c r="V239" s="25">
        <f>'дод 2'!W304</f>
        <v>0</v>
      </c>
      <c r="W239" s="25">
        <f>'дод 2'!X304</f>
        <v>0</v>
      </c>
      <c r="X239" s="25">
        <f>'дод 2'!Y304</f>
        <v>0</v>
      </c>
      <c r="Y239" s="25">
        <f>'дод 2'!Z304</f>
        <v>0</v>
      </c>
      <c r="Z239" s="120" t="e">
        <f t="shared" si="56"/>
        <v>#DIV/0!</v>
      </c>
      <c r="AA239" s="25">
        <f t="shared" si="57"/>
        <v>0</v>
      </c>
    </row>
    <row r="240" spans="1:27" s="31" customFormat="1" ht="54.75" hidden="1" customHeight="1" x14ac:dyDescent="0.25">
      <c r="A240" s="26" t="s">
        <v>502</v>
      </c>
      <c r="B240" s="26" t="s">
        <v>392</v>
      </c>
      <c r="C240" s="58" t="s">
        <v>391</v>
      </c>
      <c r="D240" s="25">
        <f>'дод 2'!E305</f>
        <v>0</v>
      </c>
      <c r="E240" s="25">
        <f>'дод 2'!F305</f>
        <v>0</v>
      </c>
      <c r="F240" s="25">
        <f>'дод 2'!G305</f>
        <v>0</v>
      </c>
      <c r="G240" s="25">
        <f>'дод 2'!H305</f>
        <v>0</v>
      </c>
      <c r="H240" s="25">
        <f>'дод 2'!I305</f>
        <v>0</v>
      </c>
      <c r="I240" s="25">
        <f>'дод 2'!J305</f>
        <v>0</v>
      </c>
      <c r="J240" s="25">
        <f>'дод 2'!K305</f>
        <v>0</v>
      </c>
      <c r="K240" s="25">
        <f>'дод 2'!L305</f>
        <v>0</v>
      </c>
      <c r="L240" s="120" t="e">
        <f t="shared" si="58"/>
        <v>#DIV/0!</v>
      </c>
      <c r="M240" s="25">
        <f>'дод 2'!N305</f>
        <v>0</v>
      </c>
      <c r="N240" s="25">
        <f>'дод 2'!O305</f>
        <v>0</v>
      </c>
      <c r="O240" s="25">
        <f>'дод 2'!P305</f>
        <v>0</v>
      </c>
      <c r="P240" s="25">
        <f>'дод 2'!Q305</f>
        <v>0</v>
      </c>
      <c r="Q240" s="25">
        <f>'дод 2'!R305</f>
        <v>0</v>
      </c>
      <c r="R240" s="25">
        <f>'дод 2'!S305</f>
        <v>0</v>
      </c>
      <c r="S240" s="25">
        <f>'дод 2'!T305</f>
        <v>0</v>
      </c>
      <c r="T240" s="25">
        <f>'дод 2'!U305</f>
        <v>0</v>
      </c>
      <c r="U240" s="25">
        <f>'дод 2'!V305</f>
        <v>0</v>
      </c>
      <c r="V240" s="25">
        <f>'дод 2'!W305</f>
        <v>0</v>
      </c>
      <c r="W240" s="25">
        <f>'дод 2'!X305</f>
        <v>0</v>
      </c>
      <c r="X240" s="25">
        <f>'дод 2'!Y305</f>
        <v>0</v>
      </c>
      <c r="Y240" s="25">
        <f>'дод 2'!Z305</f>
        <v>0</v>
      </c>
      <c r="Z240" s="120" t="e">
        <f t="shared" si="56"/>
        <v>#DIV/0!</v>
      </c>
      <c r="AA240" s="25">
        <f t="shared" si="57"/>
        <v>0</v>
      </c>
    </row>
    <row r="241" spans="1:27" s="31" customFormat="1" ht="104.25" hidden="1" customHeight="1" x14ac:dyDescent="0.25">
      <c r="A241" s="27"/>
      <c r="B241" s="27"/>
      <c r="C241" s="29" t="s">
        <v>389</v>
      </c>
      <c r="D241" s="30">
        <f>'дод 2'!E306</f>
        <v>0</v>
      </c>
      <c r="E241" s="30">
        <f>'дод 2'!F306</f>
        <v>0</v>
      </c>
      <c r="F241" s="30">
        <f>'дод 2'!G306</f>
        <v>0</v>
      </c>
      <c r="G241" s="30">
        <f>'дод 2'!H306</f>
        <v>0</v>
      </c>
      <c r="H241" s="30">
        <f>'дод 2'!I306</f>
        <v>0</v>
      </c>
      <c r="I241" s="30">
        <f>'дод 2'!J306</f>
        <v>0</v>
      </c>
      <c r="J241" s="30">
        <f>'дод 2'!K306</f>
        <v>0</v>
      </c>
      <c r="K241" s="30">
        <f>'дод 2'!L306</f>
        <v>0</v>
      </c>
      <c r="L241" s="120" t="e">
        <f t="shared" si="58"/>
        <v>#DIV/0!</v>
      </c>
      <c r="M241" s="30">
        <f>'дод 2'!N306</f>
        <v>0</v>
      </c>
      <c r="N241" s="30">
        <f>'дод 2'!O306</f>
        <v>0</v>
      </c>
      <c r="O241" s="30">
        <f>'дод 2'!P306</f>
        <v>0</v>
      </c>
      <c r="P241" s="30">
        <f>'дод 2'!Q306</f>
        <v>0</v>
      </c>
      <c r="Q241" s="30">
        <f>'дод 2'!R306</f>
        <v>0</v>
      </c>
      <c r="R241" s="30">
        <f>'дод 2'!S306</f>
        <v>0</v>
      </c>
      <c r="S241" s="30">
        <f>'дод 2'!T306</f>
        <v>0</v>
      </c>
      <c r="T241" s="30">
        <f>'дод 2'!U306</f>
        <v>0</v>
      </c>
      <c r="U241" s="30">
        <f>'дод 2'!V306</f>
        <v>0</v>
      </c>
      <c r="V241" s="30">
        <f>'дод 2'!W306</f>
        <v>0</v>
      </c>
      <c r="W241" s="30">
        <f>'дод 2'!X306</f>
        <v>0</v>
      </c>
      <c r="X241" s="30">
        <f>'дод 2'!Y306</f>
        <v>0</v>
      </c>
      <c r="Y241" s="30">
        <f>'дод 2'!Z306</f>
        <v>0</v>
      </c>
      <c r="Z241" s="120" t="e">
        <f t="shared" si="56"/>
        <v>#DIV/0!</v>
      </c>
      <c r="AA241" s="25">
        <f t="shared" si="57"/>
        <v>0</v>
      </c>
    </row>
    <row r="242" spans="1:27" s="19" customFormat="1" ht="18.75" customHeight="1" x14ac:dyDescent="0.25">
      <c r="A242" s="33" t="s">
        <v>234</v>
      </c>
      <c r="B242" s="49"/>
      <c r="C242" s="50" t="s">
        <v>235</v>
      </c>
      <c r="D242" s="23">
        <f>D243</f>
        <v>5696400</v>
      </c>
      <c r="E242" s="23">
        <f t="shared" ref="E242:Y242" si="62">E243</f>
        <v>5696400</v>
      </c>
      <c r="F242" s="23">
        <f t="shared" si="62"/>
        <v>0</v>
      </c>
      <c r="G242" s="23">
        <f t="shared" si="62"/>
        <v>0</v>
      </c>
      <c r="H242" s="23">
        <f t="shared" si="62"/>
        <v>0</v>
      </c>
      <c r="I242" s="23">
        <f t="shared" si="62"/>
        <v>294346.45</v>
      </c>
      <c r="J242" s="23">
        <f t="shared" si="62"/>
        <v>0</v>
      </c>
      <c r="K242" s="23">
        <f t="shared" si="62"/>
        <v>0</v>
      </c>
      <c r="L242" s="123">
        <f t="shared" si="58"/>
        <v>5.1672363246963</v>
      </c>
      <c r="M242" s="23">
        <f t="shared" si="62"/>
        <v>19036280</v>
      </c>
      <c r="N242" s="23">
        <f t="shared" si="62"/>
        <v>19036280</v>
      </c>
      <c r="O242" s="23">
        <f t="shared" si="62"/>
        <v>0</v>
      </c>
      <c r="P242" s="23">
        <f t="shared" si="62"/>
        <v>0</v>
      </c>
      <c r="Q242" s="23">
        <f t="shared" si="62"/>
        <v>0</v>
      </c>
      <c r="R242" s="23">
        <f t="shared" si="62"/>
        <v>19036280</v>
      </c>
      <c r="S242" s="23">
        <f t="shared" si="62"/>
        <v>24732680</v>
      </c>
      <c r="T242" s="23">
        <f t="shared" si="62"/>
        <v>0</v>
      </c>
      <c r="U242" s="23">
        <f t="shared" si="62"/>
        <v>0</v>
      </c>
      <c r="V242" s="23">
        <f t="shared" si="62"/>
        <v>0</v>
      </c>
      <c r="W242" s="23">
        <f t="shared" si="62"/>
        <v>0</v>
      </c>
      <c r="X242" s="23">
        <f t="shared" si="62"/>
        <v>0</v>
      </c>
      <c r="Y242" s="23">
        <f t="shared" si="62"/>
        <v>0</v>
      </c>
      <c r="Z242" s="120">
        <f t="shared" si="56"/>
        <v>0</v>
      </c>
      <c r="AA242" s="23">
        <f t="shared" si="57"/>
        <v>294346.45</v>
      </c>
    </row>
    <row r="243" spans="1:27" ht="28.5" customHeight="1" x14ac:dyDescent="0.25">
      <c r="A243" s="24" t="s">
        <v>232</v>
      </c>
      <c r="B243" s="24" t="s">
        <v>233</v>
      </c>
      <c r="C243" s="42" t="s">
        <v>231</v>
      </c>
      <c r="D243" s="25">
        <f>'дод 2'!E50+'дод 2'!E300</f>
        <v>5696400</v>
      </c>
      <c r="E243" s="25">
        <f>'дод 2'!F50+'дод 2'!F300</f>
        <v>5696400</v>
      </c>
      <c r="F243" s="25">
        <f>'дод 2'!G50+'дод 2'!G300</f>
        <v>0</v>
      </c>
      <c r="G243" s="25">
        <f>'дод 2'!H50+'дод 2'!H300</f>
        <v>0</v>
      </c>
      <c r="H243" s="25">
        <f>'дод 2'!I50+'дод 2'!I300</f>
        <v>0</v>
      </c>
      <c r="I243" s="25">
        <f>'дод 2'!J50+'дод 2'!J300</f>
        <v>294346.45</v>
      </c>
      <c r="J243" s="25">
        <f>'дод 2'!K50+'дод 2'!K300</f>
        <v>0</v>
      </c>
      <c r="K243" s="25">
        <f>'дод 2'!L50+'дод 2'!L300</f>
        <v>0</v>
      </c>
      <c r="L243" s="120">
        <f t="shared" si="58"/>
        <v>5.1672363246963</v>
      </c>
      <c r="M243" s="25">
        <f>'дод 2'!N50+'дод 2'!N300</f>
        <v>19036280</v>
      </c>
      <c r="N243" s="25">
        <f>'дод 2'!O50+'дод 2'!O300</f>
        <v>19036280</v>
      </c>
      <c r="O243" s="25">
        <f>'дод 2'!P50+'дод 2'!P300</f>
        <v>0</v>
      </c>
      <c r="P243" s="25">
        <f>'дод 2'!Q50+'дод 2'!Q300</f>
        <v>0</v>
      </c>
      <c r="Q243" s="25">
        <f>'дод 2'!R50+'дод 2'!R300</f>
        <v>0</v>
      </c>
      <c r="R243" s="25">
        <f>'дод 2'!S50+'дод 2'!S300</f>
        <v>19036280</v>
      </c>
      <c r="S243" s="25">
        <f>'дод 2'!T50+'дод 2'!T300</f>
        <v>24732680</v>
      </c>
      <c r="T243" s="25">
        <f>'дод 2'!U50+'дод 2'!U300</f>
        <v>0</v>
      </c>
      <c r="U243" s="25">
        <f>'дод 2'!V50+'дод 2'!V300</f>
        <v>0</v>
      </c>
      <c r="V243" s="25">
        <f>'дод 2'!W50+'дод 2'!W300</f>
        <v>0</v>
      </c>
      <c r="W243" s="25">
        <f>'дод 2'!X50+'дод 2'!X300</f>
        <v>0</v>
      </c>
      <c r="X243" s="25">
        <f>'дод 2'!Y50+'дод 2'!Y300</f>
        <v>0</v>
      </c>
      <c r="Y243" s="25">
        <f>'дод 2'!Z50+'дод 2'!Z300</f>
        <v>0</v>
      </c>
      <c r="Z243" s="120">
        <f t="shared" si="56"/>
        <v>0</v>
      </c>
      <c r="AA243" s="25">
        <f t="shared" si="57"/>
        <v>294346.45</v>
      </c>
    </row>
    <row r="244" spans="1:27" s="19" customFormat="1" ht="39.75" customHeight="1" x14ac:dyDescent="0.25">
      <c r="A244" s="32" t="s">
        <v>87</v>
      </c>
      <c r="B244" s="49"/>
      <c r="C244" s="50" t="s">
        <v>409</v>
      </c>
      <c r="D244" s="23">
        <f>D248+D249+D253+D254+D255+D257+D258+D259</f>
        <v>8013002</v>
      </c>
      <c r="E244" s="23">
        <f t="shared" ref="E244:Y244" si="63">E248+E249+E253+E254+E255+E257+E258+E259</f>
        <v>5333002</v>
      </c>
      <c r="F244" s="23">
        <f t="shared" si="63"/>
        <v>0</v>
      </c>
      <c r="G244" s="23">
        <f t="shared" si="63"/>
        <v>0</v>
      </c>
      <c r="H244" s="23">
        <f t="shared" si="63"/>
        <v>2680000</v>
      </c>
      <c r="I244" s="23">
        <f t="shared" si="63"/>
        <v>714047.33</v>
      </c>
      <c r="J244" s="23">
        <f t="shared" si="63"/>
        <v>0</v>
      </c>
      <c r="K244" s="23">
        <f t="shared" si="63"/>
        <v>0</v>
      </c>
      <c r="L244" s="123">
        <f t="shared" si="58"/>
        <v>8.9111088453490961</v>
      </c>
      <c r="M244" s="23">
        <f t="shared" si="63"/>
        <v>258975809.34999999</v>
      </c>
      <c r="N244" s="23">
        <f t="shared" si="63"/>
        <v>258566620</v>
      </c>
      <c r="O244" s="23">
        <f t="shared" si="63"/>
        <v>171189.35</v>
      </c>
      <c r="P244" s="23">
        <f t="shared" si="63"/>
        <v>0</v>
      </c>
      <c r="Q244" s="23">
        <f t="shared" ca="1" si="63"/>
        <v>8013002</v>
      </c>
      <c r="R244" s="23">
        <f t="shared" si="63"/>
        <v>258804620</v>
      </c>
      <c r="S244" s="23">
        <f t="shared" si="63"/>
        <v>266988811.34999999</v>
      </c>
      <c r="T244" s="23">
        <f t="shared" si="63"/>
        <v>18362471.329999998</v>
      </c>
      <c r="U244" s="23">
        <f t="shared" si="63"/>
        <v>18352471.329999998</v>
      </c>
      <c r="V244" s="23">
        <f t="shared" si="63"/>
        <v>10000</v>
      </c>
      <c r="W244" s="23">
        <f t="shared" si="63"/>
        <v>0</v>
      </c>
      <c r="X244" s="23">
        <f t="shared" si="63"/>
        <v>0</v>
      </c>
      <c r="Y244" s="23">
        <f t="shared" si="63"/>
        <v>18352471.329999998</v>
      </c>
      <c r="Z244" s="123">
        <f t="shared" si="56"/>
        <v>7.0904195168219486</v>
      </c>
      <c r="AA244" s="23">
        <f t="shared" si="57"/>
        <v>19076518.659999996</v>
      </c>
    </row>
    <row r="245" spans="1:27" s="37" customFormat="1" ht="16.5" customHeight="1" x14ac:dyDescent="0.25">
      <c r="A245" s="34"/>
      <c r="B245" s="34"/>
      <c r="C245" s="8" t="s">
        <v>407</v>
      </c>
      <c r="D245" s="36">
        <f>D250+D256</f>
        <v>0</v>
      </c>
      <c r="E245" s="36">
        <f t="shared" ref="E245:Y245" si="64">E250+E256</f>
        <v>0</v>
      </c>
      <c r="F245" s="36">
        <f t="shared" si="64"/>
        <v>0</v>
      </c>
      <c r="G245" s="36">
        <f t="shared" si="64"/>
        <v>0</v>
      </c>
      <c r="H245" s="36">
        <f t="shared" si="64"/>
        <v>0</v>
      </c>
      <c r="I245" s="36">
        <f t="shared" si="64"/>
        <v>0</v>
      </c>
      <c r="J245" s="36">
        <f t="shared" si="64"/>
        <v>0</v>
      </c>
      <c r="K245" s="36">
        <f t="shared" si="64"/>
        <v>0</v>
      </c>
      <c r="L245" s="120"/>
      <c r="M245" s="36">
        <f t="shared" si="64"/>
        <v>61868709</v>
      </c>
      <c r="N245" s="36">
        <f t="shared" si="64"/>
        <v>61868709</v>
      </c>
      <c r="O245" s="36">
        <f t="shared" si="64"/>
        <v>0</v>
      </c>
      <c r="P245" s="36">
        <f t="shared" si="64"/>
        <v>0</v>
      </c>
      <c r="Q245" s="36">
        <f t="shared" si="64"/>
        <v>0</v>
      </c>
      <c r="R245" s="36">
        <f t="shared" si="64"/>
        <v>61868709</v>
      </c>
      <c r="S245" s="36">
        <f t="shared" si="64"/>
        <v>61868709</v>
      </c>
      <c r="T245" s="36">
        <f t="shared" si="64"/>
        <v>0</v>
      </c>
      <c r="U245" s="36">
        <f t="shared" si="64"/>
        <v>0</v>
      </c>
      <c r="V245" s="36">
        <f t="shared" si="64"/>
        <v>0</v>
      </c>
      <c r="W245" s="36">
        <f t="shared" si="64"/>
        <v>0</v>
      </c>
      <c r="X245" s="36">
        <f t="shared" si="64"/>
        <v>0</v>
      </c>
      <c r="Y245" s="36">
        <f t="shared" si="64"/>
        <v>0</v>
      </c>
      <c r="Z245" s="120">
        <f t="shared" si="56"/>
        <v>0</v>
      </c>
      <c r="AA245" s="36">
        <f t="shared" si="57"/>
        <v>0</v>
      </c>
    </row>
    <row r="246" spans="1:27" s="37" customFormat="1" ht="47.25" x14ac:dyDescent="0.25">
      <c r="A246" s="34"/>
      <c r="B246" s="34"/>
      <c r="C246" s="8" t="str">
        <f>C251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46" s="36">
        <f>D251</f>
        <v>0</v>
      </c>
      <c r="E246" s="36">
        <f t="shared" ref="E246:Y246" si="65">E251</f>
        <v>0</v>
      </c>
      <c r="F246" s="36">
        <f t="shared" si="65"/>
        <v>0</v>
      </c>
      <c r="G246" s="36">
        <f t="shared" si="65"/>
        <v>0</v>
      </c>
      <c r="H246" s="36">
        <f t="shared" si="65"/>
        <v>0</v>
      </c>
      <c r="I246" s="36">
        <f t="shared" si="65"/>
        <v>0</v>
      </c>
      <c r="J246" s="36">
        <f t="shared" si="65"/>
        <v>0</v>
      </c>
      <c r="K246" s="36">
        <f t="shared" si="65"/>
        <v>0</v>
      </c>
      <c r="L246" s="120"/>
      <c r="M246" s="36">
        <f t="shared" si="65"/>
        <v>42207900</v>
      </c>
      <c r="N246" s="36">
        <f t="shared" si="65"/>
        <v>42207900</v>
      </c>
      <c r="O246" s="36">
        <f t="shared" si="65"/>
        <v>0</v>
      </c>
      <c r="P246" s="36">
        <f t="shared" si="65"/>
        <v>0</v>
      </c>
      <c r="Q246" s="36">
        <f t="shared" si="65"/>
        <v>0</v>
      </c>
      <c r="R246" s="36">
        <f t="shared" si="65"/>
        <v>42207900</v>
      </c>
      <c r="S246" s="36">
        <f t="shared" si="65"/>
        <v>42207900</v>
      </c>
      <c r="T246" s="36">
        <f t="shared" si="65"/>
        <v>0</v>
      </c>
      <c r="U246" s="36">
        <f t="shared" si="65"/>
        <v>0</v>
      </c>
      <c r="V246" s="36">
        <f t="shared" si="65"/>
        <v>0</v>
      </c>
      <c r="W246" s="36">
        <f t="shared" si="65"/>
        <v>0</v>
      </c>
      <c r="X246" s="36">
        <f t="shared" si="65"/>
        <v>0</v>
      </c>
      <c r="Y246" s="36">
        <f t="shared" si="65"/>
        <v>0</v>
      </c>
      <c r="Z246" s="120">
        <f t="shared" si="56"/>
        <v>0</v>
      </c>
      <c r="AA246" s="36">
        <f t="shared" si="57"/>
        <v>0</v>
      </c>
    </row>
    <row r="247" spans="1:27" s="37" customFormat="1" x14ac:dyDescent="0.25">
      <c r="A247" s="34"/>
      <c r="B247" s="34"/>
      <c r="C247" s="8" t="s">
        <v>621</v>
      </c>
      <c r="D247" s="36">
        <f>D252</f>
        <v>0</v>
      </c>
      <c r="E247" s="36">
        <f t="shared" ref="E247:Y247" si="66">E252</f>
        <v>0</v>
      </c>
      <c r="F247" s="36">
        <f t="shared" si="66"/>
        <v>0</v>
      </c>
      <c r="G247" s="36">
        <f t="shared" si="66"/>
        <v>0</v>
      </c>
      <c r="H247" s="36">
        <f t="shared" si="66"/>
        <v>0</v>
      </c>
      <c r="I247" s="36">
        <f t="shared" si="66"/>
        <v>0</v>
      </c>
      <c r="J247" s="36">
        <f t="shared" si="66"/>
        <v>0</v>
      </c>
      <c r="K247" s="36">
        <f t="shared" si="66"/>
        <v>0</v>
      </c>
      <c r="L247" s="120"/>
      <c r="M247" s="36">
        <f t="shared" si="66"/>
        <v>299189.34999999998</v>
      </c>
      <c r="N247" s="36">
        <f t="shared" si="66"/>
        <v>0</v>
      </c>
      <c r="O247" s="36">
        <f t="shared" si="66"/>
        <v>61189.35</v>
      </c>
      <c r="P247" s="36">
        <f t="shared" si="66"/>
        <v>0</v>
      </c>
      <c r="Q247" s="36">
        <f t="shared" si="66"/>
        <v>0</v>
      </c>
      <c r="R247" s="36">
        <f t="shared" si="66"/>
        <v>238000</v>
      </c>
      <c r="S247" s="36">
        <f t="shared" si="66"/>
        <v>299189.34999999998</v>
      </c>
      <c r="T247" s="36">
        <f t="shared" si="66"/>
        <v>0</v>
      </c>
      <c r="U247" s="36">
        <f t="shared" si="66"/>
        <v>0</v>
      </c>
      <c r="V247" s="36">
        <f t="shared" si="66"/>
        <v>0</v>
      </c>
      <c r="W247" s="36">
        <f t="shared" si="66"/>
        <v>0</v>
      </c>
      <c r="X247" s="36">
        <f t="shared" si="66"/>
        <v>0</v>
      </c>
      <c r="Y247" s="36">
        <f t="shared" si="66"/>
        <v>0</v>
      </c>
      <c r="Z247" s="120">
        <f t="shared" si="56"/>
        <v>0</v>
      </c>
      <c r="AA247" s="36">
        <f t="shared" si="57"/>
        <v>0</v>
      </c>
    </row>
    <row r="248" spans="1:27" ht="34.5" customHeight="1" x14ac:dyDescent="0.25">
      <c r="A248" s="24" t="s">
        <v>4</v>
      </c>
      <c r="B248" s="24" t="s">
        <v>86</v>
      </c>
      <c r="C248" s="40" t="s">
        <v>23</v>
      </c>
      <c r="D248" s="25">
        <f>'дод 2'!E51+'дод 2'!E383+'дод 2'!E391+'дод 2'!E402+'дод 2'!E331+'дод 2'!E378</f>
        <v>520000</v>
      </c>
      <c r="E248" s="25">
        <f>'дод 2'!F51+'дод 2'!F383+'дод 2'!F391+'дод 2'!F402+'дод 2'!F331+'дод 2'!F378</f>
        <v>40000</v>
      </c>
      <c r="F248" s="25">
        <f>'дод 2'!G51+'дод 2'!G383+'дод 2'!G391+'дод 2'!G402+'дод 2'!G331+'дод 2'!G378</f>
        <v>0</v>
      </c>
      <c r="G248" s="25">
        <f>'дод 2'!H51+'дод 2'!H383+'дод 2'!H391+'дод 2'!H402+'дод 2'!H331+'дод 2'!H378</f>
        <v>0</v>
      </c>
      <c r="H248" s="25">
        <f>'дод 2'!I51+'дод 2'!I383+'дод 2'!I391+'дод 2'!I402+'дод 2'!I331+'дод 2'!I378</f>
        <v>480000</v>
      </c>
      <c r="I248" s="25">
        <f>'дод 2'!J51+'дод 2'!J383+'дод 2'!J391+'дод 2'!J402+'дод 2'!J331+'дод 2'!J378</f>
        <v>129797</v>
      </c>
      <c r="J248" s="25">
        <f>'дод 2'!K51+'дод 2'!K383+'дод 2'!K391+'дод 2'!K402+'дод 2'!K331+'дод 2'!K378</f>
        <v>0</v>
      </c>
      <c r="K248" s="25">
        <f>'дод 2'!L51+'дод 2'!L383+'дод 2'!L391+'дод 2'!L402+'дод 2'!L331+'дод 2'!L378</f>
        <v>0</v>
      </c>
      <c r="L248" s="120">
        <f t="shared" si="58"/>
        <v>24.960961538461536</v>
      </c>
      <c r="M248" s="25">
        <f>'дод 2'!N51+'дод 2'!N383+'дод 2'!N391+'дод 2'!N402+'дод 2'!N331+'дод 2'!N378</f>
        <v>0</v>
      </c>
      <c r="N248" s="25">
        <f>'дод 2'!O51+'дод 2'!O383+'дод 2'!O391+'дод 2'!O402+'дод 2'!O331+'дод 2'!O378</f>
        <v>0</v>
      </c>
      <c r="O248" s="25">
        <f>'дод 2'!P51+'дод 2'!P383+'дод 2'!P391+'дод 2'!P402+'дод 2'!P331+'дод 2'!P378</f>
        <v>0</v>
      </c>
      <c r="P248" s="25">
        <f>'дод 2'!Q51+'дод 2'!Q383+'дод 2'!Q391+'дод 2'!Q402+'дод 2'!Q331+'дод 2'!Q378</f>
        <v>0</v>
      </c>
      <c r="Q248" s="25">
        <f>'дод 2'!R51+'дод 2'!R383+'дод 2'!R391+'дод 2'!R402+'дод 2'!R331+'дод 2'!R378</f>
        <v>0</v>
      </c>
      <c r="R248" s="25">
        <f>'дод 2'!S51+'дод 2'!S383+'дод 2'!S391+'дод 2'!S402+'дод 2'!S331+'дод 2'!S378</f>
        <v>0</v>
      </c>
      <c r="S248" s="25">
        <f>'дод 2'!T51+'дод 2'!T383+'дод 2'!T391+'дод 2'!T402+'дод 2'!T331+'дод 2'!T378</f>
        <v>520000</v>
      </c>
      <c r="T248" s="25">
        <f>'дод 2'!U51+'дод 2'!U383+'дод 2'!U391+'дод 2'!U402+'дод 2'!U331+'дод 2'!U378</f>
        <v>0</v>
      </c>
      <c r="U248" s="25">
        <f>'дод 2'!V51+'дод 2'!V383+'дод 2'!V391+'дод 2'!V402+'дод 2'!V331+'дод 2'!V378</f>
        <v>0</v>
      </c>
      <c r="V248" s="25">
        <f>'дод 2'!W51+'дод 2'!W383+'дод 2'!W391+'дод 2'!W402+'дод 2'!W331+'дод 2'!W378</f>
        <v>0</v>
      </c>
      <c r="W248" s="25">
        <f>'дод 2'!X51+'дод 2'!X383+'дод 2'!X391+'дод 2'!X402+'дод 2'!X331+'дод 2'!X378</f>
        <v>0</v>
      </c>
      <c r="X248" s="25">
        <f>'дод 2'!Y51+'дод 2'!Y383+'дод 2'!Y391+'дод 2'!Y402+'дод 2'!Y331+'дод 2'!Y378</f>
        <v>0</v>
      </c>
      <c r="Y248" s="25">
        <f>'дод 2'!Z51+'дод 2'!Z383+'дод 2'!Z391+'дод 2'!Z402+'дод 2'!Z331+'дод 2'!Z378</f>
        <v>0</v>
      </c>
      <c r="Z248" s="120"/>
      <c r="AA248" s="25">
        <f t="shared" si="57"/>
        <v>129797</v>
      </c>
    </row>
    <row r="249" spans="1:27" ht="25.5" customHeight="1" x14ac:dyDescent="0.25">
      <c r="A249" s="24" t="s">
        <v>2</v>
      </c>
      <c r="B249" s="24" t="s">
        <v>85</v>
      </c>
      <c r="C249" s="40" t="s">
        <v>406</v>
      </c>
      <c r="D249" s="25">
        <f>'дод 2'!E141+'дод 2'!E186+'дод 2'!E259+'дод 2'!E309+'дод 2'!E359+'дод 2'!E409+'дод 2'!E237+'дод 2'!E52</f>
        <v>5030884</v>
      </c>
      <c r="E249" s="25">
        <f>'дод 2'!F141+'дод 2'!F186+'дод 2'!F259+'дод 2'!F309+'дод 2'!F359+'дод 2'!F409+'дод 2'!F237+'дод 2'!F52</f>
        <v>2830884</v>
      </c>
      <c r="F249" s="25">
        <f>'дод 2'!G141+'дод 2'!G186+'дод 2'!G259+'дод 2'!G309+'дод 2'!G359+'дод 2'!G409+'дод 2'!G237+'дод 2'!G52</f>
        <v>0</v>
      </c>
      <c r="G249" s="25">
        <f>'дод 2'!H141+'дод 2'!H186+'дод 2'!H259+'дод 2'!H309+'дод 2'!H359+'дод 2'!H409+'дод 2'!H237+'дод 2'!H52</f>
        <v>0</v>
      </c>
      <c r="H249" s="25">
        <f>'дод 2'!I141+'дод 2'!I186+'дод 2'!I259+'дод 2'!I309+'дод 2'!I359+'дод 2'!I409+'дод 2'!I237+'дод 2'!I52</f>
        <v>2200000</v>
      </c>
      <c r="I249" s="25">
        <f>'дод 2'!J141+'дод 2'!J186+'дод 2'!J259+'дод 2'!J309+'дод 2'!J359+'дод 2'!J409+'дод 2'!J237+'дод 2'!J52</f>
        <v>332844.61</v>
      </c>
      <c r="J249" s="25">
        <f>'дод 2'!K141+'дод 2'!K186+'дод 2'!K259+'дод 2'!K309+'дод 2'!K359+'дод 2'!K409+'дод 2'!K237+'дод 2'!K52</f>
        <v>0</v>
      </c>
      <c r="K249" s="25">
        <f>'дод 2'!L141+'дод 2'!L186+'дод 2'!L259+'дод 2'!L309+'дод 2'!L359+'дод 2'!L409+'дод 2'!L237+'дод 2'!L52</f>
        <v>0</v>
      </c>
      <c r="L249" s="120">
        <f t="shared" si="58"/>
        <v>6.6160263285736658</v>
      </c>
      <c r="M249" s="25">
        <f>'дод 2'!N141+'дод 2'!N186+'дод 2'!N259+'дод 2'!N309+'дод 2'!N359+'дод 2'!N409+'дод 2'!N237+'дод 2'!N52</f>
        <v>255205409.34999999</v>
      </c>
      <c r="N249" s="25">
        <f>'дод 2'!O141+'дод 2'!O186+'дод 2'!O259+'дод 2'!O309+'дод 2'!O359+'дод 2'!O409+'дод 2'!O237+'дод 2'!O52</f>
        <v>254906220</v>
      </c>
      <c r="O249" s="25">
        <f>'дод 2'!P141+'дод 2'!P186+'дод 2'!P259+'дод 2'!P309+'дод 2'!P359+'дод 2'!P409+'дод 2'!P237+'дод 2'!P52</f>
        <v>61189.35</v>
      </c>
      <c r="P249" s="25">
        <f>'дод 2'!Q141+'дод 2'!Q186+'дод 2'!Q259+'дод 2'!Q309+'дод 2'!Q359+'дод 2'!Q409+'дод 2'!Q237+'дод 2'!Q52</f>
        <v>0</v>
      </c>
      <c r="Q249" s="25">
        <f>'дод 2'!R141+'дод 2'!R186+'дод 2'!R259+'дод 2'!R309+'дод 2'!R359+'дод 2'!R409+'дод 2'!R237+'дод 2'!R52</f>
        <v>0</v>
      </c>
      <c r="R249" s="25">
        <f>'дод 2'!S141+'дод 2'!S186+'дод 2'!S259+'дод 2'!S309+'дод 2'!S359+'дод 2'!S409+'дод 2'!S237+'дод 2'!S52</f>
        <v>255144220</v>
      </c>
      <c r="S249" s="25">
        <f>'дод 2'!T141+'дод 2'!T186+'дод 2'!T259+'дод 2'!T309+'дод 2'!T359+'дод 2'!T409+'дод 2'!T237+'дод 2'!T52</f>
        <v>260236293.34999999</v>
      </c>
      <c r="T249" s="25">
        <f>'дод 2'!U141+'дод 2'!U186+'дод 2'!U259+'дод 2'!U309+'дод 2'!U359+'дод 2'!U409+'дод 2'!U237+'дод 2'!U52</f>
        <v>18333972.329999998</v>
      </c>
      <c r="U249" s="25">
        <f>'дод 2'!V141+'дод 2'!V186+'дод 2'!V259+'дод 2'!V309+'дод 2'!V359+'дод 2'!V409+'дод 2'!V237+'дод 2'!V52</f>
        <v>18333972.329999998</v>
      </c>
      <c r="V249" s="25">
        <f>'дод 2'!W141+'дод 2'!W186+'дод 2'!W259+'дод 2'!W309+'дод 2'!W359+'дод 2'!W409+'дод 2'!W237+'дод 2'!W52</f>
        <v>0</v>
      </c>
      <c r="W249" s="25">
        <f>'дод 2'!X141+'дод 2'!X186+'дод 2'!X259+'дод 2'!X309+'дод 2'!X359+'дод 2'!X409+'дод 2'!X237+'дод 2'!X52</f>
        <v>0</v>
      </c>
      <c r="X249" s="25">
        <f>'дод 2'!Y141+'дод 2'!Y186+'дод 2'!Y259+'дод 2'!Y309+'дод 2'!Y359+'дод 2'!Y409+'дод 2'!Y237+'дод 2'!Y52</f>
        <v>0</v>
      </c>
      <c r="Y249" s="25">
        <f>'дод 2'!Z141+'дод 2'!Z186+'дод 2'!Z259+'дод 2'!Z309+'дод 2'!Z359+'дод 2'!Z409+'дод 2'!Z237+'дод 2'!Z52</f>
        <v>18333972.329999998</v>
      </c>
      <c r="Z249" s="120">
        <f t="shared" si="56"/>
        <v>7.1840061606437109</v>
      </c>
      <c r="AA249" s="25">
        <f t="shared" si="57"/>
        <v>18666816.939999998</v>
      </c>
    </row>
    <row r="250" spans="1:27" s="31" customFormat="1" ht="24.75" customHeight="1" x14ac:dyDescent="0.25">
      <c r="A250" s="27"/>
      <c r="B250" s="27"/>
      <c r="C250" s="39" t="s">
        <v>407</v>
      </c>
      <c r="D250" s="30">
        <f>'дод 2'!E187+'дод 2'!E360</f>
        <v>0</v>
      </c>
      <c r="E250" s="30">
        <f>'дод 2'!F187+'дод 2'!F360</f>
        <v>0</v>
      </c>
      <c r="F250" s="30">
        <f>'дод 2'!G187+'дод 2'!G360</f>
        <v>0</v>
      </c>
      <c r="G250" s="30">
        <f>'дод 2'!H187+'дод 2'!H360</f>
        <v>0</v>
      </c>
      <c r="H250" s="30">
        <f>'дод 2'!I187+'дод 2'!I360</f>
        <v>0</v>
      </c>
      <c r="I250" s="30">
        <f>'дод 2'!J187+'дод 2'!J360</f>
        <v>0</v>
      </c>
      <c r="J250" s="30">
        <f>'дод 2'!K187+'дод 2'!K360</f>
        <v>0</v>
      </c>
      <c r="K250" s="30">
        <f>'дод 2'!L187+'дод 2'!L360</f>
        <v>0</v>
      </c>
      <c r="L250" s="120"/>
      <c r="M250" s="30">
        <f>'дод 2'!N187+'дод 2'!N360</f>
        <v>61868709</v>
      </c>
      <c r="N250" s="30">
        <f>'дод 2'!O187+'дод 2'!O360</f>
        <v>61868709</v>
      </c>
      <c r="O250" s="30">
        <f>'дод 2'!P187+'дод 2'!P360</f>
        <v>0</v>
      </c>
      <c r="P250" s="30">
        <f>'дод 2'!Q187+'дод 2'!Q360</f>
        <v>0</v>
      </c>
      <c r="Q250" s="30">
        <f>'дод 2'!R187+'дод 2'!R360</f>
        <v>0</v>
      </c>
      <c r="R250" s="30">
        <f>'дод 2'!S187+'дод 2'!S360</f>
        <v>61868709</v>
      </c>
      <c r="S250" s="30">
        <f>'дод 2'!T187+'дод 2'!T360</f>
        <v>61868709</v>
      </c>
      <c r="T250" s="30">
        <f>'дод 2'!U187+'дод 2'!U360</f>
        <v>0</v>
      </c>
      <c r="U250" s="30">
        <f>'дод 2'!V187+'дод 2'!V360</f>
        <v>0</v>
      </c>
      <c r="V250" s="30">
        <f>'дод 2'!W187+'дод 2'!W360</f>
        <v>0</v>
      </c>
      <c r="W250" s="30">
        <f>'дод 2'!X187+'дод 2'!X360</f>
        <v>0</v>
      </c>
      <c r="X250" s="30">
        <f>'дод 2'!Y187+'дод 2'!Y360</f>
        <v>0</v>
      </c>
      <c r="Y250" s="30">
        <f>'дод 2'!Z187+'дод 2'!Z360</f>
        <v>0</v>
      </c>
      <c r="Z250" s="120">
        <f t="shared" si="56"/>
        <v>0</v>
      </c>
      <c r="AA250" s="30">
        <f t="shared" si="57"/>
        <v>0</v>
      </c>
    </row>
    <row r="251" spans="1:27" s="31" customFormat="1" ht="47.25" x14ac:dyDescent="0.25">
      <c r="A251" s="27"/>
      <c r="B251" s="27"/>
      <c r="C251" s="39" t="s">
        <v>690</v>
      </c>
      <c r="D251" s="30">
        <f>'дод 2'!E361</f>
        <v>0</v>
      </c>
      <c r="E251" s="30">
        <f>'дод 2'!F361</f>
        <v>0</v>
      </c>
      <c r="F251" s="30">
        <f>'дод 2'!G361</f>
        <v>0</v>
      </c>
      <c r="G251" s="30">
        <f>'дод 2'!H361</f>
        <v>0</v>
      </c>
      <c r="H251" s="30">
        <f>'дод 2'!I361</f>
        <v>0</v>
      </c>
      <c r="I251" s="30">
        <f>'дод 2'!J361</f>
        <v>0</v>
      </c>
      <c r="J251" s="30">
        <f>'дод 2'!K361</f>
        <v>0</v>
      </c>
      <c r="K251" s="30">
        <f>'дод 2'!L361</f>
        <v>0</v>
      </c>
      <c r="L251" s="120"/>
      <c r="M251" s="30">
        <f>'дод 2'!N361</f>
        <v>42207900</v>
      </c>
      <c r="N251" s="30">
        <f>'дод 2'!O361</f>
        <v>42207900</v>
      </c>
      <c r="O251" s="30">
        <f>'дод 2'!P361</f>
        <v>0</v>
      </c>
      <c r="P251" s="30">
        <f>'дод 2'!Q361</f>
        <v>0</v>
      </c>
      <c r="Q251" s="30">
        <f>'дод 2'!R361</f>
        <v>0</v>
      </c>
      <c r="R251" s="30">
        <f>'дод 2'!S361</f>
        <v>42207900</v>
      </c>
      <c r="S251" s="30">
        <f>'дод 2'!T361</f>
        <v>42207900</v>
      </c>
      <c r="T251" s="30">
        <f>'дод 2'!U361</f>
        <v>0</v>
      </c>
      <c r="U251" s="30">
        <f>'дод 2'!V361</f>
        <v>0</v>
      </c>
      <c r="V251" s="30">
        <f>'дод 2'!W361</f>
        <v>0</v>
      </c>
      <c r="W251" s="30">
        <f>'дод 2'!X361</f>
        <v>0</v>
      </c>
      <c r="X251" s="30">
        <f>'дод 2'!Y361</f>
        <v>0</v>
      </c>
      <c r="Y251" s="30">
        <f>'дод 2'!Z361</f>
        <v>0</v>
      </c>
      <c r="Z251" s="120">
        <f t="shared" si="56"/>
        <v>0</v>
      </c>
      <c r="AA251" s="30">
        <f t="shared" si="57"/>
        <v>0</v>
      </c>
    </row>
    <row r="252" spans="1:27" s="31" customFormat="1" x14ac:dyDescent="0.25">
      <c r="A252" s="27"/>
      <c r="B252" s="27"/>
      <c r="C252" s="39" t="s">
        <v>621</v>
      </c>
      <c r="D252" s="30">
        <f>'дод 2'!E188</f>
        <v>0</v>
      </c>
      <c r="E252" s="30">
        <f>'дод 2'!F188</f>
        <v>0</v>
      </c>
      <c r="F252" s="30">
        <f>'дод 2'!G188</f>
        <v>0</v>
      </c>
      <c r="G252" s="30">
        <f>'дод 2'!H188</f>
        <v>0</v>
      </c>
      <c r="H252" s="30">
        <f>'дод 2'!I188</f>
        <v>0</v>
      </c>
      <c r="I252" s="30">
        <f>'дод 2'!J188</f>
        <v>0</v>
      </c>
      <c r="J252" s="30">
        <f>'дод 2'!K188</f>
        <v>0</v>
      </c>
      <c r="K252" s="30">
        <f>'дод 2'!L188</f>
        <v>0</v>
      </c>
      <c r="L252" s="120"/>
      <c r="M252" s="30">
        <f>'дод 2'!N188</f>
        <v>299189.34999999998</v>
      </c>
      <c r="N252" s="30">
        <f>'дод 2'!O188</f>
        <v>0</v>
      </c>
      <c r="O252" s="30">
        <f>'дод 2'!P188</f>
        <v>61189.35</v>
      </c>
      <c r="P252" s="30">
        <f>'дод 2'!Q188</f>
        <v>0</v>
      </c>
      <c r="Q252" s="30">
        <f>'дод 2'!R188</f>
        <v>0</v>
      </c>
      <c r="R252" s="30">
        <f>'дод 2'!S188</f>
        <v>238000</v>
      </c>
      <c r="S252" s="30">
        <f>'дод 2'!T188</f>
        <v>299189.34999999998</v>
      </c>
      <c r="T252" s="30">
        <f>'дод 2'!U188</f>
        <v>0</v>
      </c>
      <c r="U252" s="30">
        <f>'дод 2'!V188</f>
        <v>0</v>
      </c>
      <c r="V252" s="30">
        <f>'дод 2'!W188</f>
        <v>0</v>
      </c>
      <c r="W252" s="30">
        <f>'дод 2'!X188</f>
        <v>0</v>
      </c>
      <c r="X252" s="30">
        <f>'дод 2'!Y188</f>
        <v>0</v>
      </c>
      <c r="Y252" s="30">
        <f>'дод 2'!Z188</f>
        <v>0</v>
      </c>
      <c r="Z252" s="120">
        <f t="shared" si="56"/>
        <v>0</v>
      </c>
      <c r="AA252" s="30">
        <f t="shared" si="57"/>
        <v>0</v>
      </c>
    </row>
    <row r="253" spans="1:27" ht="33.75" customHeight="1" x14ac:dyDescent="0.25">
      <c r="A253" s="24" t="s">
        <v>264</v>
      </c>
      <c r="B253" s="24" t="s">
        <v>81</v>
      </c>
      <c r="C253" s="40" t="s">
        <v>340</v>
      </c>
      <c r="D253" s="25">
        <f>'дод 2'!E384+'дод 2'!E392+'дод 2'!E403</f>
        <v>0</v>
      </c>
      <c r="E253" s="25">
        <f>'дод 2'!F384+'дод 2'!F392+'дод 2'!F403</f>
        <v>0</v>
      </c>
      <c r="F253" s="25">
        <f>'дод 2'!G384+'дод 2'!G392+'дод 2'!G403</f>
        <v>0</v>
      </c>
      <c r="G253" s="25">
        <f>'дод 2'!H384+'дод 2'!H392+'дод 2'!H403</f>
        <v>0</v>
      </c>
      <c r="H253" s="25">
        <f>'дод 2'!I384+'дод 2'!I392+'дод 2'!I403</f>
        <v>0</v>
      </c>
      <c r="I253" s="25">
        <f>'дод 2'!J384+'дод 2'!J392+'дод 2'!J403</f>
        <v>0</v>
      </c>
      <c r="J253" s="25">
        <f>'дод 2'!K384+'дод 2'!K392+'дод 2'!K403</f>
        <v>0</v>
      </c>
      <c r="K253" s="25">
        <f>'дод 2'!L384+'дод 2'!L392+'дод 2'!L403</f>
        <v>0</v>
      </c>
      <c r="L253" s="120"/>
      <c r="M253" s="25">
        <f>'дод 2'!N384+'дод 2'!N392+'дод 2'!N403</f>
        <v>30000</v>
      </c>
      <c r="N253" s="25">
        <f>'дод 2'!O384+'дод 2'!O392+'дод 2'!O403</f>
        <v>30000</v>
      </c>
      <c r="O253" s="25">
        <f>'дод 2'!P384+'дод 2'!P392+'дод 2'!P403</f>
        <v>0</v>
      </c>
      <c r="P253" s="25">
        <f>'дод 2'!Q384+'дод 2'!Q392+'дод 2'!Q403</f>
        <v>0</v>
      </c>
      <c r="Q253" s="25">
        <f>'дод 2'!R384+'дод 2'!R392+'дод 2'!R403</f>
        <v>0</v>
      </c>
      <c r="R253" s="25">
        <f>'дод 2'!S384+'дод 2'!S392+'дод 2'!S403</f>
        <v>30000</v>
      </c>
      <c r="S253" s="25">
        <f>'дод 2'!T384+'дод 2'!T392+'дод 2'!T403</f>
        <v>30000</v>
      </c>
      <c r="T253" s="25">
        <f>'дод 2'!U384+'дод 2'!U392+'дод 2'!U403</f>
        <v>0</v>
      </c>
      <c r="U253" s="25">
        <f>'дод 2'!V384+'дод 2'!V392+'дод 2'!V403</f>
        <v>0</v>
      </c>
      <c r="V253" s="25">
        <f>'дод 2'!W384+'дод 2'!W392+'дод 2'!W403</f>
        <v>0</v>
      </c>
      <c r="W253" s="25">
        <f>'дод 2'!X384+'дод 2'!X392+'дод 2'!X403</f>
        <v>0</v>
      </c>
      <c r="X253" s="25">
        <f>'дод 2'!Y384+'дод 2'!Y392+'дод 2'!Y403</f>
        <v>0</v>
      </c>
      <c r="Y253" s="25">
        <f>'дод 2'!Z384+'дод 2'!Z392+'дод 2'!Z403</f>
        <v>0</v>
      </c>
      <c r="Z253" s="120">
        <f t="shared" si="56"/>
        <v>0</v>
      </c>
      <c r="AA253" s="25">
        <f t="shared" si="57"/>
        <v>0</v>
      </c>
    </row>
    <row r="254" spans="1:27" ht="47.25" customHeight="1" x14ac:dyDescent="0.25">
      <c r="A254" s="24" t="s">
        <v>266</v>
      </c>
      <c r="B254" s="24" t="s">
        <v>81</v>
      </c>
      <c r="C254" s="40" t="s">
        <v>267</v>
      </c>
      <c r="D254" s="25">
        <f>'дод 2'!E385+'дод 2'!E393+'дод 2'!E404</f>
        <v>0</v>
      </c>
      <c r="E254" s="25">
        <f>'дод 2'!F385+'дод 2'!F393+'дод 2'!F404</f>
        <v>0</v>
      </c>
      <c r="F254" s="25">
        <f>'дод 2'!G385+'дод 2'!G393+'дод 2'!G404</f>
        <v>0</v>
      </c>
      <c r="G254" s="25">
        <f>'дод 2'!H385+'дод 2'!H393+'дод 2'!H404</f>
        <v>0</v>
      </c>
      <c r="H254" s="25">
        <f>'дод 2'!I385+'дод 2'!I393+'дод 2'!I404</f>
        <v>0</v>
      </c>
      <c r="I254" s="25">
        <f>'дод 2'!J385+'дод 2'!J393+'дод 2'!J404</f>
        <v>0</v>
      </c>
      <c r="J254" s="25">
        <f>'дод 2'!K385+'дод 2'!K393+'дод 2'!K404</f>
        <v>0</v>
      </c>
      <c r="K254" s="25">
        <f>'дод 2'!L385+'дод 2'!L393+'дод 2'!L404</f>
        <v>0</v>
      </c>
      <c r="L254" s="120"/>
      <c r="M254" s="25">
        <f>'дод 2'!N385+'дод 2'!N393+'дод 2'!N404</f>
        <v>50000</v>
      </c>
      <c r="N254" s="25">
        <f>'дод 2'!O385+'дод 2'!O393+'дод 2'!O404</f>
        <v>50000</v>
      </c>
      <c r="O254" s="25">
        <f>'дод 2'!P385+'дод 2'!P393+'дод 2'!P404</f>
        <v>0</v>
      </c>
      <c r="P254" s="25">
        <f>'дод 2'!Q385+'дод 2'!Q393+'дод 2'!Q404</f>
        <v>0</v>
      </c>
      <c r="Q254" s="25">
        <f>'дод 2'!R385+'дод 2'!R393+'дод 2'!R404</f>
        <v>0</v>
      </c>
      <c r="R254" s="25">
        <f>'дод 2'!S385+'дод 2'!S393+'дод 2'!S404</f>
        <v>50000</v>
      </c>
      <c r="S254" s="25">
        <f>'дод 2'!T385+'дод 2'!T393+'дод 2'!T404</f>
        <v>50000</v>
      </c>
      <c r="T254" s="25">
        <f>'дод 2'!U385+'дод 2'!U393+'дод 2'!U404</f>
        <v>18499</v>
      </c>
      <c r="U254" s="25">
        <f>'дод 2'!V385+'дод 2'!V393+'дод 2'!V404</f>
        <v>18499</v>
      </c>
      <c r="V254" s="25">
        <f>'дод 2'!W385+'дод 2'!W393+'дод 2'!W404</f>
        <v>0</v>
      </c>
      <c r="W254" s="25">
        <f>'дод 2'!X385+'дод 2'!X393+'дод 2'!X404</f>
        <v>0</v>
      </c>
      <c r="X254" s="25">
        <f>'дод 2'!Y385+'дод 2'!Y393+'дод 2'!Y404</f>
        <v>0</v>
      </c>
      <c r="Y254" s="25">
        <f>'дод 2'!Z385+'дод 2'!Z393+'дод 2'!Z404</f>
        <v>18499</v>
      </c>
      <c r="Z254" s="120">
        <f t="shared" si="56"/>
        <v>36.997999999999998</v>
      </c>
      <c r="AA254" s="25">
        <f t="shared" si="57"/>
        <v>18499</v>
      </c>
    </row>
    <row r="255" spans="1:27" ht="30" customHeight="1" x14ac:dyDescent="0.25">
      <c r="A255" s="24" t="s">
        <v>5</v>
      </c>
      <c r="B255" s="24" t="s">
        <v>81</v>
      </c>
      <c r="C255" s="40" t="s">
        <v>602</v>
      </c>
      <c r="D255" s="25">
        <f>'дод 2'!E53+'дод 2'!E310</f>
        <v>0</v>
      </c>
      <c r="E255" s="25">
        <f>'дод 2'!F53+'дод 2'!F310</f>
        <v>0</v>
      </c>
      <c r="F255" s="25">
        <f>'дод 2'!G53+'дод 2'!G310</f>
        <v>0</v>
      </c>
      <c r="G255" s="25">
        <f>'дод 2'!H53+'дод 2'!H310</f>
        <v>0</v>
      </c>
      <c r="H255" s="25">
        <f>'дод 2'!I53+'дод 2'!I310</f>
        <v>0</v>
      </c>
      <c r="I255" s="25">
        <f>'дод 2'!J53+'дод 2'!J310</f>
        <v>0</v>
      </c>
      <c r="J255" s="25">
        <f>'дод 2'!K53+'дод 2'!K310</f>
        <v>0</v>
      </c>
      <c r="K255" s="25">
        <f>'дод 2'!L53+'дод 2'!L310</f>
        <v>0</v>
      </c>
      <c r="L255" s="120"/>
      <c r="M255" s="25">
        <f>'дод 2'!N53+'дод 2'!N310</f>
        <v>3580400</v>
      </c>
      <c r="N255" s="25">
        <f>'дод 2'!O53+'дод 2'!O310</f>
        <v>3580400</v>
      </c>
      <c r="O255" s="25">
        <f>'дод 2'!P53+'дод 2'!P310</f>
        <v>0</v>
      </c>
      <c r="P255" s="25">
        <f>'дод 2'!Q53+'дод 2'!Q310</f>
        <v>0</v>
      </c>
      <c r="Q255" s="25">
        <f ca="1">'дод 2'!R53+'дод 2'!R310</f>
        <v>0</v>
      </c>
      <c r="R255" s="25">
        <f>'дод 2'!S53+'дод 2'!S310</f>
        <v>3580400</v>
      </c>
      <c r="S255" s="25">
        <f>'дод 2'!T53+'дод 2'!T310</f>
        <v>3580400</v>
      </c>
      <c r="T255" s="25">
        <f>'дод 2'!U53+'дод 2'!U310</f>
        <v>0</v>
      </c>
      <c r="U255" s="25">
        <f>'дод 2'!V53+'дод 2'!V310</f>
        <v>0</v>
      </c>
      <c r="V255" s="25">
        <f>'дод 2'!W53+'дод 2'!W310</f>
        <v>0</v>
      </c>
      <c r="W255" s="25">
        <f>'дод 2'!X53+'дод 2'!X310</f>
        <v>0</v>
      </c>
      <c r="X255" s="25">
        <f>'дод 2'!Y53+'дод 2'!Y310</f>
        <v>0</v>
      </c>
      <c r="Y255" s="25">
        <f>'дод 2'!Z53+'дод 2'!Z310</f>
        <v>0</v>
      </c>
      <c r="Z255" s="120">
        <f t="shared" si="56"/>
        <v>0</v>
      </c>
      <c r="AA255" s="25">
        <f t="shared" si="57"/>
        <v>0</v>
      </c>
    </row>
    <row r="256" spans="1:27" ht="16.5" hidden="1" customHeight="1" x14ac:dyDescent="0.25">
      <c r="A256" s="24"/>
      <c r="B256" s="24"/>
      <c r="C256" s="39" t="s">
        <v>407</v>
      </c>
      <c r="D256" s="25">
        <f>'дод 2'!E311</f>
        <v>0</v>
      </c>
      <c r="E256" s="25">
        <f>'дод 2'!F311</f>
        <v>0</v>
      </c>
      <c r="F256" s="25">
        <f>'дод 2'!G311</f>
        <v>0</v>
      </c>
      <c r="G256" s="25">
        <f>'дод 2'!H311</f>
        <v>0</v>
      </c>
      <c r="H256" s="25">
        <f>'дод 2'!I311</f>
        <v>0</v>
      </c>
      <c r="I256" s="25">
        <f>'дод 2'!J311</f>
        <v>0</v>
      </c>
      <c r="J256" s="25">
        <f>'дод 2'!K311</f>
        <v>0</v>
      </c>
      <c r="K256" s="25">
        <f>'дод 2'!L311</f>
        <v>0</v>
      </c>
      <c r="L256" s="120" t="e">
        <f t="shared" si="58"/>
        <v>#DIV/0!</v>
      </c>
      <c r="M256" s="25">
        <f>'дод 2'!N311</f>
        <v>0</v>
      </c>
      <c r="N256" s="25">
        <f>'дод 2'!O311</f>
        <v>0</v>
      </c>
      <c r="O256" s="25">
        <f>'дод 2'!P311</f>
        <v>0</v>
      </c>
      <c r="P256" s="25">
        <f>'дод 2'!Q311</f>
        <v>0</v>
      </c>
      <c r="Q256" s="25">
        <f>'дод 2'!R311</f>
        <v>0</v>
      </c>
      <c r="R256" s="25">
        <f>'дод 2'!S311</f>
        <v>0</v>
      </c>
      <c r="S256" s="25">
        <f>'дод 2'!T311</f>
        <v>0</v>
      </c>
      <c r="T256" s="25">
        <f>'дод 2'!U311</f>
        <v>0</v>
      </c>
      <c r="U256" s="25">
        <f>'дод 2'!V311</f>
        <v>0</v>
      </c>
      <c r="V256" s="25">
        <f>'дод 2'!W311</f>
        <v>0</v>
      </c>
      <c r="W256" s="25">
        <f>'дод 2'!X311</f>
        <v>0</v>
      </c>
      <c r="X256" s="25">
        <f>'дод 2'!Y311</f>
        <v>0</v>
      </c>
      <c r="Y256" s="25">
        <f>'дод 2'!Z311</f>
        <v>0</v>
      </c>
      <c r="Z256" s="120" t="e">
        <f t="shared" si="56"/>
        <v>#DIV/0!</v>
      </c>
      <c r="AA256" s="25">
        <f t="shared" si="57"/>
        <v>0</v>
      </c>
    </row>
    <row r="257" spans="1:27" ht="33.75" customHeight="1" x14ac:dyDescent="0.25">
      <c r="A257" s="24" t="s">
        <v>245</v>
      </c>
      <c r="B257" s="24" t="s">
        <v>81</v>
      </c>
      <c r="C257" s="40" t="s">
        <v>246</v>
      </c>
      <c r="D257" s="25">
        <f>'дод 2'!E54</f>
        <v>441318</v>
      </c>
      <c r="E257" s="25">
        <f>'дод 2'!F54</f>
        <v>441318</v>
      </c>
      <c r="F257" s="25">
        <f>'дод 2'!G54</f>
        <v>0</v>
      </c>
      <c r="G257" s="25">
        <f>'дод 2'!H54</f>
        <v>0</v>
      </c>
      <c r="H257" s="25">
        <f>'дод 2'!I54</f>
        <v>0</v>
      </c>
      <c r="I257" s="25">
        <f>'дод 2'!J54</f>
        <v>68455</v>
      </c>
      <c r="J257" s="25">
        <f>'дод 2'!K54</f>
        <v>0</v>
      </c>
      <c r="K257" s="25">
        <f>'дод 2'!L54</f>
        <v>0</v>
      </c>
      <c r="L257" s="120">
        <f t="shared" si="58"/>
        <v>15.511490580488447</v>
      </c>
      <c r="M257" s="25">
        <f>'дод 2'!N54</f>
        <v>0</v>
      </c>
      <c r="N257" s="25">
        <f>'дод 2'!O54</f>
        <v>0</v>
      </c>
      <c r="O257" s="25">
        <f>'дод 2'!P54</f>
        <v>0</v>
      </c>
      <c r="P257" s="25">
        <f>'дод 2'!Q54</f>
        <v>0</v>
      </c>
      <c r="Q257" s="25">
        <f>'дод 2'!R54</f>
        <v>0</v>
      </c>
      <c r="R257" s="25">
        <f>'дод 2'!S54</f>
        <v>0</v>
      </c>
      <c r="S257" s="25">
        <f>'дод 2'!T54</f>
        <v>441318</v>
      </c>
      <c r="T257" s="25">
        <f>'дод 2'!U54</f>
        <v>0</v>
      </c>
      <c r="U257" s="25">
        <f>'дод 2'!V54</f>
        <v>0</v>
      </c>
      <c r="V257" s="25">
        <f>'дод 2'!W54</f>
        <v>0</v>
      </c>
      <c r="W257" s="25">
        <f>'дод 2'!X54</f>
        <v>0</v>
      </c>
      <c r="X257" s="25">
        <f>'дод 2'!Y54</f>
        <v>0</v>
      </c>
      <c r="Y257" s="25">
        <f>'дод 2'!Z54</f>
        <v>0</v>
      </c>
      <c r="Z257" s="120"/>
      <c r="AA257" s="25">
        <f t="shared" si="57"/>
        <v>68455</v>
      </c>
    </row>
    <row r="258" spans="1:27" s="31" customFormat="1" ht="90.75" customHeight="1" x14ac:dyDescent="0.25">
      <c r="A258" s="24" t="s">
        <v>290</v>
      </c>
      <c r="B258" s="24" t="s">
        <v>81</v>
      </c>
      <c r="C258" s="40" t="s">
        <v>308</v>
      </c>
      <c r="D258" s="25">
        <f>'дод 2'!E55+'дод 2'!E312+'дод 2'!E362+'дод 2'!E371</f>
        <v>0</v>
      </c>
      <c r="E258" s="25">
        <f>'дод 2'!F55+'дод 2'!F312+'дод 2'!F362+'дод 2'!F371</f>
        <v>0</v>
      </c>
      <c r="F258" s="25">
        <f>'дод 2'!G55+'дод 2'!G312+'дод 2'!G362+'дод 2'!G371</f>
        <v>0</v>
      </c>
      <c r="G258" s="25">
        <f>'дод 2'!H55+'дод 2'!H312+'дод 2'!H362+'дод 2'!H371</f>
        <v>0</v>
      </c>
      <c r="H258" s="25">
        <f>'дод 2'!I55+'дод 2'!I312+'дод 2'!I362+'дод 2'!I371</f>
        <v>0</v>
      </c>
      <c r="I258" s="25">
        <f>'дод 2'!J55+'дод 2'!J312+'дод 2'!J362+'дод 2'!J371</f>
        <v>0</v>
      </c>
      <c r="J258" s="25">
        <f>'дод 2'!K55+'дод 2'!K312+'дод 2'!K362+'дод 2'!K371</f>
        <v>0</v>
      </c>
      <c r="K258" s="25">
        <f>'дод 2'!L55+'дод 2'!L312+'дод 2'!L362+'дод 2'!L371</f>
        <v>0</v>
      </c>
      <c r="L258" s="120"/>
      <c r="M258" s="25">
        <f>'дод 2'!N55+'дод 2'!N312+'дод 2'!N362+'дод 2'!N371</f>
        <v>110000</v>
      </c>
      <c r="N258" s="25">
        <f>'дод 2'!O55+'дод 2'!O312+'дод 2'!O362+'дод 2'!O371</f>
        <v>0</v>
      </c>
      <c r="O258" s="25">
        <f>'дод 2'!P55+'дод 2'!P312+'дод 2'!P362+'дод 2'!P371</f>
        <v>110000</v>
      </c>
      <c r="P258" s="25">
        <f>'дод 2'!Q55+'дод 2'!Q312+'дод 2'!Q362+'дод 2'!Q371</f>
        <v>0</v>
      </c>
      <c r="Q258" s="25">
        <f>'дод 2'!R55+'дод 2'!R312+'дод 2'!R362+'дод 2'!R371</f>
        <v>0</v>
      </c>
      <c r="R258" s="25">
        <f>'дод 2'!S55+'дод 2'!S312+'дод 2'!S362+'дод 2'!S371</f>
        <v>0</v>
      </c>
      <c r="S258" s="25">
        <f>'дод 2'!T55+'дод 2'!T312+'дод 2'!T362+'дод 2'!T371</f>
        <v>110000</v>
      </c>
      <c r="T258" s="25">
        <f>'дод 2'!U55+'дод 2'!U312+'дод 2'!U362+'дод 2'!U371</f>
        <v>10000</v>
      </c>
      <c r="U258" s="25">
        <f>'дод 2'!V55+'дод 2'!V312+'дод 2'!V362+'дод 2'!V371</f>
        <v>0</v>
      </c>
      <c r="V258" s="25">
        <f>'дод 2'!W55+'дод 2'!W312+'дод 2'!W362+'дод 2'!W371</f>
        <v>10000</v>
      </c>
      <c r="W258" s="25">
        <f>'дод 2'!X55+'дод 2'!X312+'дод 2'!X362+'дод 2'!X371</f>
        <v>0</v>
      </c>
      <c r="X258" s="25">
        <f>'дод 2'!Y55+'дод 2'!Y312+'дод 2'!Y362+'дод 2'!Y371</f>
        <v>0</v>
      </c>
      <c r="Y258" s="25">
        <f>'дод 2'!Z55+'дод 2'!Z312+'дод 2'!Z362+'дод 2'!Z371</f>
        <v>0</v>
      </c>
      <c r="Z258" s="120">
        <f t="shared" si="56"/>
        <v>9.0909090909090917</v>
      </c>
      <c r="AA258" s="25">
        <f t="shared" si="57"/>
        <v>10000</v>
      </c>
    </row>
    <row r="259" spans="1:27" s="31" customFormat="1" ht="23.25" customHeight="1" x14ac:dyDescent="0.25">
      <c r="A259" s="24" t="s">
        <v>236</v>
      </c>
      <c r="B259" s="24" t="s">
        <v>81</v>
      </c>
      <c r="C259" s="40" t="s">
        <v>17</v>
      </c>
      <c r="D259" s="25">
        <f>'дод 2'!E56+'дод 2'!E386+'дод 2'!E410+'дод 2'!E140+'дод 2'!E394+'дод 2'!E405+'дод 2'!E143</f>
        <v>2020800</v>
      </c>
      <c r="E259" s="25">
        <f>'дод 2'!F56+'дод 2'!F386+'дод 2'!F410+'дод 2'!F140+'дод 2'!F394+'дод 2'!F405+'дод 2'!F143</f>
        <v>2020800</v>
      </c>
      <c r="F259" s="25">
        <f>'дод 2'!G56+'дод 2'!G386+'дод 2'!G410+'дод 2'!G140+'дод 2'!G394+'дод 2'!G405+'дод 2'!G143</f>
        <v>0</v>
      </c>
      <c r="G259" s="25">
        <f>'дод 2'!H56+'дод 2'!H386+'дод 2'!H410+'дод 2'!H140+'дод 2'!H394+'дод 2'!H405+'дод 2'!H143</f>
        <v>0</v>
      </c>
      <c r="H259" s="25">
        <f>'дод 2'!I56+'дод 2'!I386+'дод 2'!I410+'дод 2'!I140+'дод 2'!I394+'дод 2'!I405+'дод 2'!I143</f>
        <v>0</v>
      </c>
      <c r="I259" s="25">
        <f>'дод 2'!J56+'дод 2'!J386+'дод 2'!J410+'дод 2'!J140+'дод 2'!J394+'дод 2'!J405+'дод 2'!J143</f>
        <v>182950.72</v>
      </c>
      <c r="J259" s="25">
        <f>'дод 2'!K56+'дод 2'!K386+'дод 2'!K410+'дод 2'!K140+'дод 2'!K394+'дод 2'!K405+'дод 2'!K143</f>
        <v>0</v>
      </c>
      <c r="K259" s="25">
        <f>'дод 2'!L56+'дод 2'!L386+'дод 2'!L410+'дод 2'!L140+'дод 2'!L394+'дод 2'!L405+'дод 2'!L143</f>
        <v>0</v>
      </c>
      <c r="L259" s="120">
        <f t="shared" si="58"/>
        <v>9.0533808392715756</v>
      </c>
      <c r="M259" s="25">
        <f>'дод 2'!N56+'дод 2'!N386+'дод 2'!N410+'дод 2'!N140+'дод 2'!N394+'дод 2'!N405+'дод 2'!N143</f>
        <v>0</v>
      </c>
      <c r="N259" s="25">
        <f>'дод 2'!O56+'дод 2'!O386+'дод 2'!O410+'дод 2'!O140+'дод 2'!O394+'дод 2'!O405+'дод 2'!O143</f>
        <v>0</v>
      </c>
      <c r="O259" s="25">
        <f>'дод 2'!P56+'дод 2'!P386+'дод 2'!P410+'дод 2'!P140+'дод 2'!P394+'дод 2'!P405+'дод 2'!P143</f>
        <v>0</v>
      </c>
      <c r="P259" s="25">
        <f>'дод 2'!Q56+'дод 2'!Q386+'дод 2'!Q410+'дод 2'!Q140+'дод 2'!Q394+'дод 2'!Q405+'дод 2'!Q143</f>
        <v>0</v>
      </c>
      <c r="Q259" s="25">
        <f>'дод 2'!R56+'дод 2'!R386+'дод 2'!R410+'дод 2'!R140+'дод 2'!R394+'дод 2'!R405+'дод 2'!R143</f>
        <v>0</v>
      </c>
      <c r="R259" s="25">
        <f>'дод 2'!S56+'дод 2'!S386+'дод 2'!S410+'дод 2'!S140+'дод 2'!S394+'дод 2'!S405+'дод 2'!S143</f>
        <v>0</v>
      </c>
      <c r="S259" s="25">
        <f>'дод 2'!T56+'дод 2'!T386+'дод 2'!T410+'дод 2'!T140+'дод 2'!T394+'дод 2'!T405+'дод 2'!T143</f>
        <v>2020800</v>
      </c>
      <c r="T259" s="25">
        <f>'дод 2'!U56+'дод 2'!U386+'дод 2'!U410+'дод 2'!U140+'дод 2'!U394+'дод 2'!U405+'дод 2'!U143</f>
        <v>0</v>
      </c>
      <c r="U259" s="25">
        <f>'дод 2'!V56+'дод 2'!V386+'дод 2'!V410+'дод 2'!V140+'дод 2'!V394+'дод 2'!V405+'дод 2'!V143</f>
        <v>0</v>
      </c>
      <c r="V259" s="25">
        <f>'дод 2'!W56+'дод 2'!W386+'дод 2'!W410+'дод 2'!W140+'дод 2'!W394+'дод 2'!W405+'дод 2'!W143</f>
        <v>0</v>
      </c>
      <c r="W259" s="25">
        <f>'дод 2'!X56+'дод 2'!X386+'дод 2'!X410+'дод 2'!X140+'дод 2'!X394+'дод 2'!X405+'дод 2'!X143</f>
        <v>0</v>
      </c>
      <c r="X259" s="25">
        <f>'дод 2'!Y56+'дод 2'!Y386+'дод 2'!Y410+'дод 2'!Y140+'дод 2'!Y394+'дод 2'!Y405+'дод 2'!Y143</f>
        <v>0</v>
      </c>
      <c r="Y259" s="25">
        <f>'дод 2'!Z56+'дод 2'!Z386+'дод 2'!Z410+'дод 2'!Z140+'дод 2'!Z394+'дод 2'!Z405+'дод 2'!Z143</f>
        <v>0</v>
      </c>
      <c r="Z259" s="120"/>
      <c r="AA259" s="25">
        <f t="shared" si="57"/>
        <v>182950.72</v>
      </c>
    </row>
    <row r="260" spans="1:27" s="37" customFormat="1" ht="46.5" hidden="1" customHeight="1" x14ac:dyDescent="0.25">
      <c r="A260" s="32">
        <v>7700</v>
      </c>
      <c r="B260" s="20" t="s">
        <v>92</v>
      </c>
      <c r="C260" s="59" t="s">
        <v>620</v>
      </c>
      <c r="D260" s="23">
        <f>'дод 2'!E142+'дод 2'!E189+'дод 2'!E411+'дод 2'!E144</f>
        <v>0</v>
      </c>
      <c r="E260" s="23">
        <f>'дод 2'!F142+'дод 2'!F189+'дод 2'!F411+'дод 2'!F144</f>
        <v>0</v>
      </c>
      <c r="F260" s="23">
        <f>'дод 2'!G142+'дод 2'!G189+'дод 2'!G411+'дод 2'!G144</f>
        <v>0</v>
      </c>
      <c r="G260" s="23">
        <f>'дод 2'!H142+'дод 2'!H189+'дод 2'!H411+'дод 2'!H144</f>
        <v>0</v>
      </c>
      <c r="H260" s="23">
        <f>'дод 2'!I142+'дод 2'!I189+'дод 2'!I411+'дод 2'!I144</f>
        <v>0</v>
      </c>
      <c r="I260" s="23">
        <f>'дод 2'!J142+'дод 2'!J189+'дод 2'!J411+'дод 2'!J144</f>
        <v>0</v>
      </c>
      <c r="J260" s="23">
        <f>'дод 2'!K142+'дод 2'!K189+'дод 2'!K411+'дод 2'!K144</f>
        <v>0</v>
      </c>
      <c r="K260" s="23">
        <f>'дод 2'!L142+'дод 2'!L189+'дод 2'!L411+'дод 2'!L144</f>
        <v>0</v>
      </c>
      <c r="L260" s="120" t="e">
        <f t="shared" si="58"/>
        <v>#DIV/0!</v>
      </c>
      <c r="M260" s="23">
        <f>'дод 2'!N142+'дод 2'!N189+'дод 2'!N411+'дод 2'!N144</f>
        <v>0</v>
      </c>
      <c r="N260" s="23">
        <f>'дод 2'!O142+'дод 2'!O189+'дод 2'!O411+'дод 2'!O144</f>
        <v>0</v>
      </c>
      <c r="O260" s="23">
        <f>'дод 2'!P142+'дод 2'!P189+'дод 2'!P411+'дод 2'!P144</f>
        <v>0</v>
      </c>
      <c r="P260" s="23">
        <f>'дод 2'!Q142+'дод 2'!Q189+'дод 2'!Q411+'дод 2'!Q144</f>
        <v>0</v>
      </c>
      <c r="Q260" s="23">
        <f>'дод 2'!R142+'дод 2'!R189+'дод 2'!R411+'дод 2'!R144</f>
        <v>0</v>
      </c>
      <c r="R260" s="23">
        <f>'дод 2'!S142+'дод 2'!S189+'дод 2'!S411+'дод 2'!S144</f>
        <v>0</v>
      </c>
      <c r="S260" s="23">
        <f>'дод 2'!T142+'дод 2'!T189+'дод 2'!T411+'дод 2'!T144</f>
        <v>0</v>
      </c>
      <c r="T260" s="23">
        <f>'дод 2'!U142+'дод 2'!U189+'дод 2'!U411+'дод 2'!U144</f>
        <v>0</v>
      </c>
      <c r="U260" s="23">
        <f>'дод 2'!V142+'дод 2'!V189+'дод 2'!V411+'дод 2'!V144</f>
        <v>0</v>
      </c>
      <c r="V260" s="23">
        <f>'дод 2'!W142+'дод 2'!W189+'дод 2'!W411+'дод 2'!W144</f>
        <v>0</v>
      </c>
      <c r="W260" s="23">
        <f>'дод 2'!X142+'дод 2'!X189+'дод 2'!X411+'дод 2'!X144</f>
        <v>0</v>
      </c>
      <c r="X260" s="23">
        <f>'дод 2'!Y142+'дод 2'!Y189+'дод 2'!Y411+'дод 2'!Y144</f>
        <v>0</v>
      </c>
      <c r="Y260" s="23">
        <f>'дод 2'!Z142+'дод 2'!Z189+'дод 2'!Z411+'дод 2'!Z144</f>
        <v>0</v>
      </c>
      <c r="Z260" s="120" t="e">
        <f t="shared" si="56"/>
        <v>#DIV/0!</v>
      </c>
      <c r="AA260" s="25">
        <f t="shared" si="57"/>
        <v>0</v>
      </c>
    </row>
    <row r="261" spans="1:27" s="37" customFormat="1" ht="26.25" hidden="1" customHeight="1" x14ac:dyDescent="0.25">
      <c r="A261" s="32"/>
      <c r="B261" s="20"/>
      <c r="C261" s="8" t="s">
        <v>621</v>
      </c>
      <c r="D261" s="23">
        <f>'дод 2'!E190+'дод 2'!E145</f>
        <v>0</v>
      </c>
      <c r="E261" s="23">
        <f>'дод 2'!F190+'дод 2'!F145</f>
        <v>0</v>
      </c>
      <c r="F261" s="23">
        <f>'дод 2'!G190+'дод 2'!G145</f>
        <v>0</v>
      </c>
      <c r="G261" s="23">
        <f>'дод 2'!H190+'дод 2'!H145</f>
        <v>0</v>
      </c>
      <c r="H261" s="23">
        <f>'дод 2'!I190+'дод 2'!I145</f>
        <v>0</v>
      </c>
      <c r="I261" s="23">
        <f>'дод 2'!J190+'дод 2'!J145</f>
        <v>0</v>
      </c>
      <c r="J261" s="23">
        <f>'дод 2'!K190+'дод 2'!K145</f>
        <v>0</v>
      </c>
      <c r="K261" s="23">
        <f>'дод 2'!L190+'дод 2'!L145</f>
        <v>0</v>
      </c>
      <c r="L261" s="120" t="e">
        <f t="shared" si="58"/>
        <v>#DIV/0!</v>
      </c>
      <c r="M261" s="23">
        <f>'дод 2'!N190+'дод 2'!N145</f>
        <v>0</v>
      </c>
      <c r="N261" s="23">
        <f>'дод 2'!O190+'дод 2'!O145</f>
        <v>0</v>
      </c>
      <c r="O261" s="23">
        <f>'дод 2'!P190+'дод 2'!P145</f>
        <v>0</v>
      </c>
      <c r="P261" s="23">
        <f>'дод 2'!Q190+'дод 2'!Q145</f>
        <v>0</v>
      </c>
      <c r="Q261" s="23">
        <f>'дод 2'!R190+'дод 2'!R145</f>
        <v>0</v>
      </c>
      <c r="R261" s="23">
        <f>'дод 2'!S190+'дод 2'!S145</f>
        <v>0</v>
      </c>
      <c r="S261" s="23">
        <f>'дод 2'!T190+'дод 2'!T145</f>
        <v>0</v>
      </c>
      <c r="T261" s="23">
        <f>'дод 2'!U190+'дод 2'!U145</f>
        <v>0</v>
      </c>
      <c r="U261" s="23">
        <f>'дод 2'!V190+'дод 2'!V145</f>
        <v>0</v>
      </c>
      <c r="V261" s="23">
        <f>'дод 2'!W190+'дод 2'!W145</f>
        <v>0</v>
      </c>
      <c r="W261" s="23">
        <f>'дод 2'!X190+'дод 2'!X145</f>
        <v>0</v>
      </c>
      <c r="X261" s="23">
        <f>'дод 2'!Y190+'дод 2'!Y145</f>
        <v>0</v>
      </c>
      <c r="Y261" s="23">
        <f>'дод 2'!Z190+'дод 2'!Z145</f>
        <v>0</v>
      </c>
      <c r="Z261" s="120" t="e">
        <f t="shared" si="56"/>
        <v>#DIV/0!</v>
      </c>
      <c r="AA261" s="25">
        <f t="shared" si="57"/>
        <v>0</v>
      </c>
    </row>
    <row r="262" spans="1:27" s="19" customFormat="1" ht="30.75" customHeight="1" x14ac:dyDescent="0.25">
      <c r="A262" s="32" t="s">
        <v>93</v>
      </c>
      <c r="B262" s="33"/>
      <c r="C262" s="50" t="s">
        <v>679</v>
      </c>
      <c r="D262" s="23">
        <f t="shared" ref="D262" si="67">D264+D269+D272+D276+D278+D279</f>
        <v>72354946</v>
      </c>
      <c r="E262" s="23">
        <f t="shared" ref="E262:Y262" si="68">E264+E269+E272+E276+E278+E279</f>
        <v>57242263.879999995</v>
      </c>
      <c r="F262" s="23">
        <f t="shared" si="68"/>
        <v>2400000</v>
      </c>
      <c r="G262" s="23">
        <f t="shared" si="68"/>
        <v>8118200</v>
      </c>
      <c r="H262" s="23">
        <f t="shared" si="68"/>
        <v>0</v>
      </c>
      <c r="I262" s="23">
        <f t="shared" si="68"/>
        <v>15328754.48</v>
      </c>
      <c r="J262" s="23">
        <f t="shared" si="68"/>
        <v>1093770.28</v>
      </c>
      <c r="K262" s="23">
        <f t="shared" si="68"/>
        <v>2246668.42</v>
      </c>
      <c r="L262" s="123">
        <f t="shared" si="58"/>
        <v>21.185496399928212</v>
      </c>
      <c r="M262" s="23">
        <f t="shared" si="68"/>
        <v>10355731</v>
      </c>
      <c r="N262" s="23">
        <f t="shared" si="68"/>
        <v>8121331</v>
      </c>
      <c r="O262" s="23">
        <f t="shared" si="68"/>
        <v>1642400</v>
      </c>
      <c r="P262" s="23">
        <f t="shared" si="68"/>
        <v>0</v>
      </c>
      <c r="Q262" s="23">
        <f t="shared" si="68"/>
        <v>1600</v>
      </c>
      <c r="R262" s="23">
        <f t="shared" si="68"/>
        <v>8713331</v>
      </c>
      <c r="S262" s="23">
        <f t="shared" si="68"/>
        <v>82710677</v>
      </c>
      <c r="T262" s="23">
        <f t="shared" si="68"/>
        <v>1257411.8500000001</v>
      </c>
      <c r="U262" s="23">
        <f t="shared" si="68"/>
        <v>845998</v>
      </c>
      <c r="V262" s="23">
        <f t="shared" si="68"/>
        <v>411413.85</v>
      </c>
      <c r="W262" s="23">
        <f t="shared" si="68"/>
        <v>20000</v>
      </c>
      <c r="X262" s="23">
        <f t="shared" si="68"/>
        <v>0</v>
      </c>
      <c r="Y262" s="23">
        <f t="shared" si="68"/>
        <v>845998</v>
      </c>
      <c r="Z262" s="123">
        <f t="shared" si="56"/>
        <v>12.142183395841394</v>
      </c>
      <c r="AA262" s="23">
        <f t="shared" si="57"/>
        <v>16586166.33</v>
      </c>
    </row>
    <row r="263" spans="1:27" s="37" customFormat="1" ht="57.75" customHeight="1" x14ac:dyDescent="0.25">
      <c r="A263" s="34"/>
      <c r="B263" s="7"/>
      <c r="C263" s="35" t="s">
        <v>376</v>
      </c>
      <c r="D263" s="36">
        <f>D265</f>
        <v>410600</v>
      </c>
      <c r="E263" s="36">
        <f t="shared" ref="E263:Y263" si="69">E265</f>
        <v>410600</v>
      </c>
      <c r="F263" s="36">
        <f t="shared" si="69"/>
        <v>336800</v>
      </c>
      <c r="G263" s="36">
        <f t="shared" si="69"/>
        <v>0</v>
      </c>
      <c r="H263" s="36">
        <f t="shared" si="69"/>
        <v>0</v>
      </c>
      <c r="I263" s="36">
        <f t="shared" si="69"/>
        <v>217400</v>
      </c>
      <c r="J263" s="36">
        <f t="shared" si="69"/>
        <v>178350</v>
      </c>
      <c r="K263" s="36">
        <f t="shared" si="69"/>
        <v>0</v>
      </c>
      <c r="L263" s="124">
        <f t="shared" si="58"/>
        <v>52.94690696541646</v>
      </c>
      <c r="M263" s="36">
        <f t="shared" si="69"/>
        <v>0</v>
      </c>
      <c r="N263" s="36">
        <f t="shared" si="69"/>
        <v>0</v>
      </c>
      <c r="O263" s="36">
        <f t="shared" si="69"/>
        <v>0</v>
      </c>
      <c r="P263" s="36">
        <f t="shared" si="69"/>
        <v>0</v>
      </c>
      <c r="Q263" s="36">
        <f t="shared" si="69"/>
        <v>0</v>
      </c>
      <c r="R263" s="36">
        <f t="shared" si="69"/>
        <v>0</v>
      </c>
      <c r="S263" s="36">
        <f t="shared" si="69"/>
        <v>410600</v>
      </c>
      <c r="T263" s="36">
        <f t="shared" si="69"/>
        <v>0</v>
      </c>
      <c r="U263" s="36">
        <f t="shared" si="69"/>
        <v>0</v>
      </c>
      <c r="V263" s="36">
        <f t="shared" si="69"/>
        <v>0</v>
      </c>
      <c r="W263" s="36">
        <f t="shared" si="69"/>
        <v>0</v>
      </c>
      <c r="X263" s="36">
        <f t="shared" si="69"/>
        <v>0</v>
      </c>
      <c r="Y263" s="36">
        <f t="shared" si="69"/>
        <v>0</v>
      </c>
      <c r="Z263" s="120"/>
      <c r="AA263" s="36">
        <f t="shared" si="57"/>
        <v>217400</v>
      </c>
    </row>
    <row r="264" spans="1:27" s="19" customFormat="1" ht="44.25" customHeight="1" x14ac:dyDescent="0.25">
      <c r="A264" s="32" t="s">
        <v>95</v>
      </c>
      <c r="B264" s="33"/>
      <c r="C264" s="50" t="s">
        <v>633</v>
      </c>
      <c r="D264" s="23">
        <f t="shared" ref="D264" si="70">D266+D267</f>
        <v>11264900</v>
      </c>
      <c r="E264" s="23">
        <f t="shared" ref="E264:Y264" si="71">E266+E267</f>
        <v>11264900</v>
      </c>
      <c r="F264" s="23">
        <f t="shared" si="71"/>
        <v>2400000</v>
      </c>
      <c r="G264" s="23">
        <f t="shared" si="71"/>
        <v>181500</v>
      </c>
      <c r="H264" s="23">
        <f t="shared" si="71"/>
        <v>0</v>
      </c>
      <c r="I264" s="23">
        <f t="shared" si="71"/>
        <v>3298384.21</v>
      </c>
      <c r="J264" s="23">
        <f t="shared" si="71"/>
        <v>1093770.28</v>
      </c>
      <c r="K264" s="23">
        <f t="shared" si="71"/>
        <v>43649.1</v>
      </c>
      <c r="L264" s="123">
        <f t="shared" si="58"/>
        <v>29.280190769558541</v>
      </c>
      <c r="M264" s="23">
        <f t="shared" si="71"/>
        <v>7240900</v>
      </c>
      <c r="N264" s="23">
        <f t="shared" si="71"/>
        <v>7234000</v>
      </c>
      <c r="O264" s="23">
        <f t="shared" si="71"/>
        <v>6900</v>
      </c>
      <c r="P264" s="23">
        <f t="shared" si="71"/>
        <v>0</v>
      </c>
      <c r="Q264" s="23">
        <f t="shared" si="71"/>
        <v>1600</v>
      </c>
      <c r="R264" s="23">
        <f t="shared" si="71"/>
        <v>7234000</v>
      </c>
      <c r="S264" s="23">
        <f t="shared" si="71"/>
        <v>18505800</v>
      </c>
      <c r="T264" s="23">
        <f t="shared" si="71"/>
        <v>33225.72</v>
      </c>
      <c r="U264" s="23">
        <f t="shared" si="71"/>
        <v>0</v>
      </c>
      <c r="V264" s="23">
        <f t="shared" si="71"/>
        <v>33225.72</v>
      </c>
      <c r="W264" s="23">
        <f t="shared" si="71"/>
        <v>20000</v>
      </c>
      <c r="X264" s="23">
        <f t="shared" si="71"/>
        <v>0</v>
      </c>
      <c r="Y264" s="23">
        <f t="shared" si="71"/>
        <v>0</v>
      </c>
      <c r="Z264" s="123">
        <f t="shared" si="56"/>
        <v>0.45886174370589294</v>
      </c>
      <c r="AA264" s="23">
        <f t="shared" si="57"/>
        <v>3331609.93</v>
      </c>
    </row>
    <row r="265" spans="1:27" s="37" customFormat="1" ht="59.25" customHeight="1" x14ac:dyDescent="0.25">
      <c r="A265" s="34"/>
      <c r="B265" s="7"/>
      <c r="C265" s="8" t="str">
        <f>C268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65" s="36">
        <f>D268</f>
        <v>410600</v>
      </c>
      <c r="E265" s="36">
        <f t="shared" ref="E265:Y265" si="72">E268</f>
        <v>410600</v>
      </c>
      <c r="F265" s="36">
        <f t="shared" si="72"/>
        <v>336800</v>
      </c>
      <c r="G265" s="36">
        <f t="shared" si="72"/>
        <v>0</v>
      </c>
      <c r="H265" s="36">
        <f t="shared" si="72"/>
        <v>0</v>
      </c>
      <c r="I265" s="36">
        <f t="shared" si="72"/>
        <v>217400</v>
      </c>
      <c r="J265" s="36">
        <f t="shared" si="72"/>
        <v>178350</v>
      </c>
      <c r="K265" s="36">
        <f t="shared" si="72"/>
        <v>0</v>
      </c>
      <c r="L265" s="124">
        <f t="shared" si="58"/>
        <v>52.94690696541646</v>
      </c>
      <c r="M265" s="36">
        <f t="shared" si="72"/>
        <v>0</v>
      </c>
      <c r="N265" s="36">
        <f t="shared" si="72"/>
        <v>0</v>
      </c>
      <c r="O265" s="36">
        <f t="shared" si="72"/>
        <v>0</v>
      </c>
      <c r="P265" s="36">
        <f t="shared" si="72"/>
        <v>0</v>
      </c>
      <c r="Q265" s="36">
        <f t="shared" si="72"/>
        <v>0</v>
      </c>
      <c r="R265" s="36">
        <f t="shared" si="72"/>
        <v>0</v>
      </c>
      <c r="S265" s="36">
        <f t="shared" si="72"/>
        <v>410600</v>
      </c>
      <c r="T265" s="36">
        <f t="shared" si="72"/>
        <v>0</v>
      </c>
      <c r="U265" s="36">
        <f t="shared" si="72"/>
        <v>0</v>
      </c>
      <c r="V265" s="36">
        <f t="shared" si="72"/>
        <v>0</v>
      </c>
      <c r="W265" s="36">
        <f t="shared" si="72"/>
        <v>0</v>
      </c>
      <c r="X265" s="36">
        <f t="shared" si="72"/>
        <v>0</v>
      </c>
      <c r="Y265" s="36">
        <f t="shared" si="72"/>
        <v>0</v>
      </c>
      <c r="Z265" s="120"/>
      <c r="AA265" s="36">
        <f t="shared" si="57"/>
        <v>217400</v>
      </c>
    </row>
    <row r="266" spans="1:27" s="19" customFormat="1" ht="36.75" customHeight="1" x14ac:dyDescent="0.25">
      <c r="A266" s="24" t="s">
        <v>7</v>
      </c>
      <c r="B266" s="24" t="s">
        <v>88</v>
      </c>
      <c r="C266" s="40" t="s">
        <v>291</v>
      </c>
      <c r="D266" s="25">
        <f>'дод 2'!E57+'дод 2'!E313</f>
        <v>8131800</v>
      </c>
      <c r="E266" s="25">
        <f>'дод 2'!F57+'дод 2'!F313</f>
        <v>8131800</v>
      </c>
      <c r="F266" s="25">
        <f>'дод 2'!G57+'дод 2'!G313</f>
        <v>0</v>
      </c>
      <c r="G266" s="25">
        <f>'дод 2'!H57+'дод 2'!H313</f>
        <v>72500</v>
      </c>
      <c r="H266" s="25">
        <f>'дод 2'!I57+'дод 2'!I313</f>
        <v>0</v>
      </c>
      <c r="I266" s="25">
        <f>'дод 2'!J57+'дод 2'!J313</f>
        <v>1903525.7599999998</v>
      </c>
      <c r="J266" s="25">
        <f>'дод 2'!K57+'дод 2'!K313</f>
        <v>0</v>
      </c>
      <c r="K266" s="25">
        <f>'дод 2'!L57+'дод 2'!L313</f>
        <v>18507.189999999999</v>
      </c>
      <c r="L266" s="120">
        <f t="shared" si="58"/>
        <v>23.408418308369608</v>
      </c>
      <c r="M266" s="25">
        <f>'дод 2'!N57+'дод 2'!N313</f>
        <v>7155500</v>
      </c>
      <c r="N266" s="25">
        <f>'дод 2'!O57+'дод 2'!O313</f>
        <v>7155500</v>
      </c>
      <c r="O266" s="25">
        <f>'дод 2'!P57+'дод 2'!P313</f>
        <v>0</v>
      </c>
      <c r="P266" s="25">
        <f>'дод 2'!Q57+'дод 2'!Q313</f>
        <v>0</v>
      </c>
      <c r="Q266" s="25">
        <f>'дод 2'!R57+'дод 2'!R313</f>
        <v>0</v>
      </c>
      <c r="R266" s="25">
        <f>'дод 2'!S57+'дод 2'!S313</f>
        <v>7155500</v>
      </c>
      <c r="S266" s="25">
        <f>'дод 2'!T57+'дод 2'!T313</f>
        <v>15287300</v>
      </c>
      <c r="T266" s="25">
        <f>'дод 2'!U57+'дод 2'!U313</f>
        <v>0</v>
      </c>
      <c r="U266" s="25">
        <f>'дод 2'!V57+'дод 2'!V313</f>
        <v>0</v>
      </c>
      <c r="V266" s="25">
        <f>'дод 2'!W57+'дод 2'!W313</f>
        <v>0</v>
      </c>
      <c r="W266" s="25">
        <f>'дод 2'!X57+'дод 2'!X313</f>
        <v>0</v>
      </c>
      <c r="X266" s="25">
        <f>'дод 2'!Y57+'дод 2'!Y313</f>
        <v>0</v>
      </c>
      <c r="Y266" s="25">
        <f>'дод 2'!Z57+'дод 2'!Z313</f>
        <v>0</v>
      </c>
      <c r="Z266" s="120">
        <f t="shared" si="56"/>
        <v>0</v>
      </c>
      <c r="AA266" s="25">
        <f t="shared" si="57"/>
        <v>1903525.7599999998</v>
      </c>
    </row>
    <row r="267" spans="1:27" ht="21" customHeight="1" x14ac:dyDescent="0.25">
      <c r="A267" s="24" t="s">
        <v>145</v>
      </c>
      <c r="B267" s="3" t="s">
        <v>88</v>
      </c>
      <c r="C267" s="40" t="s">
        <v>680</v>
      </c>
      <c r="D267" s="25">
        <f>'дод 2'!E58</f>
        <v>3133100</v>
      </c>
      <c r="E267" s="25">
        <f>'дод 2'!F58</f>
        <v>3133100</v>
      </c>
      <c r="F267" s="25">
        <f>'дод 2'!G58</f>
        <v>2400000</v>
      </c>
      <c r="G267" s="25">
        <f>'дод 2'!H58</f>
        <v>109000</v>
      </c>
      <c r="H267" s="25">
        <f>'дод 2'!I58</f>
        <v>0</v>
      </c>
      <c r="I267" s="25">
        <f>'дод 2'!J58</f>
        <v>1394858.45</v>
      </c>
      <c r="J267" s="25">
        <f>'дод 2'!K58</f>
        <v>1093770.28</v>
      </c>
      <c r="K267" s="25">
        <f>'дод 2'!L58</f>
        <v>25141.91</v>
      </c>
      <c r="L267" s="120">
        <f t="shared" si="58"/>
        <v>44.520074367240113</v>
      </c>
      <c r="M267" s="25">
        <f>'дод 2'!N58</f>
        <v>85400</v>
      </c>
      <c r="N267" s="25">
        <f>'дод 2'!O58</f>
        <v>78500</v>
      </c>
      <c r="O267" s="25">
        <f>'дод 2'!P58</f>
        <v>6900</v>
      </c>
      <c r="P267" s="25">
        <f>'дод 2'!Q58</f>
        <v>0</v>
      </c>
      <c r="Q267" s="25">
        <f>'дод 2'!R58</f>
        <v>1600</v>
      </c>
      <c r="R267" s="25">
        <f>'дод 2'!S58</f>
        <v>78500</v>
      </c>
      <c r="S267" s="25">
        <f>'дод 2'!T58</f>
        <v>3218500</v>
      </c>
      <c r="T267" s="25">
        <f>'дод 2'!U58</f>
        <v>33225.72</v>
      </c>
      <c r="U267" s="25">
        <f>'дод 2'!V58</f>
        <v>0</v>
      </c>
      <c r="V267" s="25">
        <f>'дод 2'!W58</f>
        <v>33225.72</v>
      </c>
      <c r="W267" s="25">
        <f>'дод 2'!X58</f>
        <v>20000</v>
      </c>
      <c r="X267" s="25">
        <f>'дод 2'!Y58</f>
        <v>0</v>
      </c>
      <c r="Y267" s="25">
        <f>'дод 2'!Z58</f>
        <v>0</v>
      </c>
      <c r="Z267" s="120">
        <f t="shared" si="56"/>
        <v>38.905995316159256</v>
      </c>
      <c r="AA267" s="25">
        <f t="shared" si="57"/>
        <v>1428084.17</v>
      </c>
    </row>
    <row r="268" spans="1:27" s="31" customFormat="1" ht="47.25" customHeight="1" x14ac:dyDescent="0.25">
      <c r="A268" s="27"/>
      <c r="B268" s="28"/>
      <c r="C268" s="39" t="s">
        <v>376</v>
      </c>
      <c r="D268" s="30">
        <f>'дод 2'!E59</f>
        <v>410600</v>
      </c>
      <c r="E268" s="30">
        <f>'дод 2'!F59</f>
        <v>410600</v>
      </c>
      <c r="F268" s="30">
        <f>'дод 2'!G59</f>
        <v>336800</v>
      </c>
      <c r="G268" s="30">
        <f>'дод 2'!H59</f>
        <v>0</v>
      </c>
      <c r="H268" s="30">
        <f>'дод 2'!I59</f>
        <v>0</v>
      </c>
      <c r="I268" s="30">
        <f>'дод 2'!J59</f>
        <v>217400</v>
      </c>
      <c r="J268" s="30">
        <f>'дод 2'!K59</f>
        <v>178350</v>
      </c>
      <c r="K268" s="30">
        <f>'дод 2'!L59</f>
        <v>0</v>
      </c>
      <c r="L268" s="120">
        <f t="shared" si="58"/>
        <v>52.94690696541646</v>
      </c>
      <c r="M268" s="30">
        <f>'дод 2'!N59</f>
        <v>0</v>
      </c>
      <c r="N268" s="30">
        <f>'дод 2'!O59</f>
        <v>0</v>
      </c>
      <c r="O268" s="30">
        <f>'дод 2'!P59</f>
        <v>0</v>
      </c>
      <c r="P268" s="30">
        <f>'дод 2'!Q59</f>
        <v>0</v>
      </c>
      <c r="Q268" s="30">
        <f>'дод 2'!R59</f>
        <v>0</v>
      </c>
      <c r="R268" s="30">
        <f>'дод 2'!S59</f>
        <v>0</v>
      </c>
      <c r="S268" s="30">
        <f>'дод 2'!T59</f>
        <v>410600</v>
      </c>
      <c r="T268" s="30">
        <f>'дод 2'!U59</f>
        <v>0</v>
      </c>
      <c r="U268" s="30">
        <f>'дод 2'!V59</f>
        <v>0</v>
      </c>
      <c r="V268" s="30">
        <f>'дод 2'!W59</f>
        <v>0</v>
      </c>
      <c r="W268" s="30">
        <f>'дод 2'!X59</f>
        <v>0</v>
      </c>
      <c r="X268" s="30">
        <f>'дод 2'!Y59</f>
        <v>0</v>
      </c>
      <c r="Y268" s="30">
        <f>'дод 2'!Z59</f>
        <v>0</v>
      </c>
      <c r="Z268" s="120"/>
      <c r="AA268" s="30">
        <f t="shared" si="57"/>
        <v>217400</v>
      </c>
    </row>
    <row r="269" spans="1:27" s="19" customFormat="1" ht="23.25" customHeight="1" x14ac:dyDescent="0.25">
      <c r="A269" s="32" t="s">
        <v>247</v>
      </c>
      <c r="B269" s="32"/>
      <c r="C269" s="60" t="s">
        <v>248</v>
      </c>
      <c r="D269" s="23">
        <f>D270+D271</f>
        <v>42885294.879999995</v>
      </c>
      <c r="E269" s="23">
        <f t="shared" ref="E269:Y269" si="73">E270+E271</f>
        <v>42885294.879999995</v>
      </c>
      <c r="F269" s="23">
        <f t="shared" si="73"/>
        <v>0</v>
      </c>
      <c r="G269" s="23">
        <f t="shared" si="73"/>
        <v>7936700</v>
      </c>
      <c r="H269" s="23">
        <f t="shared" si="73"/>
        <v>0</v>
      </c>
      <c r="I269" s="23">
        <f t="shared" si="73"/>
        <v>11247492.720000001</v>
      </c>
      <c r="J269" s="23">
        <f t="shared" si="73"/>
        <v>0</v>
      </c>
      <c r="K269" s="23">
        <f t="shared" si="73"/>
        <v>2203019.3199999998</v>
      </c>
      <c r="L269" s="123">
        <f t="shared" si="58"/>
        <v>26.226921725669154</v>
      </c>
      <c r="M269" s="23">
        <f t="shared" si="73"/>
        <v>887331</v>
      </c>
      <c r="N269" s="23">
        <f t="shared" si="73"/>
        <v>887331</v>
      </c>
      <c r="O269" s="23">
        <f t="shared" si="73"/>
        <v>0</v>
      </c>
      <c r="P269" s="23">
        <f t="shared" si="73"/>
        <v>0</v>
      </c>
      <c r="Q269" s="23">
        <f t="shared" si="73"/>
        <v>0</v>
      </c>
      <c r="R269" s="23">
        <f t="shared" si="73"/>
        <v>887331</v>
      </c>
      <c r="S269" s="23">
        <f t="shared" si="73"/>
        <v>43772625.879999995</v>
      </c>
      <c r="T269" s="23">
        <f t="shared" si="73"/>
        <v>1115233.01</v>
      </c>
      <c r="U269" s="23">
        <f t="shared" si="73"/>
        <v>845998</v>
      </c>
      <c r="V269" s="23">
        <f t="shared" si="73"/>
        <v>269235.01</v>
      </c>
      <c r="W269" s="23">
        <f t="shared" si="73"/>
        <v>0</v>
      </c>
      <c r="X269" s="23">
        <f t="shared" si="73"/>
        <v>0</v>
      </c>
      <c r="Y269" s="23">
        <f t="shared" si="73"/>
        <v>845998</v>
      </c>
      <c r="Z269" s="123" t="s">
        <v>723</v>
      </c>
      <c r="AA269" s="23">
        <f t="shared" si="57"/>
        <v>12362725.73</v>
      </c>
    </row>
    <row r="270" spans="1:27" ht="22.5" customHeight="1" x14ac:dyDescent="0.25">
      <c r="A270" s="24" t="s">
        <v>241</v>
      </c>
      <c r="B270" s="3" t="s">
        <v>242</v>
      </c>
      <c r="C270" s="40" t="s">
        <v>243</v>
      </c>
      <c r="D270" s="25">
        <f>'дод 2'!E60+'дод 2'!E314</f>
        <v>768892</v>
      </c>
      <c r="E270" s="25">
        <f>'дод 2'!F60+'дод 2'!F314</f>
        <v>768892</v>
      </c>
      <c r="F270" s="25">
        <f>'дод 2'!G60+'дод 2'!G314</f>
        <v>0</v>
      </c>
      <c r="G270" s="25">
        <f>'дод 2'!H60+'дод 2'!H314</f>
        <v>546600</v>
      </c>
      <c r="H270" s="25">
        <f>'дод 2'!I60+'дод 2'!I314</f>
        <v>0</v>
      </c>
      <c r="I270" s="25">
        <f>'дод 2'!J60+'дод 2'!J314</f>
        <v>324957.17</v>
      </c>
      <c r="J270" s="25">
        <f>'дод 2'!K60+'дод 2'!K314</f>
        <v>0</v>
      </c>
      <c r="K270" s="25">
        <f>'дод 2'!L60+'дод 2'!L314</f>
        <v>303008.57</v>
      </c>
      <c r="L270" s="120">
        <f t="shared" si="58"/>
        <v>42.263044744905656</v>
      </c>
      <c r="M270" s="25">
        <f>'дод 2'!N60+'дод 2'!N314</f>
        <v>0</v>
      </c>
      <c r="N270" s="25">
        <f>'дод 2'!O60+'дод 2'!O314</f>
        <v>0</v>
      </c>
      <c r="O270" s="25">
        <f>'дод 2'!P60+'дод 2'!P314</f>
        <v>0</v>
      </c>
      <c r="P270" s="25">
        <f>'дод 2'!Q60+'дод 2'!Q314</f>
        <v>0</v>
      </c>
      <c r="Q270" s="25">
        <f>'дод 2'!R60+'дод 2'!R314</f>
        <v>0</v>
      </c>
      <c r="R270" s="25">
        <f>'дод 2'!S60+'дод 2'!S314</f>
        <v>0</v>
      </c>
      <c r="S270" s="25">
        <f>'дод 2'!T60+'дод 2'!T314</f>
        <v>768892</v>
      </c>
      <c r="T270" s="25">
        <f>'дод 2'!U60+'дод 2'!U314</f>
        <v>0</v>
      </c>
      <c r="U270" s="25">
        <f>'дод 2'!V60+'дод 2'!V314</f>
        <v>0</v>
      </c>
      <c r="V270" s="25">
        <f>'дод 2'!W60+'дод 2'!W314</f>
        <v>0</v>
      </c>
      <c r="W270" s="25">
        <f>'дод 2'!X60+'дод 2'!X314</f>
        <v>0</v>
      </c>
      <c r="X270" s="25">
        <f>'дод 2'!Y60+'дод 2'!Y314</f>
        <v>0</v>
      </c>
      <c r="Y270" s="25">
        <f>'дод 2'!Z60+'дод 2'!Z314</f>
        <v>0</v>
      </c>
      <c r="Z270" s="120"/>
      <c r="AA270" s="25">
        <f t="shared" si="57"/>
        <v>324957.17</v>
      </c>
    </row>
    <row r="271" spans="1:27" ht="22.5" customHeight="1" x14ac:dyDescent="0.25">
      <c r="A271" s="24">
        <v>8240</v>
      </c>
      <c r="B271" s="3" t="s">
        <v>242</v>
      </c>
      <c r="C271" s="40" t="s">
        <v>586</v>
      </c>
      <c r="D271" s="25">
        <f>'дод 2'!E61+'дод 2'!E315+'дод 2'!E146</f>
        <v>42116402.879999995</v>
      </c>
      <c r="E271" s="25">
        <f>'дод 2'!F61+'дод 2'!F315+'дод 2'!F146</f>
        <v>42116402.879999995</v>
      </c>
      <c r="F271" s="25">
        <f>'дод 2'!G61+'дод 2'!G315+'дод 2'!G146</f>
        <v>0</v>
      </c>
      <c r="G271" s="25">
        <f>'дод 2'!H61+'дод 2'!H315+'дод 2'!H146</f>
        <v>7390100</v>
      </c>
      <c r="H271" s="25">
        <f>'дод 2'!I61+'дод 2'!I315+'дод 2'!I146</f>
        <v>0</v>
      </c>
      <c r="I271" s="25">
        <f>'дод 2'!J61+'дод 2'!J315+'дод 2'!J146</f>
        <v>10922535.550000001</v>
      </c>
      <c r="J271" s="25">
        <f>'дод 2'!K61+'дод 2'!K315+'дод 2'!K146</f>
        <v>0</v>
      </c>
      <c r="K271" s="25">
        <f>'дод 2'!L61+'дод 2'!L315+'дод 2'!L146</f>
        <v>1900010.75</v>
      </c>
      <c r="L271" s="120">
        <f t="shared" si="58"/>
        <v>25.93416057188216</v>
      </c>
      <c r="M271" s="25">
        <f>'дод 2'!N61+'дод 2'!N315+'дод 2'!N146</f>
        <v>887331</v>
      </c>
      <c r="N271" s="25">
        <f>'дод 2'!O61+'дод 2'!O315+'дод 2'!O146</f>
        <v>887331</v>
      </c>
      <c r="O271" s="25">
        <f>'дод 2'!P61+'дод 2'!P315+'дод 2'!P146</f>
        <v>0</v>
      </c>
      <c r="P271" s="25">
        <f>'дод 2'!Q61+'дод 2'!Q315+'дод 2'!Q146</f>
        <v>0</v>
      </c>
      <c r="Q271" s="25">
        <f>'дод 2'!R61+'дод 2'!R315+'дод 2'!R146</f>
        <v>0</v>
      </c>
      <c r="R271" s="25">
        <f>'дод 2'!S61+'дод 2'!S315+'дод 2'!S146</f>
        <v>887331</v>
      </c>
      <c r="S271" s="25">
        <f>'дод 2'!T61+'дод 2'!T315+'дод 2'!T146</f>
        <v>43003733.879999995</v>
      </c>
      <c r="T271" s="25">
        <f>'дод 2'!U61+'дод 2'!U315+'дод 2'!U146</f>
        <v>1115233.01</v>
      </c>
      <c r="U271" s="25">
        <f>'дод 2'!V61+'дод 2'!V315+'дод 2'!V146</f>
        <v>845998</v>
      </c>
      <c r="V271" s="25">
        <f>'дод 2'!W61+'дод 2'!W315+'дод 2'!W146</f>
        <v>269235.01</v>
      </c>
      <c r="W271" s="25">
        <f>'дод 2'!X61+'дод 2'!X315+'дод 2'!X146</f>
        <v>0</v>
      </c>
      <c r="X271" s="25">
        <f>'дод 2'!Y61+'дод 2'!Y315+'дод 2'!Y146</f>
        <v>0</v>
      </c>
      <c r="Y271" s="25">
        <f>'дод 2'!Z61+'дод 2'!Z315+'дод 2'!Z146</f>
        <v>845998</v>
      </c>
      <c r="Z271" s="120" t="s">
        <v>723</v>
      </c>
      <c r="AA271" s="25">
        <f t="shared" si="57"/>
        <v>12037768.560000001</v>
      </c>
    </row>
    <row r="272" spans="1:27" s="19" customFormat="1" ht="22.5" customHeight="1" x14ac:dyDescent="0.25">
      <c r="A272" s="32" t="s">
        <v>6</v>
      </c>
      <c r="B272" s="33"/>
      <c r="C272" s="50" t="s">
        <v>8</v>
      </c>
      <c r="D272" s="23">
        <f>D275+D274+D273</f>
        <v>75000</v>
      </c>
      <c r="E272" s="23">
        <f t="shared" ref="E272:Y272" si="74">E275+E274+E273</f>
        <v>75000</v>
      </c>
      <c r="F272" s="23">
        <f t="shared" si="74"/>
        <v>0</v>
      </c>
      <c r="G272" s="23">
        <f t="shared" si="74"/>
        <v>0</v>
      </c>
      <c r="H272" s="23">
        <f t="shared" si="74"/>
        <v>0</v>
      </c>
      <c r="I272" s="23">
        <f t="shared" si="74"/>
        <v>0</v>
      </c>
      <c r="J272" s="23">
        <f t="shared" si="74"/>
        <v>0</v>
      </c>
      <c r="K272" s="23">
        <f t="shared" si="74"/>
        <v>0</v>
      </c>
      <c r="L272" s="123">
        <f t="shared" si="58"/>
        <v>0</v>
      </c>
      <c r="M272" s="23">
        <f t="shared" si="74"/>
        <v>2227500</v>
      </c>
      <c r="N272" s="23">
        <f t="shared" si="74"/>
        <v>0</v>
      </c>
      <c r="O272" s="23">
        <f t="shared" si="74"/>
        <v>1635500</v>
      </c>
      <c r="P272" s="23">
        <f t="shared" si="74"/>
        <v>0</v>
      </c>
      <c r="Q272" s="23">
        <f t="shared" si="74"/>
        <v>0</v>
      </c>
      <c r="R272" s="23">
        <f t="shared" si="74"/>
        <v>592000</v>
      </c>
      <c r="S272" s="23">
        <f t="shared" si="74"/>
        <v>2302500</v>
      </c>
      <c r="T272" s="23">
        <f t="shared" si="74"/>
        <v>108953.12</v>
      </c>
      <c r="U272" s="23">
        <f t="shared" si="74"/>
        <v>0</v>
      </c>
      <c r="V272" s="23">
        <f t="shared" si="74"/>
        <v>108953.12</v>
      </c>
      <c r="W272" s="23">
        <f t="shared" si="74"/>
        <v>0</v>
      </c>
      <c r="X272" s="23">
        <f t="shared" si="74"/>
        <v>0</v>
      </c>
      <c r="Y272" s="23">
        <f t="shared" si="74"/>
        <v>0</v>
      </c>
      <c r="Z272" s="123">
        <f t="shared" si="56"/>
        <v>4.8912736251402915</v>
      </c>
      <c r="AA272" s="23">
        <f t="shared" si="57"/>
        <v>108953.12</v>
      </c>
    </row>
    <row r="273" spans="1:27" s="19" customFormat="1" ht="22.5" hidden="1" customHeight="1" x14ac:dyDescent="0.25">
      <c r="A273" s="24">
        <v>8312</v>
      </c>
      <c r="B273" s="1" t="s">
        <v>640</v>
      </c>
      <c r="C273" s="40" t="s">
        <v>641</v>
      </c>
      <c r="D273" s="25">
        <f>'дод 2'!E316</f>
        <v>0</v>
      </c>
      <c r="E273" s="25">
        <f>'дод 2'!F316</f>
        <v>0</v>
      </c>
      <c r="F273" s="25">
        <f>'дод 2'!G316</f>
        <v>0</v>
      </c>
      <c r="G273" s="25">
        <f>'дод 2'!H316</f>
        <v>0</v>
      </c>
      <c r="H273" s="25">
        <f>'дод 2'!I316</f>
        <v>0</v>
      </c>
      <c r="I273" s="25">
        <f>'дод 2'!J316</f>
        <v>0</v>
      </c>
      <c r="J273" s="25">
        <f>'дод 2'!K316</f>
        <v>0</v>
      </c>
      <c r="K273" s="25">
        <f>'дод 2'!L316</f>
        <v>0</v>
      </c>
      <c r="L273" s="120" t="e">
        <f t="shared" ref="L273:L301" si="75">I273/D273*100</f>
        <v>#DIV/0!</v>
      </c>
      <c r="M273" s="25">
        <f>'дод 2'!N316</f>
        <v>0</v>
      </c>
      <c r="N273" s="25">
        <f>'дод 2'!O316</f>
        <v>0</v>
      </c>
      <c r="O273" s="25">
        <f>'дод 2'!P316</f>
        <v>0</v>
      </c>
      <c r="P273" s="25">
        <f>'дод 2'!Q316</f>
        <v>0</v>
      </c>
      <c r="Q273" s="25">
        <f>'дод 2'!R316</f>
        <v>0</v>
      </c>
      <c r="R273" s="25">
        <f>'дод 2'!S316</f>
        <v>0</v>
      </c>
      <c r="S273" s="25">
        <f>'дод 2'!T316</f>
        <v>0</v>
      </c>
      <c r="T273" s="25">
        <f>'дод 2'!U316</f>
        <v>0</v>
      </c>
      <c r="U273" s="25">
        <f>'дод 2'!V316</f>
        <v>0</v>
      </c>
      <c r="V273" s="25">
        <f>'дод 2'!W316</f>
        <v>0</v>
      </c>
      <c r="W273" s="25">
        <f>'дод 2'!X316</f>
        <v>0</v>
      </c>
      <c r="X273" s="25">
        <f>'дод 2'!Y316</f>
        <v>0</v>
      </c>
      <c r="Y273" s="25">
        <f>'дод 2'!Z316</f>
        <v>0</v>
      </c>
      <c r="Z273" s="120" t="e">
        <f t="shared" ref="Z273:Z303" si="76">T273/M273*100</f>
        <v>#DIV/0!</v>
      </c>
      <c r="AA273" s="25">
        <f t="shared" ref="AA273:AA303" si="77">I273+T273</f>
        <v>0</v>
      </c>
    </row>
    <row r="274" spans="1:27" s="19" customFormat="1" ht="33.75" customHeight="1" x14ac:dyDescent="0.25">
      <c r="A274" s="24">
        <v>8330</v>
      </c>
      <c r="B274" s="26" t="s">
        <v>91</v>
      </c>
      <c r="C274" s="40" t="s">
        <v>342</v>
      </c>
      <c r="D274" s="25">
        <f>'дод 2'!E412</f>
        <v>75000</v>
      </c>
      <c r="E274" s="25">
        <f>'дод 2'!F412</f>
        <v>75000</v>
      </c>
      <c r="F274" s="25">
        <f>'дод 2'!G412</f>
        <v>0</v>
      </c>
      <c r="G274" s="25">
        <f>'дод 2'!H412</f>
        <v>0</v>
      </c>
      <c r="H274" s="25">
        <f>'дод 2'!I412</f>
        <v>0</v>
      </c>
      <c r="I274" s="25">
        <f>'дод 2'!J412</f>
        <v>0</v>
      </c>
      <c r="J274" s="25">
        <f>'дод 2'!K412</f>
        <v>0</v>
      </c>
      <c r="K274" s="25">
        <f>'дод 2'!L412</f>
        <v>0</v>
      </c>
      <c r="L274" s="120">
        <f t="shared" si="75"/>
        <v>0</v>
      </c>
      <c r="M274" s="25">
        <f>'дод 2'!N412</f>
        <v>0</v>
      </c>
      <c r="N274" s="25">
        <f>'дод 2'!O412</f>
        <v>0</v>
      </c>
      <c r="O274" s="25">
        <f>'дод 2'!P412</f>
        <v>0</v>
      </c>
      <c r="P274" s="25">
        <f>'дод 2'!Q412</f>
        <v>0</v>
      </c>
      <c r="Q274" s="25">
        <f>'дод 2'!R412</f>
        <v>0</v>
      </c>
      <c r="R274" s="25">
        <f>'дод 2'!S412</f>
        <v>0</v>
      </c>
      <c r="S274" s="25">
        <f>'дод 2'!T412</f>
        <v>75000</v>
      </c>
      <c r="T274" s="25">
        <f>'дод 2'!U412</f>
        <v>0</v>
      </c>
      <c r="U274" s="25">
        <f>'дод 2'!V412</f>
        <v>0</v>
      </c>
      <c r="V274" s="25">
        <f>'дод 2'!W412</f>
        <v>0</v>
      </c>
      <c r="W274" s="25">
        <f>'дод 2'!X412</f>
        <v>0</v>
      </c>
      <c r="X274" s="25">
        <f>'дод 2'!Y412</f>
        <v>0</v>
      </c>
      <c r="Y274" s="25">
        <f>'дод 2'!Z412</f>
        <v>0</v>
      </c>
      <c r="Z274" s="120"/>
      <c r="AA274" s="25">
        <f t="shared" si="77"/>
        <v>0</v>
      </c>
    </row>
    <row r="275" spans="1:27" s="19" customFormat="1" ht="19.5" customHeight="1" x14ac:dyDescent="0.25">
      <c r="A275" s="24" t="s">
        <v>9</v>
      </c>
      <c r="B275" s="24" t="s">
        <v>91</v>
      </c>
      <c r="C275" s="40" t="s">
        <v>10</v>
      </c>
      <c r="D275" s="25">
        <f>'дод 2'!E62+'дод 2'!E147+'дод 2'!E317+'дод 2'!E413+'дод 2'!E260</f>
        <v>0</v>
      </c>
      <c r="E275" s="25">
        <f>'дод 2'!F62+'дод 2'!F147+'дод 2'!F317+'дод 2'!F413+'дод 2'!F260</f>
        <v>0</v>
      </c>
      <c r="F275" s="25">
        <f>'дод 2'!G62+'дод 2'!G147+'дод 2'!G317+'дод 2'!G413+'дод 2'!G260</f>
        <v>0</v>
      </c>
      <c r="G275" s="25">
        <f>'дод 2'!H62+'дод 2'!H147+'дод 2'!H317+'дод 2'!H413+'дод 2'!H260</f>
        <v>0</v>
      </c>
      <c r="H275" s="25">
        <f>'дод 2'!I62+'дод 2'!I147+'дод 2'!I317+'дод 2'!I413+'дод 2'!I260</f>
        <v>0</v>
      </c>
      <c r="I275" s="25">
        <f>'дод 2'!J62+'дод 2'!J147+'дод 2'!J317+'дод 2'!J413+'дод 2'!J260</f>
        <v>0</v>
      </c>
      <c r="J275" s="25">
        <f>'дод 2'!K62+'дод 2'!K147+'дод 2'!K317+'дод 2'!K413+'дод 2'!K260</f>
        <v>0</v>
      </c>
      <c r="K275" s="25">
        <f>'дод 2'!L62+'дод 2'!L147+'дод 2'!L317+'дод 2'!L413+'дод 2'!L260</f>
        <v>0</v>
      </c>
      <c r="L275" s="120"/>
      <c r="M275" s="25">
        <f>'дод 2'!N62+'дод 2'!N147+'дод 2'!N317+'дод 2'!N413+'дод 2'!N260</f>
        <v>2227500</v>
      </c>
      <c r="N275" s="25">
        <f>'дод 2'!O62+'дод 2'!O147+'дод 2'!O317+'дод 2'!O413+'дод 2'!O260</f>
        <v>0</v>
      </c>
      <c r="O275" s="25">
        <f>'дод 2'!P62+'дод 2'!P147+'дод 2'!P317+'дод 2'!P413+'дод 2'!P260</f>
        <v>1635500</v>
      </c>
      <c r="P275" s="25">
        <f>'дод 2'!Q62+'дод 2'!Q147+'дод 2'!Q317+'дод 2'!Q413+'дод 2'!Q260</f>
        <v>0</v>
      </c>
      <c r="Q275" s="25">
        <f>'дод 2'!R62+'дод 2'!R147+'дод 2'!R317+'дод 2'!R413+'дод 2'!R260</f>
        <v>0</v>
      </c>
      <c r="R275" s="25">
        <f>'дод 2'!S62+'дод 2'!S147+'дод 2'!S317+'дод 2'!S413+'дод 2'!S260</f>
        <v>592000</v>
      </c>
      <c r="S275" s="25">
        <f>'дод 2'!T62+'дод 2'!T147+'дод 2'!T317+'дод 2'!T413+'дод 2'!T260</f>
        <v>2227500</v>
      </c>
      <c r="T275" s="25">
        <f>'дод 2'!U62+'дод 2'!U147+'дод 2'!U317+'дод 2'!U413+'дод 2'!U260</f>
        <v>108953.12</v>
      </c>
      <c r="U275" s="25">
        <f>'дод 2'!V62+'дод 2'!V147+'дод 2'!V317+'дод 2'!V413+'дод 2'!V260</f>
        <v>0</v>
      </c>
      <c r="V275" s="25">
        <f>'дод 2'!W62+'дод 2'!W147+'дод 2'!W317+'дод 2'!W413+'дод 2'!W260</f>
        <v>108953.12</v>
      </c>
      <c r="W275" s="25">
        <f>'дод 2'!X62+'дод 2'!X147+'дод 2'!X317+'дод 2'!X413+'дод 2'!X260</f>
        <v>0</v>
      </c>
      <c r="X275" s="25">
        <f>'дод 2'!Y62+'дод 2'!Y147+'дод 2'!Y317+'дод 2'!Y413+'дод 2'!Y260</f>
        <v>0</v>
      </c>
      <c r="Y275" s="25">
        <f>'дод 2'!Z62+'дод 2'!Z147+'дод 2'!Z317+'дод 2'!Z413+'дод 2'!Z260</f>
        <v>0</v>
      </c>
      <c r="Z275" s="120">
        <f t="shared" si="76"/>
        <v>4.8912736251402915</v>
      </c>
      <c r="AA275" s="25">
        <f t="shared" si="77"/>
        <v>108953.12</v>
      </c>
    </row>
    <row r="276" spans="1:27" s="19" customFormat="1" ht="20.25" hidden="1" customHeight="1" x14ac:dyDescent="0.25">
      <c r="A276" s="32" t="s">
        <v>131</v>
      </c>
      <c r="B276" s="33"/>
      <c r="C276" s="50" t="s">
        <v>75</v>
      </c>
      <c r="D276" s="23">
        <f t="shared" ref="D276:Y276" si="78">D277</f>
        <v>0</v>
      </c>
      <c r="E276" s="23">
        <f t="shared" si="78"/>
        <v>0</v>
      </c>
      <c r="F276" s="23">
        <f t="shared" si="78"/>
        <v>0</v>
      </c>
      <c r="G276" s="23">
        <f t="shared" si="78"/>
        <v>0</v>
      </c>
      <c r="H276" s="23">
        <f t="shared" si="78"/>
        <v>0</v>
      </c>
      <c r="I276" s="23">
        <f t="shared" si="78"/>
        <v>0</v>
      </c>
      <c r="J276" s="23">
        <f t="shared" si="78"/>
        <v>0</v>
      </c>
      <c r="K276" s="23">
        <f t="shared" si="78"/>
        <v>0</v>
      </c>
      <c r="L276" s="120" t="e">
        <f t="shared" si="75"/>
        <v>#DIV/0!</v>
      </c>
      <c r="M276" s="23">
        <f t="shared" si="78"/>
        <v>0</v>
      </c>
      <c r="N276" s="23">
        <f t="shared" si="78"/>
        <v>0</v>
      </c>
      <c r="O276" s="23">
        <f t="shared" si="78"/>
        <v>0</v>
      </c>
      <c r="P276" s="23">
        <f t="shared" si="78"/>
        <v>0</v>
      </c>
      <c r="Q276" s="23">
        <f t="shared" si="78"/>
        <v>0</v>
      </c>
      <c r="R276" s="23">
        <f t="shared" si="78"/>
        <v>0</v>
      </c>
      <c r="S276" s="23">
        <f t="shared" si="78"/>
        <v>0</v>
      </c>
      <c r="T276" s="23">
        <f t="shared" si="78"/>
        <v>0</v>
      </c>
      <c r="U276" s="23">
        <f t="shared" si="78"/>
        <v>0</v>
      </c>
      <c r="V276" s="23">
        <f t="shared" si="78"/>
        <v>0</v>
      </c>
      <c r="W276" s="23">
        <f t="shared" si="78"/>
        <v>0</v>
      </c>
      <c r="X276" s="23">
        <f t="shared" si="78"/>
        <v>0</v>
      </c>
      <c r="Y276" s="23">
        <f t="shared" si="78"/>
        <v>0</v>
      </c>
      <c r="Z276" s="120" t="e">
        <f t="shared" si="76"/>
        <v>#DIV/0!</v>
      </c>
      <c r="AA276" s="25">
        <f t="shared" si="77"/>
        <v>0</v>
      </c>
    </row>
    <row r="277" spans="1:27" s="19" customFormat="1" ht="21" hidden="1" customHeight="1" x14ac:dyDescent="0.25">
      <c r="A277" s="24" t="s">
        <v>252</v>
      </c>
      <c r="B277" s="3" t="s">
        <v>76</v>
      </c>
      <c r="C277" s="40" t="s">
        <v>253</v>
      </c>
      <c r="D277" s="25">
        <f>'дод 2'!E63</f>
        <v>0</v>
      </c>
      <c r="E277" s="25">
        <f>'дод 2'!F63</f>
        <v>0</v>
      </c>
      <c r="F277" s="25">
        <f>'дод 2'!G63</f>
        <v>0</v>
      </c>
      <c r="G277" s="25">
        <f>'дод 2'!H63</f>
        <v>0</v>
      </c>
      <c r="H277" s="25">
        <f>'дод 2'!I63</f>
        <v>0</v>
      </c>
      <c r="I277" s="25">
        <f>'дод 2'!J63</f>
        <v>0</v>
      </c>
      <c r="J277" s="25">
        <f>'дод 2'!K63</f>
        <v>0</v>
      </c>
      <c r="K277" s="25">
        <f>'дод 2'!L63</f>
        <v>0</v>
      </c>
      <c r="L277" s="120" t="e">
        <f t="shared" si="75"/>
        <v>#DIV/0!</v>
      </c>
      <c r="M277" s="25">
        <f>'дод 2'!N63</f>
        <v>0</v>
      </c>
      <c r="N277" s="25">
        <f>'дод 2'!O63</f>
        <v>0</v>
      </c>
      <c r="O277" s="25">
        <f>'дод 2'!P63</f>
        <v>0</v>
      </c>
      <c r="P277" s="25">
        <f>'дод 2'!Q63</f>
        <v>0</v>
      </c>
      <c r="Q277" s="25">
        <f>'дод 2'!R63</f>
        <v>0</v>
      </c>
      <c r="R277" s="25">
        <f>'дод 2'!S63</f>
        <v>0</v>
      </c>
      <c r="S277" s="25">
        <f>'дод 2'!T63</f>
        <v>0</v>
      </c>
      <c r="T277" s="25">
        <f>'дод 2'!U63</f>
        <v>0</v>
      </c>
      <c r="U277" s="25">
        <f>'дод 2'!V63</f>
        <v>0</v>
      </c>
      <c r="V277" s="25">
        <f>'дод 2'!W63</f>
        <v>0</v>
      </c>
      <c r="W277" s="25">
        <f>'дод 2'!X63</f>
        <v>0</v>
      </c>
      <c r="X277" s="25">
        <f>'дод 2'!Y63</f>
        <v>0</v>
      </c>
      <c r="Y277" s="25">
        <f>'дод 2'!Z63</f>
        <v>0</v>
      </c>
      <c r="Z277" s="120" t="e">
        <f t="shared" si="76"/>
        <v>#DIV/0!</v>
      </c>
      <c r="AA277" s="25">
        <f t="shared" si="77"/>
        <v>0</v>
      </c>
    </row>
    <row r="278" spans="1:27" s="19" customFormat="1" ht="21" customHeight="1" x14ac:dyDescent="0.25">
      <c r="A278" s="32" t="s">
        <v>94</v>
      </c>
      <c r="B278" s="32" t="s">
        <v>89</v>
      </c>
      <c r="C278" s="50" t="s">
        <v>11</v>
      </c>
      <c r="D278" s="23">
        <f>'дод 2'!E414</f>
        <v>3017069</v>
      </c>
      <c r="E278" s="23">
        <f>'дод 2'!F414</f>
        <v>3017069</v>
      </c>
      <c r="F278" s="23">
        <f>'дод 2'!G414</f>
        <v>0</v>
      </c>
      <c r="G278" s="23">
        <f>'дод 2'!H414</f>
        <v>0</v>
      </c>
      <c r="H278" s="23">
        <f>'дод 2'!I414</f>
        <v>0</v>
      </c>
      <c r="I278" s="23">
        <f>'дод 2'!J414</f>
        <v>782877.55</v>
      </c>
      <c r="J278" s="23">
        <f>'дод 2'!K414</f>
        <v>0</v>
      </c>
      <c r="K278" s="23">
        <f>'дод 2'!L414</f>
        <v>0</v>
      </c>
      <c r="L278" s="123">
        <f t="shared" si="75"/>
        <v>25.948281262377492</v>
      </c>
      <c r="M278" s="23">
        <f>'дод 2'!N414</f>
        <v>0</v>
      </c>
      <c r="N278" s="23">
        <f>'дод 2'!O414</f>
        <v>0</v>
      </c>
      <c r="O278" s="23">
        <f>'дод 2'!P414</f>
        <v>0</v>
      </c>
      <c r="P278" s="23">
        <f>'дод 2'!Q414</f>
        <v>0</v>
      </c>
      <c r="Q278" s="23">
        <f>'дод 2'!R414</f>
        <v>0</v>
      </c>
      <c r="R278" s="23">
        <f>'дод 2'!S414</f>
        <v>0</v>
      </c>
      <c r="S278" s="23">
        <f>'дод 2'!T414</f>
        <v>3017069</v>
      </c>
      <c r="T278" s="23">
        <f>'дод 2'!U414</f>
        <v>0</v>
      </c>
      <c r="U278" s="23">
        <f>'дод 2'!V414</f>
        <v>0</v>
      </c>
      <c r="V278" s="23">
        <f>'дод 2'!W414</f>
        <v>0</v>
      </c>
      <c r="W278" s="23">
        <f>'дод 2'!X414</f>
        <v>0</v>
      </c>
      <c r="X278" s="23">
        <f>'дод 2'!Y414</f>
        <v>0</v>
      </c>
      <c r="Y278" s="23">
        <f>'дод 2'!Z414</f>
        <v>0</v>
      </c>
      <c r="Z278" s="120"/>
      <c r="AA278" s="23">
        <f t="shared" si="77"/>
        <v>782877.55</v>
      </c>
    </row>
    <row r="279" spans="1:27" s="19" customFormat="1" ht="21" customHeight="1" x14ac:dyDescent="0.25">
      <c r="A279" s="32">
        <v>8700</v>
      </c>
      <c r="B279" s="32"/>
      <c r="C279" s="50" t="s">
        <v>582</v>
      </c>
      <c r="D279" s="23">
        <f>D280+D284+D282+D283+D281</f>
        <v>15112682.120000001</v>
      </c>
      <c r="E279" s="23">
        <f t="shared" ref="E279:Y279" si="79">E280+E284+E282+E283+E281</f>
        <v>0</v>
      </c>
      <c r="F279" s="23">
        <f t="shared" si="79"/>
        <v>0</v>
      </c>
      <c r="G279" s="23">
        <f t="shared" si="79"/>
        <v>0</v>
      </c>
      <c r="H279" s="23">
        <f t="shared" si="79"/>
        <v>0</v>
      </c>
      <c r="I279" s="23">
        <f t="shared" si="79"/>
        <v>0</v>
      </c>
      <c r="J279" s="23">
        <f t="shared" si="79"/>
        <v>0</v>
      </c>
      <c r="K279" s="23">
        <f t="shared" si="79"/>
        <v>0</v>
      </c>
      <c r="L279" s="120">
        <f t="shared" si="75"/>
        <v>0</v>
      </c>
      <c r="M279" s="23">
        <f t="shared" si="79"/>
        <v>0</v>
      </c>
      <c r="N279" s="23">
        <f t="shared" si="79"/>
        <v>0</v>
      </c>
      <c r="O279" s="23">
        <f t="shared" si="79"/>
        <v>0</v>
      </c>
      <c r="P279" s="23">
        <f t="shared" si="79"/>
        <v>0</v>
      </c>
      <c r="Q279" s="23">
        <f t="shared" si="79"/>
        <v>0</v>
      </c>
      <c r="R279" s="23">
        <f t="shared" si="79"/>
        <v>0</v>
      </c>
      <c r="S279" s="23">
        <f t="shared" si="79"/>
        <v>15112682.120000001</v>
      </c>
      <c r="T279" s="23">
        <f t="shared" si="79"/>
        <v>0</v>
      </c>
      <c r="U279" s="23">
        <f t="shared" si="79"/>
        <v>0</v>
      </c>
      <c r="V279" s="23">
        <f t="shared" si="79"/>
        <v>0</v>
      </c>
      <c r="W279" s="23">
        <f t="shared" si="79"/>
        <v>0</v>
      </c>
      <c r="X279" s="23">
        <f t="shared" si="79"/>
        <v>0</v>
      </c>
      <c r="Y279" s="23">
        <f t="shared" si="79"/>
        <v>0</v>
      </c>
      <c r="Z279" s="120"/>
      <c r="AA279" s="23">
        <f t="shared" si="77"/>
        <v>0</v>
      </c>
    </row>
    <row r="280" spans="1:27" ht="25.5" customHeight="1" x14ac:dyDescent="0.25">
      <c r="A280" s="24">
        <v>8710</v>
      </c>
      <c r="B280" s="24" t="s">
        <v>92</v>
      </c>
      <c r="C280" s="40" t="s">
        <v>485</v>
      </c>
      <c r="D280" s="25">
        <f>'дод 2'!E415</f>
        <v>15112682.120000001</v>
      </c>
      <c r="E280" s="25">
        <f>'дод 2'!F415</f>
        <v>0</v>
      </c>
      <c r="F280" s="25">
        <f>'дод 2'!G415</f>
        <v>0</v>
      </c>
      <c r="G280" s="25">
        <f>'дод 2'!H415</f>
        <v>0</v>
      </c>
      <c r="H280" s="25">
        <f>'дод 2'!I415</f>
        <v>0</v>
      </c>
      <c r="I280" s="25">
        <f>'дод 2'!J415</f>
        <v>0</v>
      </c>
      <c r="J280" s="25">
        <f>'дод 2'!K415</f>
        <v>0</v>
      </c>
      <c r="K280" s="25">
        <f>'дод 2'!L415</f>
        <v>0</v>
      </c>
      <c r="L280" s="120">
        <f t="shared" si="75"/>
        <v>0</v>
      </c>
      <c r="M280" s="25">
        <f>'дод 2'!N415</f>
        <v>0</v>
      </c>
      <c r="N280" s="25">
        <f>'дод 2'!O415</f>
        <v>0</v>
      </c>
      <c r="O280" s="25">
        <f>'дод 2'!P415</f>
        <v>0</v>
      </c>
      <c r="P280" s="25">
        <f>'дод 2'!Q415</f>
        <v>0</v>
      </c>
      <c r="Q280" s="25">
        <f>'дод 2'!R415</f>
        <v>0</v>
      </c>
      <c r="R280" s="25">
        <f>'дод 2'!S415</f>
        <v>0</v>
      </c>
      <c r="S280" s="25">
        <f>'дод 2'!T415</f>
        <v>15112682.120000001</v>
      </c>
      <c r="T280" s="25">
        <f>'дод 2'!U415</f>
        <v>0</v>
      </c>
      <c r="U280" s="25">
        <f>'дод 2'!V415</f>
        <v>0</v>
      </c>
      <c r="V280" s="25">
        <f>'дод 2'!W415</f>
        <v>0</v>
      </c>
      <c r="W280" s="25">
        <f>'дод 2'!X415</f>
        <v>0</v>
      </c>
      <c r="X280" s="25">
        <f>'дод 2'!Y415</f>
        <v>0</v>
      </c>
      <c r="Y280" s="25">
        <f>'дод 2'!Z415</f>
        <v>0</v>
      </c>
      <c r="Z280" s="120"/>
      <c r="AA280" s="25">
        <f t="shared" si="77"/>
        <v>0</v>
      </c>
    </row>
    <row r="281" spans="1:27" ht="55.5" hidden="1" customHeight="1" x14ac:dyDescent="0.25">
      <c r="A281" s="24">
        <v>8741</v>
      </c>
      <c r="B281" s="24">
        <v>610</v>
      </c>
      <c r="C281" s="40" t="s">
        <v>595</v>
      </c>
      <c r="D281" s="25">
        <f>'дод 2'!E318</f>
        <v>0</v>
      </c>
      <c r="E281" s="25">
        <f>'дод 2'!F318</f>
        <v>0</v>
      </c>
      <c r="F281" s="25">
        <f>'дод 2'!G318</f>
        <v>0</v>
      </c>
      <c r="G281" s="25">
        <f>'дод 2'!H318</f>
        <v>0</v>
      </c>
      <c r="H281" s="25">
        <f>'дод 2'!I318</f>
        <v>0</v>
      </c>
      <c r="I281" s="25">
        <f>'дод 2'!J318</f>
        <v>0</v>
      </c>
      <c r="J281" s="25">
        <f>'дод 2'!K318</f>
        <v>0</v>
      </c>
      <c r="K281" s="25">
        <f>'дод 2'!L318</f>
        <v>0</v>
      </c>
      <c r="L281" s="120" t="e">
        <f t="shared" si="75"/>
        <v>#DIV/0!</v>
      </c>
      <c r="M281" s="25">
        <f>'дод 2'!N318</f>
        <v>0</v>
      </c>
      <c r="N281" s="25">
        <f>'дод 2'!O318</f>
        <v>0</v>
      </c>
      <c r="O281" s="25">
        <f>'дод 2'!P318</f>
        <v>0</v>
      </c>
      <c r="P281" s="25">
        <f>'дод 2'!Q318</f>
        <v>0</v>
      </c>
      <c r="Q281" s="25">
        <f>'дод 2'!R318</f>
        <v>0</v>
      </c>
      <c r="R281" s="25">
        <f>'дод 2'!S318</f>
        <v>0</v>
      </c>
      <c r="S281" s="25">
        <f>'дод 2'!T318</f>
        <v>0</v>
      </c>
      <c r="T281" s="25">
        <f>'дод 2'!U318</f>
        <v>0</v>
      </c>
      <c r="U281" s="25">
        <f>'дод 2'!V318</f>
        <v>0</v>
      </c>
      <c r="V281" s="25">
        <f>'дод 2'!W318</f>
        <v>0</v>
      </c>
      <c r="W281" s="25">
        <f>'дод 2'!X318</f>
        <v>0</v>
      </c>
      <c r="X281" s="25">
        <f>'дод 2'!Y318</f>
        <v>0</v>
      </c>
      <c r="Y281" s="25">
        <f>'дод 2'!Z318</f>
        <v>0</v>
      </c>
      <c r="Z281" s="120" t="e">
        <f t="shared" si="76"/>
        <v>#DIV/0!</v>
      </c>
      <c r="AA281" s="25">
        <f t="shared" si="77"/>
        <v>0</v>
      </c>
    </row>
    <row r="282" spans="1:27" ht="63" hidden="1" customHeight="1" x14ac:dyDescent="0.25">
      <c r="A282" s="24">
        <v>8746</v>
      </c>
      <c r="B282" s="24">
        <v>640</v>
      </c>
      <c r="C282" s="40" t="s">
        <v>593</v>
      </c>
      <c r="D282" s="25">
        <f>'дод 2'!E319</f>
        <v>0</v>
      </c>
      <c r="E282" s="25">
        <f>'дод 2'!F319</f>
        <v>0</v>
      </c>
      <c r="F282" s="25">
        <f>'дод 2'!G319</f>
        <v>0</v>
      </c>
      <c r="G282" s="25">
        <f>'дод 2'!H319</f>
        <v>0</v>
      </c>
      <c r="H282" s="25">
        <f>'дод 2'!I319</f>
        <v>0</v>
      </c>
      <c r="I282" s="25">
        <f>'дод 2'!J319</f>
        <v>0</v>
      </c>
      <c r="J282" s="25">
        <f>'дод 2'!K319</f>
        <v>0</v>
      </c>
      <c r="K282" s="25">
        <f>'дод 2'!L319</f>
        <v>0</v>
      </c>
      <c r="L282" s="120" t="e">
        <f t="shared" si="75"/>
        <v>#DIV/0!</v>
      </c>
      <c r="M282" s="25">
        <f>'дод 2'!N319</f>
        <v>0</v>
      </c>
      <c r="N282" s="25">
        <f>'дод 2'!O319</f>
        <v>0</v>
      </c>
      <c r="O282" s="25">
        <f>'дод 2'!P319</f>
        <v>0</v>
      </c>
      <c r="P282" s="25">
        <f>'дод 2'!Q319</f>
        <v>0</v>
      </c>
      <c r="Q282" s="25">
        <f>'дод 2'!R319</f>
        <v>0</v>
      </c>
      <c r="R282" s="25">
        <f>'дод 2'!S319</f>
        <v>0</v>
      </c>
      <c r="S282" s="25">
        <f>'дод 2'!T319</f>
        <v>0</v>
      </c>
      <c r="T282" s="25">
        <f>'дод 2'!U319</f>
        <v>0</v>
      </c>
      <c r="U282" s="25">
        <f>'дод 2'!V319</f>
        <v>0</v>
      </c>
      <c r="V282" s="25">
        <f>'дод 2'!W319</f>
        <v>0</v>
      </c>
      <c r="W282" s="25">
        <f>'дод 2'!X319</f>
        <v>0</v>
      </c>
      <c r="X282" s="25">
        <f>'дод 2'!Y319</f>
        <v>0</v>
      </c>
      <c r="Y282" s="25">
        <f>'дод 2'!Z319</f>
        <v>0</v>
      </c>
      <c r="Z282" s="120" t="e">
        <f t="shared" si="76"/>
        <v>#DIV/0!</v>
      </c>
      <c r="AA282" s="25">
        <f t="shared" si="77"/>
        <v>0</v>
      </c>
    </row>
    <row r="283" spans="1:27" ht="47.25" hidden="1" customHeight="1" x14ac:dyDescent="0.25">
      <c r="A283" s="24">
        <v>8751</v>
      </c>
      <c r="B283" s="24">
        <v>1070</v>
      </c>
      <c r="C283" s="40" t="s">
        <v>592</v>
      </c>
      <c r="D283" s="25">
        <f>'дод 2'!E238</f>
        <v>0</v>
      </c>
      <c r="E283" s="25">
        <f>'дод 2'!F238</f>
        <v>0</v>
      </c>
      <c r="F283" s="25">
        <f>'дод 2'!G238</f>
        <v>0</v>
      </c>
      <c r="G283" s="25">
        <f>'дод 2'!H238</f>
        <v>0</v>
      </c>
      <c r="H283" s="25">
        <f>'дод 2'!I238</f>
        <v>0</v>
      </c>
      <c r="I283" s="25">
        <f>'дод 2'!J238</f>
        <v>0</v>
      </c>
      <c r="J283" s="25">
        <f>'дод 2'!K238</f>
        <v>0</v>
      </c>
      <c r="K283" s="25">
        <f>'дод 2'!L238</f>
        <v>0</v>
      </c>
      <c r="L283" s="120" t="e">
        <f t="shared" si="75"/>
        <v>#DIV/0!</v>
      </c>
      <c r="M283" s="25">
        <f>'дод 2'!N238</f>
        <v>0</v>
      </c>
      <c r="N283" s="25">
        <f>'дод 2'!O238</f>
        <v>0</v>
      </c>
      <c r="O283" s="25">
        <f>'дод 2'!P238</f>
        <v>0</v>
      </c>
      <c r="P283" s="25">
        <f>'дод 2'!Q238</f>
        <v>0</v>
      </c>
      <c r="Q283" s="25">
        <f>'дод 2'!R238</f>
        <v>0</v>
      </c>
      <c r="R283" s="25">
        <f>'дод 2'!S238</f>
        <v>0</v>
      </c>
      <c r="S283" s="25">
        <f>'дод 2'!T238</f>
        <v>0</v>
      </c>
      <c r="T283" s="25">
        <f>'дод 2'!U238</f>
        <v>0</v>
      </c>
      <c r="U283" s="25">
        <f>'дод 2'!V238</f>
        <v>0</v>
      </c>
      <c r="V283" s="25">
        <f>'дод 2'!W238</f>
        <v>0</v>
      </c>
      <c r="W283" s="25">
        <f>'дод 2'!X238</f>
        <v>0</v>
      </c>
      <c r="X283" s="25">
        <f>'дод 2'!Y238</f>
        <v>0</v>
      </c>
      <c r="Y283" s="25">
        <f>'дод 2'!Z238</f>
        <v>0</v>
      </c>
      <c r="Z283" s="120" t="e">
        <f t="shared" si="76"/>
        <v>#DIV/0!</v>
      </c>
      <c r="AA283" s="25">
        <f t="shared" si="77"/>
        <v>0</v>
      </c>
    </row>
    <row r="284" spans="1:27" ht="33.75" hidden="1" customHeight="1" x14ac:dyDescent="0.25">
      <c r="A284" s="24">
        <v>8775</v>
      </c>
      <c r="B284" s="24" t="s">
        <v>92</v>
      </c>
      <c r="C284" s="40" t="s">
        <v>580</v>
      </c>
      <c r="D284" s="25">
        <f>'дод 2'!E65+'дод 2'!E192+'дод 2'!E239+'дод 2'!E320</f>
        <v>0</v>
      </c>
      <c r="E284" s="25">
        <f>'дод 2'!F65+'дод 2'!F192+'дод 2'!F239+'дод 2'!F320</f>
        <v>0</v>
      </c>
      <c r="F284" s="25">
        <f>'дод 2'!G65+'дод 2'!G192+'дод 2'!G239+'дод 2'!G320</f>
        <v>0</v>
      </c>
      <c r="G284" s="25">
        <f>'дод 2'!H65+'дод 2'!H192+'дод 2'!H239+'дод 2'!H320</f>
        <v>0</v>
      </c>
      <c r="H284" s="25">
        <f>'дод 2'!I65+'дод 2'!I192+'дод 2'!I239+'дод 2'!I320</f>
        <v>0</v>
      </c>
      <c r="I284" s="25">
        <f>'дод 2'!J65+'дод 2'!J192+'дод 2'!J239+'дод 2'!J320</f>
        <v>0</v>
      </c>
      <c r="J284" s="25">
        <f>'дод 2'!K65+'дод 2'!K192+'дод 2'!K239+'дод 2'!K320</f>
        <v>0</v>
      </c>
      <c r="K284" s="25">
        <f>'дод 2'!L65+'дод 2'!L192+'дод 2'!L239+'дод 2'!L320</f>
        <v>0</v>
      </c>
      <c r="L284" s="120" t="e">
        <f t="shared" si="75"/>
        <v>#DIV/0!</v>
      </c>
      <c r="M284" s="25">
        <f>'дод 2'!N65+'дод 2'!N192+'дод 2'!N239+'дод 2'!N320</f>
        <v>0</v>
      </c>
      <c r="N284" s="25">
        <f>'дод 2'!O65+'дод 2'!O192+'дод 2'!O239+'дод 2'!O320</f>
        <v>0</v>
      </c>
      <c r="O284" s="25">
        <f>'дод 2'!P65+'дод 2'!P192+'дод 2'!P239+'дод 2'!P320</f>
        <v>0</v>
      </c>
      <c r="P284" s="25">
        <f>'дод 2'!Q65+'дод 2'!Q192+'дод 2'!Q239+'дод 2'!Q320</f>
        <v>0</v>
      </c>
      <c r="Q284" s="25">
        <f>'дод 2'!R65+'дод 2'!R192+'дод 2'!R239+'дод 2'!R320</f>
        <v>0</v>
      </c>
      <c r="R284" s="25">
        <f>'дод 2'!S65+'дод 2'!S192+'дод 2'!S239+'дод 2'!S320</f>
        <v>0</v>
      </c>
      <c r="S284" s="25">
        <f>'дод 2'!T65+'дод 2'!T192+'дод 2'!T239+'дод 2'!T320</f>
        <v>0</v>
      </c>
      <c r="T284" s="25">
        <f>'дод 2'!U65+'дод 2'!U192+'дод 2'!U239+'дод 2'!U320</f>
        <v>0</v>
      </c>
      <c r="U284" s="25">
        <f>'дод 2'!V65+'дод 2'!V192+'дод 2'!V239+'дод 2'!V320</f>
        <v>0</v>
      </c>
      <c r="V284" s="25">
        <f>'дод 2'!W65+'дод 2'!W192+'дод 2'!W239+'дод 2'!W320</f>
        <v>0</v>
      </c>
      <c r="W284" s="25">
        <f>'дод 2'!X65+'дод 2'!X192+'дод 2'!X239+'дод 2'!X320</f>
        <v>0</v>
      </c>
      <c r="X284" s="25">
        <f>'дод 2'!Y65+'дод 2'!Y192+'дод 2'!Y239+'дод 2'!Y320</f>
        <v>0</v>
      </c>
      <c r="Y284" s="25">
        <f>'дод 2'!Z65+'дод 2'!Z192+'дод 2'!Z239+'дод 2'!Z320</f>
        <v>0</v>
      </c>
      <c r="Z284" s="120" t="e">
        <f t="shared" si="76"/>
        <v>#DIV/0!</v>
      </c>
      <c r="AA284" s="25">
        <f t="shared" si="77"/>
        <v>0</v>
      </c>
    </row>
    <row r="285" spans="1:27" s="19" customFormat="1" ht="24" customHeight="1" x14ac:dyDescent="0.25">
      <c r="A285" s="32" t="s">
        <v>12</v>
      </c>
      <c r="B285" s="32"/>
      <c r="C285" s="50" t="s">
        <v>559</v>
      </c>
      <c r="D285" s="23">
        <f>D287+D289+D293+D297</f>
        <v>12243700</v>
      </c>
      <c r="E285" s="23">
        <f t="shared" ref="E285:Y285" si="80">E287+E289+E293+E297</f>
        <v>12243700</v>
      </c>
      <c r="F285" s="23">
        <f t="shared" si="80"/>
        <v>0</v>
      </c>
      <c r="G285" s="23">
        <f t="shared" si="80"/>
        <v>0</v>
      </c>
      <c r="H285" s="23">
        <f t="shared" si="80"/>
        <v>0</v>
      </c>
      <c r="I285" s="23">
        <f t="shared" si="80"/>
        <v>7426900</v>
      </c>
      <c r="J285" s="23">
        <f t="shared" si="80"/>
        <v>0</v>
      </c>
      <c r="K285" s="23">
        <f t="shared" si="80"/>
        <v>0</v>
      </c>
      <c r="L285" s="123">
        <f t="shared" si="75"/>
        <v>60.658951134052622</v>
      </c>
      <c r="M285" s="23">
        <f t="shared" si="80"/>
        <v>56303050</v>
      </c>
      <c r="N285" s="23">
        <f t="shared" si="80"/>
        <v>56303050</v>
      </c>
      <c r="O285" s="23">
        <f t="shared" si="80"/>
        <v>0</v>
      </c>
      <c r="P285" s="23">
        <f t="shared" si="80"/>
        <v>0</v>
      </c>
      <c r="Q285" s="23">
        <f t="shared" si="80"/>
        <v>0</v>
      </c>
      <c r="R285" s="23">
        <f t="shared" si="80"/>
        <v>56303050</v>
      </c>
      <c r="S285" s="23">
        <f t="shared" si="80"/>
        <v>68546750</v>
      </c>
      <c r="T285" s="23">
        <f t="shared" si="80"/>
        <v>43264158</v>
      </c>
      <c r="U285" s="23">
        <f t="shared" si="80"/>
        <v>43264158</v>
      </c>
      <c r="V285" s="23">
        <f t="shared" si="80"/>
        <v>0</v>
      </c>
      <c r="W285" s="23">
        <f t="shared" si="80"/>
        <v>0</v>
      </c>
      <c r="X285" s="23">
        <f t="shared" si="80"/>
        <v>0</v>
      </c>
      <c r="Y285" s="23">
        <f t="shared" si="80"/>
        <v>43264158</v>
      </c>
      <c r="Z285" s="123">
        <f t="shared" si="76"/>
        <v>76.841588510746746</v>
      </c>
      <c r="AA285" s="23">
        <f t="shared" si="77"/>
        <v>50691058</v>
      </c>
    </row>
    <row r="286" spans="1:27" s="19" customFormat="1" ht="36.75" hidden="1" customHeight="1" x14ac:dyDescent="0.25">
      <c r="A286" s="32"/>
      <c r="B286" s="32"/>
      <c r="C286" s="8" t="s">
        <v>501</v>
      </c>
      <c r="D286" s="36">
        <f>D290</f>
        <v>0</v>
      </c>
      <c r="E286" s="36">
        <f t="shared" ref="E286:Y286" si="81">E290</f>
        <v>0</v>
      </c>
      <c r="F286" s="36">
        <f t="shared" si="81"/>
        <v>0</v>
      </c>
      <c r="G286" s="36">
        <f t="shared" si="81"/>
        <v>0</v>
      </c>
      <c r="H286" s="36">
        <f t="shared" si="81"/>
        <v>0</v>
      </c>
      <c r="I286" s="36">
        <f t="shared" si="81"/>
        <v>0</v>
      </c>
      <c r="J286" s="36">
        <f t="shared" si="81"/>
        <v>0</v>
      </c>
      <c r="K286" s="36">
        <f t="shared" si="81"/>
        <v>0</v>
      </c>
      <c r="L286" s="123" t="e">
        <f t="shared" si="75"/>
        <v>#DIV/0!</v>
      </c>
      <c r="M286" s="36">
        <f t="shared" si="81"/>
        <v>0</v>
      </c>
      <c r="N286" s="36">
        <f t="shared" si="81"/>
        <v>0</v>
      </c>
      <c r="O286" s="36">
        <f t="shared" si="81"/>
        <v>0</v>
      </c>
      <c r="P286" s="36">
        <f t="shared" si="81"/>
        <v>0</v>
      </c>
      <c r="Q286" s="36">
        <f t="shared" si="81"/>
        <v>0</v>
      </c>
      <c r="R286" s="36">
        <f t="shared" si="81"/>
        <v>0</v>
      </c>
      <c r="S286" s="36">
        <f t="shared" si="81"/>
        <v>0</v>
      </c>
      <c r="T286" s="36">
        <f t="shared" si="81"/>
        <v>0</v>
      </c>
      <c r="U286" s="36">
        <f t="shared" si="81"/>
        <v>0</v>
      </c>
      <c r="V286" s="36">
        <f t="shared" si="81"/>
        <v>0</v>
      </c>
      <c r="W286" s="36">
        <f t="shared" si="81"/>
        <v>0</v>
      </c>
      <c r="X286" s="36">
        <f t="shared" si="81"/>
        <v>0</v>
      </c>
      <c r="Y286" s="36">
        <f t="shared" si="81"/>
        <v>0</v>
      </c>
      <c r="Z286" s="120" t="e">
        <f t="shared" si="76"/>
        <v>#DIV/0!</v>
      </c>
      <c r="AA286" s="25">
        <f t="shared" si="77"/>
        <v>0</v>
      </c>
    </row>
    <row r="287" spans="1:27" s="19" customFormat="1" ht="21.75" hidden="1" customHeight="1" x14ac:dyDescent="0.25">
      <c r="A287" s="32" t="s">
        <v>250</v>
      </c>
      <c r="B287" s="32"/>
      <c r="C287" s="50" t="s">
        <v>292</v>
      </c>
      <c r="D287" s="23">
        <f t="shared" ref="D287:Y287" si="82">D288</f>
        <v>0</v>
      </c>
      <c r="E287" s="23">
        <f t="shared" si="82"/>
        <v>0</v>
      </c>
      <c r="F287" s="23">
        <f t="shared" si="82"/>
        <v>0</v>
      </c>
      <c r="G287" s="23">
        <f t="shared" si="82"/>
        <v>0</v>
      </c>
      <c r="H287" s="23">
        <f t="shared" si="82"/>
        <v>0</v>
      </c>
      <c r="I287" s="23">
        <f t="shared" si="82"/>
        <v>0</v>
      </c>
      <c r="J287" s="23">
        <f t="shared" si="82"/>
        <v>0</v>
      </c>
      <c r="K287" s="23">
        <f t="shared" si="82"/>
        <v>0</v>
      </c>
      <c r="L287" s="123" t="e">
        <f t="shared" si="75"/>
        <v>#DIV/0!</v>
      </c>
      <c r="M287" s="23">
        <f t="shared" si="82"/>
        <v>0</v>
      </c>
      <c r="N287" s="23">
        <f t="shared" si="82"/>
        <v>0</v>
      </c>
      <c r="O287" s="23">
        <f t="shared" si="82"/>
        <v>0</v>
      </c>
      <c r="P287" s="23">
        <f t="shared" si="82"/>
        <v>0</v>
      </c>
      <c r="Q287" s="23">
        <f t="shared" si="82"/>
        <v>0</v>
      </c>
      <c r="R287" s="23">
        <f t="shared" si="82"/>
        <v>0</v>
      </c>
      <c r="S287" s="23">
        <f t="shared" si="82"/>
        <v>0</v>
      </c>
      <c r="T287" s="23">
        <f t="shared" si="82"/>
        <v>0</v>
      </c>
      <c r="U287" s="23">
        <f t="shared" si="82"/>
        <v>0</v>
      </c>
      <c r="V287" s="23">
        <f t="shared" si="82"/>
        <v>0</v>
      </c>
      <c r="W287" s="23">
        <f t="shared" si="82"/>
        <v>0</v>
      </c>
      <c r="X287" s="23">
        <f t="shared" si="82"/>
        <v>0</v>
      </c>
      <c r="Y287" s="23">
        <f t="shared" si="82"/>
        <v>0</v>
      </c>
      <c r="Z287" s="120" t="e">
        <f t="shared" si="76"/>
        <v>#DIV/0!</v>
      </c>
      <c r="AA287" s="25">
        <f t="shared" si="77"/>
        <v>0</v>
      </c>
    </row>
    <row r="288" spans="1:27" s="19" customFormat="1" ht="21" hidden="1" customHeight="1" x14ac:dyDescent="0.25">
      <c r="A288" s="24" t="s">
        <v>90</v>
      </c>
      <c r="B288" s="3" t="s">
        <v>44</v>
      </c>
      <c r="C288" s="40" t="s">
        <v>109</v>
      </c>
      <c r="D288" s="25">
        <f>'дод 2'!E416</f>
        <v>0</v>
      </c>
      <c r="E288" s="25">
        <f>'дод 2'!F416</f>
        <v>0</v>
      </c>
      <c r="F288" s="25">
        <f>'дод 2'!G416</f>
        <v>0</v>
      </c>
      <c r="G288" s="25">
        <f>'дод 2'!H416</f>
        <v>0</v>
      </c>
      <c r="H288" s="25">
        <f>'дод 2'!I416</f>
        <v>0</v>
      </c>
      <c r="I288" s="25">
        <f>'дод 2'!J416</f>
        <v>0</v>
      </c>
      <c r="J288" s="25">
        <f>'дод 2'!K416</f>
        <v>0</v>
      </c>
      <c r="K288" s="25">
        <f>'дод 2'!L416</f>
        <v>0</v>
      </c>
      <c r="L288" s="123" t="e">
        <f t="shared" si="75"/>
        <v>#DIV/0!</v>
      </c>
      <c r="M288" s="25">
        <f>'дод 2'!N416</f>
        <v>0</v>
      </c>
      <c r="N288" s="25">
        <f>'дод 2'!O416</f>
        <v>0</v>
      </c>
      <c r="O288" s="25">
        <f>'дод 2'!P416</f>
        <v>0</v>
      </c>
      <c r="P288" s="25">
        <f>'дод 2'!Q416</f>
        <v>0</v>
      </c>
      <c r="Q288" s="25">
        <f>'дод 2'!R416</f>
        <v>0</v>
      </c>
      <c r="R288" s="25">
        <f>'дод 2'!S416</f>
        <v>0</v>
      </c>
      <c r="S288" s="25">
        <f>'дод 2'!T416</f>
        <v>0</v>
      </c>
      <c r="T288" s="25">
        <f>'дод 2'!U416</f>
        <v>0</v>
      </c>
      <c r="U288" s="25">
        <f>'дод 2'!V416</f>
        <v>0</v>
      </c>
      <c r="V288" s="25">
        <f>'дод 2'!W416</f>
        <v>0</v>
      </c>
      <c r="W288" s="25">
        <f>'дод 2'!X416</f>
        <v>0</v>
      </c>
      <c r="X288" s="25">
        <f>'дод 2'!Y416</f>
        <v>0</v>
      </c>
      <c r="Y288" s="25">
        <f>'дод 2'!Z416</f>
        <v>0</v>
      </c>
      <c r="Z288" s="120" t="e">
        <f t="shared" si="76"/>
        <v>#DIV/0!</v>
      </c>
      <c r="AA288" s="25">
        <f t="shared" si="77"/>
        <v>0</v>
      </c>
    </row>
    <row r="289" spans="1:27" s="19" customFormat="1" ht="63" hidden="1" customHeight="1" x14ac:dyDescent="0.25">
      <c r="A289" s="32">
        <v>9300</v>
      </c>
      <c r="B289" s="61"/>
      <c r="C289" s="50" t="s">
        <v>498</v>
      </c>
      <c r="D289" s="23">
        <f>D291</f>
        <v>0</v>
      </c>
      <c r="E289" s="23">
        <f t="shared" ref="E289:Y289" si="83">E291</f>
        <v>0</v>
      </c>
      <c r="F289" s="23">
        <f t="shared" si="83"/>
        <v>0</v>
      </c>
      <c r="G289" s="23">
        <f t="shared" si="83"/>
        <v>0</v>
      </c>
      <c r="H289" s="23">
        <f t="shared" si="83"/>
        <v>0</v>
      </c>
      <c r="I289" s="23">
        <f t="shared" si="83"/>
        <v>0</v>
      </c>
      <c r="J289" s="23">
        <f t="shared" si="83"/>
        <v>0</v>
      </c>
      <c r="K289" s="23">
        <f t="shared" si="83"/>
        <v>0</v>
      </c>
      <c r="L289" s="123" t="e">
        <f t="shared" si="75"/>
        <v>#DIV/0!</v>
      </c>
      <c r="M289" s="23">
        <f t="shared" si="83"/>
        <v>0</v>
      </c>
      <c r="N289" s="23">
        <f t="shared" si="83"/>
        <v>0</v>
      </c>
      <c r="O289" s="23">
        <f t="shared" si="83"/>
        <v>0</v>
      </c>
      <c r="P289" s="23">
        <f t="shared" si="83"/>
        <v>0</v>
      </c>
      <c r="Q289" s="23">
        <f t="shared" si="83"/>
        <v>0</v>
      </c>
      <c r="R289" s="23">
        <f t="shared" si="83"/>
        <v>0</v>
      </c>
      <c r="S289" s="23">
        <f t="shared" si="83"/>
        <v>0</v>
      </c>
      <c r="T289" s="23">
        <f t="shared" si="83"/>
        <v>0</v>
      </c>
      <c r="U289" s="23">
        <f t="shared" si="83"/>
        <v>0</v>
      </c>
      <c r="V289" s="23">
        <f t="shared" si="83"/>
        <v>0</v>
      </c>
      <c r="W289" s="23">
        <f t="shared" si="83"/>
        <v>0</v>
      </c>
      <c r="X289" s="23">
        <f t="shared" si="83"/>
        <v>0</v>
      </c>
      <c r="Y289" s="23">
        <f t="shared" si="83"/>
        <v>0</v>
      </c>
      <c r="Z289" s="120" t="e">
        <f t="shared" si="76"/>
        <v>#DIV/0!</v>
      </c>
      <c r="AA289" s="25">
        <f t="shared" si="77"/>
        <v>0</v>
      </c>
    </row>
    <row r="290" spans="1:27" s="19" customFormat="1" ht="31.5" hidden="1" customHeight="1" x14ac:dyDescent="0.25">
      <c r="A290" s="32"/>
      <c r="B290" s="1"/>
      <c r="C290" s="8" t="s">
        <v>501</v>
      </c>
      <c r="D290" s="36">
        <f>D292</f>
        <v>0</v>
      </c>
      <c r="E290" s="36">
        <f t="shared" ref="E290:Y290" si="84">E292</f>
        <v>0</v>
      </c>
      <c r="F290" s="36">
        <f t="shared" si="84"/>
        <v>0</v>
      </c>
      <c r="G290" s="36">
        <f t="shared" si="84"/>
        <v>0</v>
      </c>
      <c r="H290" s="36">
        <f t="shared" si="84"/>
        <v>0</v>
      </c>
      <c r="I290" s="36">
        <f t="shared" si="84"/>
        <v>0</v>
      </c>
      <c r="J290" s="36">
        <f t="shared" si="84"/>
        <v>0</v>
      </c>
      <c r="K290" s="36">
        <f t="shared" si="84"/>
        <v>0</v>
      </c>
      <c r="L290" s="123" t="e">
        <f t="shared" si="75"/>
        <v>#DIV/0!</v>
      </c>
      <c r="M290" s="36">
        <f t="shared" si="84"/>
        <v>0</v>
      </c>
      <c r="N290" s="36">
        <f t="shared" si="84"/>
        <v>0</v>
      </c>
      <c r="O290" s="36">
        <f t="shared" si="84"/>
        <v>0</v>
      </c>
      <c r="P290" s="36">
        <f t="shared" si="84"/>
        <v>0</v>
      </c>
      <c r="Q290" s="36">
        <f t="shared" si="84"/>
        <v>0</v>
      </c>
      <c r="R290" s="36">
        <f t="shared" si="84"/>
        <v>0</v>
      </c>
      <c r="S290" s="36">
        <f t="shared" si="84"/>
        <v>0</v>
      </c>
      <c r="T290" s="36">
        <f t="shared" si="84"/>
        <v>0</v>
      </c>
      <c r="U290" s="36">
        <f t="shared" si="84"/>
        <v>0</v>
      </c>
      <c r="V290" s="36">
        <f t="shared" si="84"/>
        <v>0</v>
      </c>
      <c r="W290" s="36">
        <f t="shared" si="84"/>
        <v>0</v>
      </c>
      <c r="X290" s="36">
        <f t="shared" si="84"/>
        <v>0</v>
      </c>
      <c r="Y290" s="36">
        <f t="shared" si="84"/>
        <v>0</v>
      </c>
      <c r="Z290" s="120" t="e">
        <f t="shared" si="76"/>
        <v>#DIV/0!</v>
      </c>
      <c r="AA290" s="25">
        <f t="shared" si="77"/>
        <v>0</v>
      </c>
    </row>
    <row r="291" spans="1:27" s="19" customFormat="1" ht="47.25" hidden="1" customHeight="1" x14ac:dyDescent="0.25">
      <c r="A291" s="24">
        <v>9320</v>
      </c>
      <c r="B291" s="1" t="s">
        <v>44</v>
      </c>
      <c r="C291" s="4" t="s">
        <v>499</v>
      </c>
      <c r="D291" s="25">
        <f>'дод 2'!E148</f>
        <v>0</v>
      </c>
      <c r="E291" s="25">
        <f>'дод 2'!F148</f>
        <v>0</v>
      </c>
      <c r="F291" s="25">
        <f>'дод 2'!G148</f>
        <v>0</v>
      </c>
      <c r="G291" s="25">
        <f>'дод 2'!H148</f>
        <v>0</v>
      </c>
      <c r="H291" s="25">
        <f>'дод 2'!I148</f>
        <v>0</v>
      </c>
      <c r="I291" s="25">
        <f>'дод 2'!J148</f>
        <v>0</v>
      </c>
      <c r="J291" s="25">
        <f>'дод 2'!K148</f>
        <v>0</v>
      </c>
      <c r="K291" s="25">
        <f>'дод 2'!L148</f>
        <v>0</v>
      </c>
      <c r="L291" s="123" t="e">
        <f t="shared" si="75"/>
        <v>#DIV/0!</v>
      </c>
      <c r="M291" s="25">
        <f>'дод 2'!N148</f>
        <v>0</v>
      </c>
      <c r="N291" s="25">
        <f>'дод 2'!O148</f>
        <v>0</v>
      </c>
      <c r="O291" s="25">
        <f>'дод 2'!P148</f>
        <v>0</v>
      </c>
      <c r="P291" s="25">
        <f>'дод 2'!Q148</f>
        <v>0</v>
      </c>
      <c r="Q291" s="25">
        <f>'дод 2'!R148</f>
        <v>0</v>
      </c>
      <c r="R291" s="25">
        <f>'дод 2'!S148</f>
        <v>0</v>
      </c>
      <c r="S291" s="25">
        <f>'дод 2'!T148</f>
        <v>0</v>
      </c>
      <c r="T291" s="25">
        <f>'дод 2'!U148</f>
        <v>0</v>
      </c>
      <c r="U291" s="25">
        <f>'дод 2'!V148</f>
        <v>0</v>
      </c>
      <c r="V291" s="25">
        <f>'дод 2'!W148</f>
        <v>0</v>
      </c>
      <c r="W291" s="25">
        <f>'дод 2'!X148</f>
        <v>0</v>
      </c>
      <c r="X291" s="25">
        <f>'дод 2'!Y148</f>
        <v>0</v>
      </c>
      <c r="Y291" s="25">
        <f>'дод 2'!Z148</f>
        <v>0</v>
      </c>
      <c r="Z291" s="120" t="e">
        <f t="shared" si="76"/>
        <v>#DIV/0!</v>
      </c>
      <c r="AA291" s="25">
        <f t="shared" si="77"/>
        <v>0</v>
      </c>
    </row>
    <row r="292" spans="1:27" s="37" customFormat="1" ht="31.5" hidden="1" customHeight="1" x14ac:dyDescent="0.25">
      <c r="A292" s="27"/>
      <c r="B292" s="41"/>
      <c r="C292" s="39" t="s">
        <v>501</v>
      </c>
      <c r="D292" s="30">
        <f>'дод 2'!E149</f>
        <v>0</v>
      </c>
      <c r="E292" s="30">
        <f>'дод 2'!F149</f>
        <v>0</v>
      </c>
      <c r="F292" s="30">
        <f>'дод 2'!G149</f>
        <v>0</v>
      </c>
      <c r="G292" s="30">
        <f>'дод 2'!H149</f>
        <v>0</v>
      </c>
      <c r="H292" s="30">
        <f>'дод 2'!I149</f>
        <v>0</v>
      </c>
      <c r="I292" s="30">
        <f>'дод 2'!J149</f>
        <v>0</v>
      </c>
      <c r="J292" s="30">
        <f>'дод 2'!K149</f>
        <v>0</v>
      </c>
      <c r="K292" s="30">
        <f>'дод 2'!L149</f>
        <v>0</v>
      </c>
      <c r="L292" s="123" t="e">
        <f t="shared" si="75"/>
        <v>#DIV/0!</v>
      </c>
      <c r="M292" s="30">
        <f>'дод 2'!N149</f>
        <v>0</v>
      </c>
      <c r="N292" s="30">
        <f>'дод 2'!O149</f>
        <v>0</v>
      </c>
      <c r="O292" s="30">
        <f>'дод 2'!P149</f>
        <v>0</v>
      </c>
      <c r="P292" s="30">
        <f>'дод 2'!Q149</f>
        <v>0</v>
      </c>
      <c r="Q292" s="30">
        <f>'дод 2'!R149</f>
        <v>0</v>
      </c>
      <c r="R292" s="30">
        <f>'дод 2'!S149</f>
        <v>0</v>
      </c>
      <c r="S292" s="30">
        <f>'дод 2'!T149</f>
        <v>0</v>
      </c>
      <c r="T292" s="30">
        <f>'дод 2'!U149</f>
        <v>0</v>
      </c>
      <c r="U292" s="30">
        <f>'дод 2'!V149</f>
        <v>0</v>
      </c>
      <c r="V292" s="30">
        <f>'дод 2'!W149</f>
        <v>0</v>
      </c>
      <c r="W292" s="30">
        <f>'дод 2'!X149</f>
        <v>0</v>
      </c>
      <c r="X292" s="30">
        <f>'дод 2'!Y149</f>
        <v>0</v>
      </c>
      <c r="Y292" s="30">
        <f>'дод 2'!Z149</f>
        <v>0</v>
      </c>
      <c r="Z292" s="120" t="e">
        <f t="shared" si="76"/>
        <v>#DIV/0!</v>
      </c>
      <c r="AA292" s="25">
        <f t="shared" si="77"/>
        <v>0</v>
      </c>
    </row>
    <row r="293" spans="1:27" s="19" customFormat="1" ht="46.15" customHeight="1" x14ac:dyDescent="0.25">
      <c r="A293" s="32" t="s">
        <v>13</v>
      </c>
      <c r="B293" s="61"/>
      <c r="C293" s="50" t="s">
        <v>341</v>
      </c>
      <c r="D293" s="23">
        <f>D294+D295+D296</f>
        <v>4226800</v>
      </c>
      <c r="E293" s="23">
        <f t="shared" ref="E293:Y293" si="85">E294+E295+E296</f>
        <v>4226800</v>
      </c>
      <c r="F293" s="23">
        <f t="shared" si="85"/>
        <v>0</v>
      </c>
      <c r="G293" s="23">
        <f t="shared" si="85"/>
        <v>0</v>
      </c>
      <c r="H293" s="23">
        <f t="shared" si="85"/>
        <v>0</v>
      </c>
      <c r="I293" s="23">
        <f t="shared" si="85"/>
        <v>200000</v>
      </c>
      <c r="J293" s="23">
        <f t="shared" si="85"/>
        <v>0</v>
      </c>
      <c r="K293" s="23">
        <f t="shared" si="85"/>
        <v>0</v>
      </c>
      <c r="L293" s="123">
        <f t="shared" si="75"/>
        <v>4.731711933377496</v>
      </c>
      <c r="M293" s="23">
        <f t="shared" si="85"/>
        <v>13873200</v>
      </c>
      <c r="N293" s="23">
        <f t="shared" si="85"/>
        <v>13873200</v>
      </c>
      <c r="O293" s="23">
        <f t="shared" si="85"/>
        <v>0</v>
      </c>
      <c r="P293" s="23">
        <f t="shared" si="85"/>
        <v>0</v>
      </c>
      <c r="Q293" s="23">
        <f t="shared" si="85"/>
        <v>0</v>
      </c>
      <c r="R293" s="23">
        <f t="shared" si="85"/>
        <v>13873200</v>
      </c>
      <c r="S293" s="23">
        <f t="shared" si="85"/>
        <v>18100000</v>
      </c>
      <c r="T293" s="23">
        <f t="shared" si="85"/>
        <v>2900000</v>
      </c>
      <c r="U293" s="23">
        <f t="shared" si="85"/>
        <v>2900000</v>
      </c>
      <c r="V293" s="23">
        <f t="shared" si="85"/>
        <v>0</v>
      </c>
      <c r="W293" s="23">
        <f t="shared" si="85"/>
        <v>0</v>
      </c>
      <c r="X293" s="23">
        <f t="shared" si="85"/>
        <v>0</v>
      </c>
      <c r="Y293" s="23">
        <f t="shared" si="85"/>
        <v>2900000</v>
      </c>
      <c r="Z293" s="123">
        <f t="shared" si="76"/>
        <v>20.903612720929562</v>
      </c>
      <c r="AA293" s="23">
        <f t="shared" si="77"/>
        <v>3100000</v>
      </c>
    </row>
    <row r="294" spans="1:27" s="19" customFormat="1" ht="79.5" hidden="1" customHeight="1" x14ac:dyDescent="0.25">
      <c r="A294" s="3">
        <v>9730</v>
      </c>
      <c r="B294" s="1" t="s">
        <v>44</v>
      </c>
      <c r="C294" s="38" t="s">
        <v>529</v>
      </c>
      <c r="D294" s="25">
        <f>'дод 2'!E321</f>
        <v>0</v>
      </c>
      <c r="E294" s="25">
        <f>'дод 2'!F321</f>
        <v>0</v>
      </c>
      <c r="F294" s="25">
        <f>'дод 2'!G321</f>
        <v>0</v>
      </c>
      <c r="G294" s="25">
        <f>'дод 2'!H321</f>
        <v>0</v>
      </c>
      <c r="H294" s="25">
        <f>'дод 2'!I321</f>
        <v>0</v>
      </c>
      <c r="I294" s="25">
        <f>'дод 2'!J321</f>
        <v>0</v>
      </c>
      <c r="J294" s="25">
        <f>'дод 2'!K321</f>
        <v>0</v>
      </c>
      <c r="K294" s="25">
        <f>'дод 2'!L321</f>
        <v>0</v>
      </c>
      <c r="L294" s="120" t="e">
        <f t="shared" si="75"/>
        <v>#DIV/0!</v>
      </c>
      <c r="M294" s="25">
        <f>'дод 2'!N321</f>
        <v>0</v>
      </c>
      <c r="N294" s="25">
        <f>'дод 2'!O321</f>
        <v>0</v>
      </c>
      <c r="O294" s="25">
        <f>'дод 2'!P321</f>
        <v>0</v>
      </c>
      <c r="P294" s="25">
        <f>'дод 2'!Q321</f>
        <v>0</v>
      </c>
      <c r="Q294" s="25">
        <f>'дод 2'!R321</f>
        <v>0</v>
      </c>
      <c r="R294" s="25">
        <f>'дод 2'!S321</f>
        <v>0</v>
      </c>
      <c r="S294" s="25">
        <f>'дод 2'!T321</f>
        <v>0</v>
      </c>
      <c r="T294" s="25">
        <f>'дод 2'!U321</f>
        <v>0</v>
      </c>
      <c r="U294" s="25">
        <f>'дод 2'!V321</f>
        <v>0</v>
      </c>
      <c r="V294" s="25">
        <f>'дод 2'!W321</f>
        <v>0</v>
      </c>
      <c r="W294" s="25">
        <f>'дод 2'!X321</f>
        <v>0</v>
      </c>
      <c r="X294" s="25">
        <f>'дод 2'!Y321</f>
        <v>0</v>
      </c>
      <c r="Y294" s="25">
        <f>'дод 2'!Z321</f>
        <v>0</v>
      </c>
      <c r="Z294" s="120" t="e">
        <f t="shared" si="76"/>
        <v>#DIV/0!</v>
      </c>
      <c r="AA294" s="25">
        <f t="shared" si="77"/>
        <v>0</v>
      </c>
    </row>
    <row r="295" spans="1:27" ht="31.5" hidden="1" customHeight="1" x14ac:dyDescent="0.25">
      <c r="A295" s="24">
        <v>9750</v>
      </c>
      <c r="B295" s="3" t="s">
        <v>44</v>
      </c>
      <c r="C295" s="38" t="s">
        <v>491</v>
      </c>
      <c r="D295" s="25">
        <f>'дод 2'!E322</f>
        <v>0</v>
      </c>
      <c r="E295" s="25">
        <f>'дод 2'!F322</f>
        <v>0</v>
      </c>
      <c r="F295" s="25">
        <f>'дод 2'!G322</f>
        <v>0</v>
      </c>
      <c r="G295" s="25">
        <f>'дод 2'!H322</f>
        <v>0</v>
      </c>
      <c r="H295" s="25">
        <f>'дод 2'!I322</f>
        <v>0</v>
      </c>
      <c r="I295" s="25">
        <f>'дод 2'!J322</f>
        <v>0</v>
      </c>
      <c r="J295" s="25">
        <f>'дод 2'!K322</f>
        <v>0</v>
      </c>
      <c r="K295" s="25">
        <f>'дод 2'!L322</f>
        <v>0</v>
      </c>
      <c r="L295" s="120" t="e">
        <f t="shared" si="75"/>
        <v>#DIV/0!</v>
      </c>
      <c r="M295" s="25">
        <f>'дод 2'!N322</f>
        <v>0</v>
      </c>
      <c r="N295" s="25">
        <f>'дод 2'!O322</f>
        <v>0</v>
      </c>
      <c r="O295" s="25">
        <f>'дод 2'!P322</f>
        <v>0</v>
      </c>
      <c r="P295" s="25">
        <f>'дод 2'!Q322</f>
        <v>0</v>
      </c>
      <c r="Q295" s="25">
        <f>'дод 2'!R322</f>
        <v>0</v>
      </c>
      <c r="R295" s="25">
        <f>'дод 2'!S322</f>
        <v>0</v>
      </c>
      <c r="S295" s="25">
        <f>'дод 2'!T322</f>
        <v>0</v>
      </c>
      <c r="T295" s="25">
        <f>'дод 2'!U322</f>
        <v>0</v>
      </c>
      <c r="U295" s="25">
        <f>'дод 2'!V322</f>
        <v>0</v>
      </c>
      <c r="V295" s="25">
        <f>'дод 2'!W322</f>
        <v>0</v>
      </c>
      <c r="W295" s="25">
        <f>'дод 2'!X322</f>
        <v>0</v>
      </c>
      <c r="X295" s="25">
        <f>'дод 2'!Y322</f>
        <v>0</v>
      </c>
      <c r="Y295" s="25">
        <f>'дод 2'!Z322</f>
        <v>0</v>
      </c>
      <c r="Z295" s="120" t="e">
        <f t="shared" si="76"/>
        <v>#DIV/0!</v>
      </c>
      <c r="AA295" s="25">
        <f t="shared" si="77"/>
        <v>0</v>
      </c>
    </row>
    <row r="296" spans="1:27" s="19" customFormat="1" ht="24" customHeight="1" x14ac:dyDescent="0.25">
      <c r="A296" s="24" t="s">
        <v>14</v>
      </c>
      <c r="B296" s="3" t="s">
        <v>44</v>
      </c>
      <c r="C296" s="4" t="s">
        <v>350</v>
      </c>
      <c r="D296" s="25">
        <f>'дод 2'!E150+'дод 2'!E191+'дод 2'!E240+'дод 2'!E323+'дод 2'!E64+'дод 2'!E66</f>
        <v>4226800</v>
      </c>
      <c r="E296" s="25">
        <f>'дод 2'!F150+'дод 2'!F191+'дод 2'!F240+'дод 2'!F323+'дод 2'!F64+'дод 2'!F66</f>
        <v>4226800</v>
      </c>
      <c r="F296" s="25">
        <f>'дод 2'!G150+'дод 2'!G191+'дод 2'!G240+'дод 2'!G323+'дод 2'!G64+'дод 2'!G66</f>
        <v>0</v>
      </c>
      <c r="G296" s="25">
        <f>'дод 2'!H150+'дод 2'!H191+'дод 2'!H240+'дод 2'!H323+'дод 2'!H64+'дод 2'!H66</f>
        <v>0</v>
      </c>
      <c r="H296" s="25">
        <f>'дод 2'!I150+'дод 2'!I191+'дод 2'!I240+'дод 2'!I323+'дод 2'!I64+'дод 2'!I66</f>
        <v>0</v>
      </c>
      <c r="I296" s="25">
        <f>'дод 2'!J150+'дод 2'!J191+'дод 2'!J240+'дод 2'!J323+'дод 2'!J64+'дод 2'!J66</f>
        <v>200000</v>
      </c>
      <c r="J296" s="25">
        <f>'дод 2'!K150+'дод 2'!K191+'дод 2'!K240+'дод 2'!K323+'дод 2'!K64+'дод 2'!K66</f>
        <v>0</v>
      </c>
      <c r="K296" s="25">
        <f>'дод 2'!L150+'дод 2'!L191+'дод 2'!L240+'дод 2'!L323+'дод 2'!L64+'дод 2'!L66</f>
        <v>0</v>
      </c>
      <c r="L296" s="120">
        <f t="shared" si="75"/>
        <v>4.731711933377496</v>
      </c>
      <c r="M296" s="25">
        <f>'дод 2'!N150+'дод 2'!N191+'дод 2'!N240+'дод 2'!N323+'дод 2'!N64+'дод 2'!N66</f>
        <v>13873200</v>
      </c>
      <c r="N296" s="25">
        <f>'дод 2'!O150+'дод 2'!O191+'дод 2'!O240+'дод 2'!O323+'дод 2'!O64+'дод 2'!O66</f>
        <v>13873200</v>
      </c>
      <c r="O296" s="25">
        <f>'дод 2'!P150+'дод 2'!P191+'дод 2'!P240+'дод 2'!P323+'дод 2'!P64+'дод 2'!P66</f>
        <v>0</v>
      </c>
      <c r="P296" s="25">
        <f>'дод 2'!Q150+'дод 2'!Q191+'дод 2'!Q240+'дод 2'!Q323+'дод 2'!Q64+'дод 2'!Q66</f>
        <v>0</v>
      </c>
      <c r="Q296" s="25">
        <f>'дод 2'!R150+'дод 2'!R191+'дод 2'!R240+'дод 2'!R323+'дод 2'!R64+'дод 2'!R66</f>
        <v>0</v>
      </c>
      <c r="R296" s="25">
        <f>'дод 2'!S150+'дод 2'!S191+'дод 2'!S240+'дод 2'!S323+'дод 2'!S64+'дод 2'!S66</f>
        <v>13873200</v>
      </c>
      <c r="S296" s="25">
        <f>'дод 2'!T150+'дод 2'!T191+'дод 2'!T240+'дод 2'!T323+'дод 2'!T64+'дод 2'!T66</f>
        <v>18100000</v>
      </c>
      <c r="T296" s="25">
        <f>'дод 2'!U150+'дод 2'!U191+'дод 2'!U240+'дод 2'!U323+'дод 2'!U64+'дод 2'!U66</f>
        <v>2900000</v>
      </c>
      <c r="U296" s="25">
        <f>'дод 2'!V150+'дод 2'!V191+'дод 2'!V240+'дод 2'!V323+'дод 2'!V64+'дод 2'!V66</f>
        <v>2900000</v>
      </c>
      <c r="V296" s="25">
        <f>'дод 2'!W150+'дод 2'!W191+'дод 2'!W240+'дод 2'!W323+'дод 2'!W64+'дод 2'!W66</f>
        <v>0</v>
      </c>
      <c r="W296" s="25">
        <f>'дод 2'!X150+'дод 2'!X191+'дод 2'!X240+'дод 2'!X323+'дод 2'!X64+'дод 2'!X66</f>
        <v>0</v>
      </c>
      <c r="X296" s="25">
        <f>'дод 2'!Y150+'дод 2'!Y191+'дод 2'!Y240+'дод 2'!Y323+'дод 2'!Y64+'дод 2'!Y66</f>
        <v>0</v>
      </c>
      <c r="Y296" s="25">
        <f>'дод 2'!Z150+'дод 2'!Z191+'дод 2'!Z240+'дод 2'!Z323+'дод 2'!Z64+'дод 2'!Z66</f>
        <v>2900000</v>
      </c>
      <c r="Z296" s="120">
        <f t="shared" si="76"/>
        <v>20.903612720929562</v>
      </c>
      <c r="AA296" s="25">
        <f t="shared" si="77"/>
        <v>3100000</v>
      </c>
    </row>
    <row r="297" spans="1:27" s="19" customFormat="1" ht="51" customHeight="1" x14ac:dyDescent="0.25">
      <c r="A297" s="32">
        <v>9800</v>
      </c>
      <c r="B297" s="33" t="s">
        <v>44</v>
      </c>
      <c r="C297" s="22" t="s">
        <v>361</v>
      </c>
      <c r="D297" s="23">
        <f>'дод 2'!E151+'дод 2'!E67+'дод 2'!E324</f>
        <v>8016900</v>
      </c>
      <c r="E297" s="23">
        <f>'дод 2'!F151+'дод 2'!F67+'дод 2'!F324</f>
        <v>8016900</v>
      </c>
      <c r="F297" s="23">
        <f>'дод 2'!G151+'дод 2'!G67+'дод 2'!G324</f>
        <v>0</v>
      </c>
      <c r="G297" s="23">
        <f>'дод 2'!H151+'дод 2'!H67+'дод 2'!H324</f>
        <v>0</v>
      </c>
      <c r="H297" s="23">
        <f>'дод 2'!I151+'дод 2'!I67+'дод 2'!I324</f>
        <v>0</v>
      </c>
      <c r="I297" s="23">
        <f>'дод 2'!J151+'дод 2'!J67+'дод 2'!J324</f>
        <v>7226900</v>
      </c>
      <c r="J297" s="23">
        <f>'дод 2'!K151+'дод 2'!K67+'дод 2'!K324</f>
        <v>0</v>
      </c>
      <c r="K297" s="23">
        <f>'дод 2'!L151+'дод 2'!L67+'дод 2'!L324</f>
        <v>0</v>
      </c>
      <c r="L297" s="123">
        <f t="shared" si="75"/>
        <v>90.145816961668473</v>
      </c>
      <c r="M297" s="23">
        <f>'дод 2'!N151+'дод 2'!N67+'дод 2'!N324</f>
        <v>42429850</v>
      </c>
      <c r="N297" s="23">
        <f>'дод 2'!O151+'дод 2'!O67+'дод 2'!O324</f>
        <v>42429850</v>
      </c>
      <c r="O297" s="23">
        <f>'дод 2'!P151+'дод 2'!P67+'дод 2'!P324</f>
        <v>0</v>
      </c>
      <c r="P297" s="23">
        <f>'дод 2'!Q151+'дод 2'!Q67+'дод 2'!Q324</f>
        <v>0</v>
      </c>
      <c r="Q297" s="23">
        <f>'дод 2'!R151+'дод 2'!R67+'дод 2'!R324</f>
        <v>0</v>
      </c>
      <c r="R297" s="23">
        <f>'дод 2'!S151+'дод 2'!S67+'дод 2'!S324</f>
        <v>42429850</v>
      </c>
      <c r="S297" s="23">
        <f>'дод 2'!T151+'дод 2'!T67+'дод 2'!T324</f>
        <v>50446750</v>
      </c>
      <c r="T297" s="23">
        <f>'дод 2'!U151+'дод 2'!U67+'дод 2'!U324</f>
        <v>40364158</v>
      </c>
      <c r="U297" s="23">
        <f>'дод 2'!V151+'дод 2'!V67+'дод 2'!V324</f>
        <v>40364158</v>
      </c>
      <c r="V297" s="23">
        <f>'дод 2'!W151+'дод 2'!W67+'дод 2'!W324</f>
        <v>0</v>
      </c>
      <c r="W297" s="23">
        <f>'дод 2'!X151+'дод 2'!X67+'дод 2'!X324</f>
        <v>0</v>
      </c>
      <c r="X297" s="23">
        <f>'дод 2'!Y151+'дод 2'!Y67+'дод 2'!Y324</f>
        <v>0</v>
      </c>
      <c r="Y297" s="23">
        <f>'дод 2'!Z151+'дод 2'!Z67+'дод 2'!Z324</f>
        <v>40364158</v>
      </c>
      <c r="Z297" s="123">
        <f t="shared" si="76"/>
        <v>95.131512366883214</v>
      </c>
      <c r="AA297" s="23">
        <f t="shared" si="77"/>
        <v>47591058</v>
      </c>
    </row>
    <row r="298" spans="1:27" s="19" customFormat="1" ht="21" customHeight="1" x14ac:dyDescent="0.25">
      <c r="A298" s="20"/>
      <c r="B298" s="20"/>
      <c r="C298" s="50" t="s">
        <v>396</v>
      </c>
      <c r="D298" s="23">
        <f t="shared" ref="D298" si="86">D16+D23+D92+D117+D162+D167+D176+D190+D262+D285</f>
        <v>3054256629.9400001</v>
      </c>
      <c r="E298" s="23">
        <f t="shared" ref="E298:Y298" si="87">E16+E23+E92+E117+E162+E167+E176+E190+E262+E285</f>
        <v>2868958443.2000003</v>
      </c>
      <c r="F298" s="23">
        <f t="shared" si="87"/>
        <v>1426478552</v>
      </c>
      <c r="G298" s="23">
        <f t="shared" si="87"/>
        <v>214932400</v>
      </c>
      <c r="H298" s="23">
        <f t="shared" si="87"/>
        <v>170185504.62</v>
      </c>
      <c r="I298" s="23">
        <f t="shared" si="87"/>
        <v>1461629109.1100004</v>
      </c>
      <c r="J298" s="23">
        <f t="shared" si="87"/>
        <v>714898540.74000001</v>
      </c>
      <c r="K298" s="23">
        <f t="shared" si="87"/>
        <v>98121111.829999983</v>
      </c>
      <c r="L298" s="123">
        <f t="shared" si="75"/>
        <v>47.855477983810211</v>
      </c>
      <c r="M298" s="23">
        <f t="shared" si="87"/>
        <v>872413583.00999999</v>
      </c>
      <c r="N298" s="23">
        <f t="shared" si="87"/>
        <v>681348799.64999998</v>
      </c>
      <c r="O298" s="23">
        <f t="shared" si="87"/>
        <v>114458049.34999999</v>
      </c>
      <c r="P298" s="23">
        <f t="shared" si="87"/>
        <v>10161379</v>
      </c>
      <c r="Q298" s="23">
        <f t="shared" ca="1" si="87"/>
        <v>3054256629.9400001</v>
      </c>
      <c r="R298" s="23">
        <f t="shared" si="87"/>
        <v>757955533.65999997</v>
      </c>
      <c r="S298" s="23">
        <f t="shared" si="87"/>
        <v>3926670212.9499998</v>
      </c>
      <c r="T298" s="23">
        <f t="shared" si="87"/>
        <v>251956235.72</v>
      </c>
      <c r="U298" s="23">
        <f t="shared" si="87"/>
        <v>174998530.68000001</v>
      </c>
      <c r="V298" s="23">
        <f t="shared" si="87"/>
        <v>52720287.300000012</v>
      </c>
      <c r="W298" s="23">
        <f t="shared" si="87"/>
        <v>8637942.4499999993</v>
      </c>
      <c r="X298" s="23">
        <f t="shared" si="87"/>
        <v>2556554.2299999995</v>
      </c>
      <c r="Y298" s="23">
        <f t="shared" si="87"/>
        <v>199235948.42000002</v>
      </c>
      <c r="Z298" s="123">
        <f t="shared" si="76"/>
        <v>28.880365990027457</v>
      </c>
      <c r="AA298" s="23">
        <f t="shared" si="77"/>
        <v>1713585344.8300004</v>
      </c>
    </row>
    <row r="299" spans="1:27" s="37" customFormat="1" ht="21" customHeight="1" x14ac:dyDescent="0.25">
      <c r="A299" s="62"/>
      <c r="B299" s="62"/>
      <c r="C299" s="8" t="s">
        <v>675</v>
      </c>
      <c r="D299" s="36">
        <f>D24+D25+D121+D26+D122+D35</f>
        <v>627072024.88999999</v>
      </c>
      <c r="E299" s="36">
        <f t="shared" ref="E299:Y299" si="88">E24+E25+E121+E26+E122+E35</f>
        <v>627072024.88999999</v>
      </c>
      <c r="F299" s="36">
        <f t="shared" si="88"/>
        <v>452674600</v>
      </c>
      <c r="G299" s="36">
        <f t="shared" si="88"/>
        <v>0</v>
      </c>
      <c r="H299" s="36">
        <f t="shared" si="88"/>
        <v>0</v>
      </c>
      <c r="I299" s="36">
        <f t="shared" si="88"/>
        <v>333454009.88999999</v>
      </c>
      <c r="J299" s="36">
        <f t="shared" si="88"/>
        <v>255465308.95000002</v>
      </c>
      <c r="K299" s="36">
        <f t="shared" si="88"/>
        <v>0</v>
      </c>
      <c r="L299" s="124">
        <f t="shared" si="75"/>
        <v>53.176349231732033</v>
      </c>
      <c r="M299" s="36">
        <f t="shared" si="88"/>
        <v>22767712</v>
      </c>
      <c r="N299" s="36">
        <f t="shared" si="88"/>
        <v>22767712</v>
      </c>
      <c r="O299" s="36">
        <f t="shared" si="88"/>
        <v>0</v>
      </c>
      <c r="P299" s="36">
        <f t="shared" si="88"/>
        <v>0</v>
      </c>
      <c r="Q299" s="36">
        <f t="shared" si="88"/>
        <v>0</v>
      </c>
      <c r="R299" s="36">
        <f t="shared" si="88"/>
        <v>22767712</v>
      </c>
      <c r="S299" s="36">
        <f t="shared" si="88"/>
        <v>649839736.88999999</v>
      </c>
      <c r="T299" s="36">
        <f t="shared" si="88"/>
        <v>4732732</v>
      </c>
      <c r="U299" s="36">
        <f t="shared" si="88"/>
        <v>4732732</v>
      </c>
      <c r="V299" s="36">
        <f t="shared" si="88"/>
        <v>0</v>
      </c>
      <c r="W299" s="36">
        <f t="shared" si="88"/>
        <v>0</v>
      </c>
      <c r="X299" s="36">
        <f t="shared" si="88"/>
        <v>0</v>
      </c>
      <c r="Y299" s="36">
        <f t="shared" si="88"/>
        <v>4732732</v>
      </c>
      <c r="Z299" s="124">
        <f t="shared" si="76"/>
        <v>20.787033848636174</v>
      </c>
      <c r="AA299" s="36">
        <f t="shared" si="77"/>
        <v>338186741.88999999</v>
      </c>
    </row>
    <row r="300" spans="1:27" s="37" customFormat="1" ht="42.75" customHeight="1" x14ac:dyDescent="0.25">
      <c r="A300" s="62"/>
      <c r="B300" s="62"/>
      <c r="C300" s="8" t="s">
        <v>676</v>
      </c>
      <c r="D300" s="36">
        <f t="shared" ref="D300" si="89">D27+D28+D195+D29+D31</f>
        <v>6365400.2400000002</v>
      </c>
      <c r="E300" s="36">
        <f t="shared" ref="E300:Y300" si="90">E27+E28+E195+E29+E31</f>
        <v>6365400.2400000002</v>
      </c>
      <c r="F300" s="36">
        <f t="shared" si="90"/>
        <v>3390984</v>
      </c>
      <c r="G300" s="36">
        <f t="shared" si="90"/>
        <v>0</v>
      </c>
      <c r="H300" s="36">
        <f t="shared" si="90"/>
        <v>0</v>
      </c>
      <c r="I300" s="36">
        <f t="shared" si="90"/>
        <v>3308356.49</v>
      </c>
      <c r="J300" s="36">
        <f t="shared" si="90"/>
        <v>2219328.04</v>
      </c>
      <c r="K300" s="36">
        <f t="shared" si="90"/>
        <v>0</v>
      </c>
      <c r="L300" s="124">
        <f t="shared" si="75"/>
        <v>51.974052930880589</v>
      </c>
      <c r="M300" s="36">
        <f t="shared" si="90"/>
        <v>74641056.659999996</v>
      </c>
      <c r="N300" s="36">
        <f t="shared" si="90"/>
        <v>0</v>
      </c>
      <c r="O300" s="36">
        <f t="shared" si="90"/>
        <v>262064</v>
      </c>
      <c r="P300" s="36">
        <f t="shared" si="90"/>
        <v>0</v>
      </c>
      <c r="Q300" s="36">
        <f t="shared" si="90"/>
        <v>0</v>
      </c>
      <c r="R300" s="36">
        <f t="shared" si="90"/>
        <v>74378992.659999996</v>
      </c>
      <c r="S300" s="36">
        <f t="shared" si="90"/>
        <v>81006456.899999991</v>
      </c>
      <c r="T300" s="36">
        <f t="shared" si="90"/>
        <v>11116585.039999999</v>
      </c>
      <c r="U300" s="36">
        <f t="shared" si="90"/>
        <v>0</v>
      </c>
      <c r="V300" s="36">
        <f t="shared" si="90"/>
        <v>0</v>
      </c>
      <c r="W300" s="36">
        <f t="shared" si="90"/>
        <v>0</v>
      </c>
      <c r="X300" s="36">
        <f t="shared" si="90"/>
        <v>0</v>
      </c>
      <c r="Y300" s="36">
        <f t="shared" si="90"/>
        <v>11116585.039999999</v>
      </c>
      <c r="Z300" s="124">
        <f t="shared" si="76"/>
        <v>14.89339183746759</v>
      </c>
      <c r="AA300" s="36">
        <f t="shared" si="77"/>
        <v>14424941.529999999</v>
      </c>
    </row>
    <row r="301" spans="1:27" s="37" customFormat="1" ht="24" customHeight="1" x14ac:dyDescent="0.25">
      <c r="A301" s="62"/>
      <c r="B301" s="62"/>
      <c r="C301" s="8" t="s">
        <v>677</v>
      </c>
      <c r="D301" s="36">
        <f t="shared" ref="D301" si="91">D120+D263+D34</f>
        <v>3533408.81</v>
      </c>
      <c r="E301" s="36">
        <f t="shared" ref="E301:Y301" si="92">E120+E263+E34</f>
        <v>3533408.81</v>
      </c>
      <c r="F301" s="36">
        <f t="shared" si="92"/>
        <v>336800</v>
      </c>
      <c r="G301" s="36">
        <f t="shared" si="92"/>
        <v>0</v>
      </c>
      <c r="H301" s="36">
        <f t="shared" si="92"/>
        <v>0</v>
      </c>
      <c r="I301" s="36">
        <f t="shared" si="92"/>
        <v>959167.97</v>
      </c>
      <c r="J301" s="36">
        <f t="shared" si="92"/>
        <v>178350</v>
      </c>
      <c r="K301" s="36">
        <f t="shared" si="92"/>
        <v>0</v>
      </c>
      <c r="L301" s="124">
        <f t="shared" si="75"/>
        <v>27.145683434235846</v>
      </c>
      <c r="M301" s="36">
        <f t="shared" si="92"/>
        <v>6564196</v>
      </c>
      <c r="N301" s="36">
        <f t="shared" si="92"/>
        <v>0</v>
      </c>
      <c r="O301" s="36">
        <f t="shared" si="92"/>
        <v>6564196</v>
      </c>
      <c r="P301" s="36">
        <f t="shared" si="92"/>
        <v>0</v>
      </c>
      <c r="Q301" s="36">
        <f t="shared" si="92"/>
        <v>0</v>
      </c>
      <c r="R301" s="36">
        <f t="shared" si="92"/>
        <v>0</v>
      </c>
      <c r="S301" s="36">
        <f t="shared" si="92"/>
        <v>10097604.810000001</v>
      </c>
      <c r="T301" s="36">
        <f t="shared" si="92"/>
        <v>762440.66</v>
      </c>
      <c r="U301" s="36">
        <f t="shared" si="92"/>
        <v>0</v>
      </c>
      <c r="V301" s="36">
        <f t="shared" si="92"/>
        <v>762440.66</v>
      </c>
      <c r="W301" s="36">
        <f t="shared" si="92"/>
        <v>0</v>
      </c>
      <c r="X301" s="36">
        <f t="shared" si="92"/>
        <v>0</v>
      </c>
      <c r="Y301" s="36">
        <f t="shared" si="92"/>
        <v>0</v>
      </c>
      <c r="Z301" s="124">
        <f t="shared" si="76"/>
        <v>11.615141595406353</v>
      </c>
      <c r="AA301" s="36">
        <f t="shared" si="77"/>
        <v>1721608.63</v>
      </c>
    </row>
    <row r="302" spans="1:27" s="37" customFormat="1" ht="23.25" customHeight="1" x14ac:dyDescent="0.25">
      <c r="A302" s="34"/>
      <c r="B302" s="34"/>
      <c r="C302" s="8" t="s">
        <v>407</v>
      </c>
      <c r="D302" s="36">
        <f t="shared" ref="D302" si="93">D196+D198</f>
        <v>0</v>
      </c>
      <c r="E302" s="36">
        <f t="shared" ref="E302:Y302" si="94">E196+E198</f>
        <v>0</v>
      </c>
      <c r="F302" s="36">
        <f t="shared" si="94"/>
        <v>0</v>
      </c>
      <c r="G302" s="36">
        <f t="shared" si="94"/>
        <v>0</v>
      </c>
      <c r="H302" s="36">
        <f t="shared" si="94"/>
        <v>0</v>
      </c>
      <c r="I302" s="36">
        <f t="shared" si="94"/>
        <v>0</v>
      </c>
      <c r="J302" s="36">
        <f t="shared" si="94"/>
        <v>0</v>
      </c>
      <c r="K302" s="36">
        <f t="shared" si="94"/>
        <v>0</v>
      </c>
      <c r="L302" s="124"/>
      <c r="M302" s="36">
        <f t="shared" si="94"/>
        <v>104076609</v>
      </c>
      <c r="N302" s="36">
        <f t="shared" si="94"/>
        <v>104076609</v>
      </c>
      <c r="O302" s="36">
        <f t="shared" si="94"/>
        <v>0</v>
      </c>
      <c r="P302" s="36">
        <f t="shared" si="94"/>
        <v>0</v>
      </c>
      <c r="Q302" s="36">
        <f t="shared" si="94"/>
        <v>0</v>
      </c>
      <c r="R302" s="36">
        <f t="shared" si="94"/>
        <v>104076609</v>
      </c>
      <c r="S302" s="36">
        <f t="shared" si="94"/>
        <v>104076609</v>
      </c>
      <c r="T302" s="36">
        <f t="shared" si="94"/>
        <v>0</v>
      </c>
      <c r="U302" s="36">
        <f t="shared" si="94"/>
        <v>0</v>
      </c>
      <c r="V302" s="36">
        <f t="shared" si="94"/>
        <v>0</v>
      </c>
      <c r="W302" s="36">
        <f t="shared" si="94"/>
        <v>0</v>
      </c>
      <c r="X302" s="36">
        <f t="shared" si="94"/>
        <v>0</v>
      </c>
      <c r="Y302" s="36">
        <f t="shared" si="94"/>
        <v>0</v>
      </c>
      <c r="Z302" s="124">
        <f t="shared" si="76"/>
        <v>0</v>
      </c>
      <c r="AA302" s="36">
        <f t="shared" si="77"/>
        <v>0</v>
      </c>
    </row>
    <row r="303" spans="1:27" s="37" customFormat="1" ht="23.25" customHeight="1" x14ac:dyDescent="0.25">
      <c r="A303" s="34"/>
      <c r="B303" s="34"/>
      <c r="C303" s="8" t="s">
        <v>621</v>
      </c>
      <c r="D303" s="36">
        <f>D197</f>
        <v>0</v>
      </c>
      <c r="E303" s="36">
        <f t="shared" ref="E303:Y303" si="95">E197</f>
        <v>0</v>
      </c>
      <c r="F303" s="36">
        <f t="shared" si="95"/>
        <v>0</v>
      </c>
      <c r="G303" s="36">
        <f t="shared" si="95"/>
        <v>0</v>
      </c>
      <c r="H303" s="36">
        <f t="shared" si="95"/>
        <v>0</v>
      </c>
      <c r="I303" s="36">
        <f t="shared" si="95"/>
        <v>0</v>
      </c>
      <c r="J303" s="36">
        <f t="shared" si="95"/>
        <v>0</v>
      </c>
      <c r="K303" s="36">
        <f t="shared" si="95"/>
        <v>0</v>
      </c>
      <c r="L303" s="124"/>
      <c r="M303" s="36">
        <f t="shared" si="95"/>
        <v>299189.34999999998</v>
      </c>
      <c r="N303" s="36">
        <f t="shared" si="95"/>
        <v>0</v>
      </c>
      <c r="O303" s="36">
        <f t="shared" si="95"/>
        <v>61189.35</v>
      </c>
      <c r="P303" s="36">
        <f t="shared" si="95"/>
        <v>0</v>
      </c>
      <c r="Q303" s="36">
        <f t="shared" si="95"/>
        <v>0</v>
      </c>
      <c r="R303" s="36">
        <f t="shared" si="95"/>
        <v>238000</v>
      </c>
      <c r="S303" s="36">
        <f t="shared" si="95"/>
        <v>299189.34999999998</v>
      </c>
      <c r="T303" s="36">
        <f t="shared" si="95"/>
        <v>0</v>
      </c>
      <c r="U303" s="36">
        <f t="shared" si="95"/>
        <v>0</v>
      </c>
      <c r="V303" s="36">
        <f t="shared" si="95"/>
        <v>0</v>
      </c>
      <c r="W303" s="36">
        <f t="shared" si="95"/>
        <v>0</v>
      </c>
      <c r="X303" s="36">
        <f t="shared" si="95"/>
        <v>0</v>
      </c>
      <c r="Y303" s="36">
        <f t="shared" si="95"/>
        <v>0</v>
      </c>
      <c r="Z303" s="124">
        <f t="shared" si="76"/>
        <v>0</v>
      </c>
      <c r="AA303" s="36">
        <f t="shared" si="77"/>
        <v>0</v>
      </c>
    </row>
    <row r="304" spans="1:27" s="37" customFormat="1" ht="94.5" customHeight="1" x14ac:dyDescent="0.25">
      <c r="A304" s="63"/>
      <c r="B304" s="63"/>
      <c r="C304" s="64"/>
      <c r="D304" s="65"/>
      <c r="E304" s="65"/>
      <c r="F304" s="65"/>
      <c r="G304" s="65"/>
      <c r="H304" s="65"/>
      <c r="I304" s="65"/>
      <c r="J304" s="65"/>
      <c r="K304" s="65"/>
      <c r="L304" s="121"/>
      <c r="M304" s="65"/>
      <c r="N304" s="65"/>
      <c r="O304" s="65"/>
      <c r="P304" s="65"/>
      <c r="Q304" s="65"/>
      <c r="R304" s="65"/>
      <c r="S304" s="65"/>
      <c r="Z304" s="126"/>
    </row>
    <row r="305" spans="1:28" s="37" customFormat="1" ht="66.75" customHeight="1" x14ac:dyDescent="0.25">
      <c r="A305" s="148" t="s">
        <v>726</v>
      </c>
      <c r="B305" s="148"/>
      <c r="C305" s="148"/>
      <c r="D305" s="148"/>
      <c r="E305" s="148"/>
      <c r="F305" s="148"/>
      <c r="G305" s="133"/>
      <c r="H305" s="133"/>
      <c r="I305" s="134"/>
      <c r="J305" s="133"/>
      <c r="K305" s="133"/>
      <c r="L305" s="133"/>
      <c r="M305" s="135"/>
      <c r="N305" s="133"/>
      <c r="O305" s="133"/>
      <c r="P305" s="133"/>
      <c r="Q305" s="133"/>
      <c r="R305" s="133"/>
      <c r="S305" s="133"/>
      <c r="T305" s="136"/>
      <c r="U305" s="136"/>
      <c r="V305" s="136"/>
      <c r="W305" s="136"/>
      <c r="X305" s="149" t="s">
        <v>727</v>
      </c>
      <c r="Y305" s="149"/>
      <c r="Z305" s="149"/>
      <c r="AA305" s="149"/>
      <c r="AB305" s="70"/>
    </row>
    <row r="306" spans="1:28" ht="63" customHeight="1" x14ac:dyDescent="0.25">
      <c r="A306" s="139"/>
      <c r="B306" s="139"/>
      <c r="C306" s="139"/>
      <c r="D306" s="139"/>
      <c r="E306" s="139"/>
      <c r="F306" s="139"/>
      <c r="G306" s="133"/>
      <c r="H306" s="133"/>
      <c r="I306" s="134"/>
      <c r="J306" s="133"/>
      <c r="K306" s="133"/>
      <c r="L306" s="133"/>
      <c r="M306" s="135"/>
      <c r="N306" s="133"/>
      <c r="O306" s="133"/>
      <c r="P306" s="133"/>
      <c r="Q306" s="133"/>
      <c r="R306" s="133"/>
      <c r="S306" s="133"/>
      <c r="T306" s="136"/>
      <c r="U306" s="136"/>
      <c r="V306" s="136"/>
      <c r="W306" s="136"/>
      <c r="X306" s="140"/>
      <c r="Y306" s="140"/>
      <c r="Z306" s="140"/>
      <c r="AA306" s="140"/>
      <c r="AB306" s="70"/>
    </row>
    <row r="307" spans="1:28" ht="69.75" customHeight="1" x14ac:dyDescent="0.25">
      <c r="A307" s="142" t="s">
        <v>728</v>
      </c>
      <c r="B307" s="131"/>
      <c r="C307" s="131"/>
      <c r="D307" s="132"/>
      <c r="E307" s="133"/>
      <c r="F307" s="134"/>
      <c r="G307" s="133"/>
      <c r="H307" s="133"/>
      <c r="I307" s="134"/>
      <c r="J307" s="133"/>
      <c r="K307" s="133"/>
      <c r="L307" s="133"/>
      <c r="M307" s="135"/>
      <c r="N307" s="133"/>
      <c r="O307" s="141"/>
      <c r="P307" s="133"/>
      <c r="Q307" s="133"/>
      <c r="R307" s="133"/>
      <c r="S307" s="133"/>
      <c r="T307" s="136"/>
      <c r="U307" s="136"/>
      <c r="V307" s="136"/>
      <c r="W307" s="136"/>
      <c r="X307" s="136"/>
      <c r="Y307" s="136"/>
      <c r="Z307" s="137"/>
      <c r="AA307" s="138"/>
      <c r="AB307" s="70"/>
    </row>
    <row r="308" spans="1:28" ht="26.25" x14ac:dyDescent="0.4">
      <c r="A308" s="173"/>
      <c r="B308" s="173"/>
      <c r="C308" s="173"/>
      <c r="D308" s="173"/>
      <c r="E308" s="12"/>
      <c r="F308" s="12"/>
      <c r="G308" s="12"/>
      <c r="H308" s="12"/>
      <c r="I308" s="12"/>
      <c r="J308" s="12"/>
      <c r="K308" s="12"/>
      <c r="L308" s="122"/>
      <c r="M308" s="12"/>
      <c r="N308" s="69"/>
      <c r="O308" s="69"/>
      <c r="P308" s="12"/>
      <c r="Q308" s="12"/>
      <c r="R308" s="12"/>
      <c r="S308" s="12"/>
    </row>
    <row r="310" spans="1:28" x14ac:dyDescent="0.25">
      <c r="D310" s="16">
        <f>D298-'дод 2'!E420</f>
        <v>0</v>
      </c>
      <c r="E310" s="16">
        <f>E298-'дод 2'!F420</f>
        <v>0</v>
      </c>
      <c r="F310" s="16">
        <f>F298-'дод 2'!G420</f>
        <v>0</v>
      </c>
      <c r="G310" s="16">
        <f>G298-'дод 2'!H420</f>
        <v>0</v>
      </c>
      <c r="H310" s="16">
        <f>H298-'дод 2'!I420</f>
        <v>0</v>
      </c>
      <c r="M310" s="16">
        <f>M298-'дод 2'!N420</f>
        <v>0</v>
      </c>
      <c r="N310" s="16">
        <f>N298-'дод 2'!O420</f>
        <v>0</v>
      </c>
      <c r="O310" s="16">
        <f>O298-'дод 2'!P420</f>
        <v>0</v>
      </c>
      <c r="P310" s="16">
        <f>P298-'дод 2'!Q420</f>
        <v>0</v>
      </c>
      <c r="Q310" s="16">
        <f ca="1">Q298-'дод 2'!R420</f>
        <v>0</v>
      </c>
      <c r="R310" s="16">
        <f>R298-'дод 2'!S420</f>
        <v>0</v>
      </c>
      <c r="S310" s="16">
        <f>S298-'дод 2'!T420</f>
        <v>0</v>
      </c>
    </row>
    <row r="311" spans="1:28" x14ac:dyDescent="0.25">
      <c r="D311" s="16">
        <f>D299-'дод 2'!E421</f>
        <v>0</v>
      </c>
      <c r="E311" s="16">
        <f>E299-'дод 2'!F421</f>
        <v>0</v>
      </c>
      <c r="F311" s="16">
        <f>F299-'дод 2'!G421</f>
        <v>0</v>
      </c>
      <c r="G311" s="16">
        <f>G299-'дод 2'!H421</f>
        <v>0</v>
      </c>
      <c r="H311" s="16">
        <f>H299-'дод 2'!I421</f>
        <v>0</v>
      </c>
      <c r="M311" s="16">
        <f>M299-'дод 2'!N421</f>
        <v>0</v>
      </c>
      <c r="N311" s="16">
        <f>N299-'дод 2'!O421</f>
        <v>0</v>
      </c>
      <c r="O311" s="16">
        <f>O299-'дод 2'!P421</f>
        <v>0</v>
      </c>
      <c r="P311" s="16">
        <f>P299-'дод 2'!Q421</f>
        <v>0</v>
      </c>
      <c r="Q311" s="16">
        <f>Q299-'дод 2'!R421</f>
        <v>0</v>
      </c>
      <c r="R311" s="16">
        <f>R299-'дод 2'!S421</f>
        <v>0</v>
      </c>
      <c r="S311" s="16">
        <f>S299-'дод 2'!T421</f>
        <v>0</v>
      </c>
    </row>
    <row r="312" spans="1:28" x14ac:dyDescent="0.25">
      <c r="D312" s="16">
        <f>D300-'дод 2'!E422</f>
        <v>0</v>
      </c>
      <c r="E312" s="16">
        <f>E300-'дод 2'!F422</f>
        <v>0</v>
      </c>
      <c r="F312" s="16">
        <f>F300-'дод 2'!G422</f>
        <v>0</v>
      </c>
      <c r="G312" s="16">
        <f>G300-'дод 2'!H422</f>
        <v>0</v>
      </c>
      <c r="H312" s="16">
        <f>H300-'дод 2'!I422</f>
        <v>0</v>
      </c>
      <c r="M312" s="16">
        <f>M300-'дод 2'!N422</f>
        <v>0</v>
      </c>
      <c r="N312" s="16">
        <f>N300-'дод 2'!O422</f>
        <v>0</v>
      </c>
      <c r="O312" s="16">
        <f>O300-'дод 2'!P422</f>
        <v>0</v>
      </c>
      <c r="P312" s="16">
        <f>P300-'дод 2'!Q422</f>
        <v>0</v>
      </c>
      <c r="Q312" s="16">
        <f>Q300-'дод 2'!R422</f>
        <v>0</v>
      </c>
      <c r="R312" s="16">
        <f>R300-'дод 2'!S422</f>
        <v>0</v>
      </c>
      <c r="S312" s="16">
        <f>S300-'дод 2'!T422</f>
        <v>0</v>
      </c>
    </row>
    <row r="313" spans="1:28" x14ac:dyDescent="0.25">
      <c r="D313" s="16">
        <f>D302-'дод 2'!E424</f>
        <v>0</v>
      </c>
      <c r="E313" s="16">
        <f>E302-'дод 2'!F424</f>
        <v>0</v>
      </c>
      <c r="F313" s="16">
        <f>F302-'дод 2'!G424</f>
        <v>0</v>
      </c>
      <c r="G313" s="16">
        <f>G302-'дод 2'!H424</f>
        <v>0</v>
      </c>
      <c r="H313" s="16">
        <f>H302-'дод 2'!I424</f>
        <v>0</v>
      </c>
      <c r="M313" s="16">
        <f>M302-'дод 2'!N424</f>
        <v>0</v>
      </c>
      <c r="N313" s="16">
        <f>N302-'дод 2'!O424</f>
        <v>0</v>
      </c>
      <c r="O313" s="16">
        <f>O302-'дод 2'!P424</f>
        <v>0</v>
      </c>
      <c r="P313" s="16">
        <f>P302-'дод 2'!Q424</f>
        <v>0</v>
      </c>
      <c r="Q313" s="16">
        <f>Q302-'дод 2'!R424</f>
        <v>0</v>
      </c>
      <c r="R313" s="16">
        <f>R302-'дод 2'!S424</f>
        <v>0</v>
      </c>
      <c r="S313" s="16">
        <f>S302-'дод 2'!T424</f>
        <v>0</v>
      </c>
    </row>
  </sheetData>
  <mergeCells count="37">
    <mergeCell ref="X305:AA305"/>
    <mergeCell ref="A308:D308"/>
    <mergeCell ref="F14:G14"/>
    <mergeCell ref="D13:H13"/>
    <mergeCell ref="O14:O15"/>
    <mergeCell ref="H14:H15"/>
    <mergeCell ref="M14:M15"/>
    <mergeCell ref="M13:R13"/>
    <mergeCell ref="N14:N15"/>
    <mergeCell ref="D14:D15"/>
    <mergeCell ref="P14:Q14"/>
    <mergeCell ref="E14:E15"/>
    <mergeCell ref="A305:F305"/>
    <mergeCell ref="S13:S15"/>
    <mergeCell ref="Z12:Z15"/>
    <mergeCell ref="AA12:AA15"/>
    <mergeCell ref="L12:L15"/>
    <mergeCell ref="I13:K13"/>
    <mergeCell ref="I14:I15"/>
    <mergeCell ref="Y14:Y15"/>
    <mergeCell ref="M12:Y12"/>
    <mergeCell ref="T1:W1"/>
    <mergeCell ref="A9:Z9"/>
    <mergeCell ref="A10:Z10"/>
    <mergeCell ref="A11:Z11"/>
    <mergeCell ref="J14:K14"/>
    <mergeCell ref="A12:A15"/>
    <mergeCell ref="B12:B15"/>
    <mergeCell ref="C12:C15"/>
    <mergeCell ref="T13:Y13"/>
    <mergeCell ref="T14:T15"/>
    <mergeCell ref="U14:U15"/>
    <mergeCell ref="V14:V15"/>
    <mergeCell ref="W14:X14"/>
    <mergeCell ref="N4:S4"/>
    <mergeCell ref="R14:R15"/>
    <mergeCell ref="D12:K12"/>
  </mergeCells>
  <phoneticPr fontId="3" type="noConversion"/>
  <printOptions horizontalCentered="1"/>
  <pageMargins left="0" right="0" top="0.78740157480314965" bottom="0.31496062992125984" header="0.43307086614173229" footer="0.15748031496062992"/>
  <pageSetup paperSize="9" scale="30" fitToHeight="10000" orientation="landscape" verticalDpi="300" r:id="rId1"/>
  <headerFooter scaleWithDoc="0" alignWithMargins="0">
    <oddFooter>&amp;R&amp;6Сторінка &amp;P</oddFooter>
  </headerFooter>
  <rowBreaks count="3" manualBreakCount="3">
    <brk id="168" max="26" man="1"/>
    <brk id="205" max="26" man="1"/>
    <brk id="25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Єрмолова Надія Олександрівна</cp:lastModifiedBy>
  <cp:lastPrinted>2024-10-31T09:21:11Z</cp:lastPrinted>
  <dcterms:created xsi:type="dcterms:W3CDTF">2014-01-17T10:52:16Z</dcterms:created>
  <dcterms:modified xsi:type="dcterms:W3CDTF">2024-10-31T09:26:52Z</dcterms:modified>
</cp:coreProperties>
</file>