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776" windowHeight="12276"/>
  </bookViews>
  <sheets>
    <sheet name="Хід1" sheetId="3" r:id="rId1"/>
    <sheet name="Хід2" sheetId="4" r:id="rId2"/>
  </sheets>
  <definedNames>
    <definedName name="_xlnm._FilterDatabase" localSheetId="0" hidden="1">Хід1!$A$13:$L$99</definedName>
    <definedName name="_xlnm.Print_Titles" localSheetId="0">Хід1!$11:$13</definedName>
    <definedName name="_xlnm.Print_Titles" localSheetId="1">Хід2!$15:$17</definedName>
    <definedName name="_xlnm.Print_Area" localSheetId="0">Хід1!$A$1:$L$103</definedName>
    <definedName name="_xlnm.Print_Area" localSheetId="1">Хід2!$A$2:$H$272</definedName>
  </definedNames>
  <calcPr calcId="152511"/>
</workbook>
</file>

<file path=xl/calcChain.xml><?xml version="1.0" encoding="utf-8"?>
<calcChain xmlns="http://schemas.openxmlformats.org/spreadsheetml/2006/main">
  <c r="F179" i="4" l="1"/>
  <c r="F178" i="4"/>
  <c r="F180" i="4"/>
  <c r="F85" i="3" l="1"/>
  <c r="F86" i="3"/>
  <c r="F15" i="3" s="1"/>
  <c r="G92" i="3"/>
  <c r="H50" i="3"/>
  <c r="H37" i="3"/>
  <c r="H45" i="3"/>
  <c r="H30" i="3" s="1"/>
  <c r="I88" i="3" l="1"/>
  <c r="K61" i="3"/>
  <c r="K54" i="3"/>
  <c r="H56" i="3" l="1"/>
  <c r="H31" i="3"/>
  <c r="H20" i="3" s="1"/>
  <c r="H23" i="3"/>
  <c r="K73" i="3" l="1"/>
  <c r="H73" i="3"/>
  <c r="H32" i="3" l="1"/>
  <c r="G206" i="4" l="1"/>
  <c r="G229" i="4"/>
  <c r="G24" i="4"/>
  <c r="G155" i="4"/>
  <c r="G153" i="4"/>
  <c r="F114" i="4" l="1"/>
  <c r="G114" i="4" s="1"/>
  <c r="E114" i="4"/>
  <c r="E23" i="3"/>
  <c r="K50" i="3"/>
  <c r="E50" i="3"/>
  <c r="G52" i="3"/>
  <c r="D52" i="3"/>
  <c r="G20" i="4" l="1"/>
  <c r="F21" i="4"/>
  <c r="F19" i="4"/>
  <c r="G18" i="4"/>
  <c r="F230" i="4"/>
  <c r="E230" i="4"/>
  <c r="F207" i="4"/>
  <c r="F156" i="4"/>
  <c r="F154" i="4"/>
  <c r="E154" i="4"/>
  <c r="F153" i="4"/>
  <c r="E153" i="4"/>
  <c r="E155" i="4"/>
  <c r="E252" i="4" l="1"/>
  <c r="E57" i="4"/>
  <c r="E37" i="4"/>
  <c r="E33" i="4"/>
  <c r="E28" i="4"/>
  <c r="G102" i="4" l="1"/>
  <c r="G104" i="4"/>
  <c r="G105" i="4"/>
  <c r="G106" i="4"/>
  <c r="G108" i="4"/>
  <c r="F234" i="4"/>
  <c r="F183" i="4"/>
  <c r="E183" i="4"/>
  <c r="E178" i="4"/>
  <c r="E180" i="4"/>
  <c r="E179" i="4"/>
  <c r="F151" i="4"/>
  <c r="E151" i="4"/>
  <c r="G86" i="4"/>
  <c r="G249" i="4"/>
  <c r="F247" i="4" l="1"/>
  <c r="F246" i="4"/>
  <c r="G178" i="4"/>
  <c r="G179" i="4"/>
  <c r="G180" i="4"/>
  <c r="G181" i="4"/>
  <c r="G183" i="4"/>
  <c r="G165" i="4"/>
  <c r="G163" i="4"/>
  <c r="F133" i="4"/>
  <c r="E133" i="4"/>
  <c r="F56" i="4"/>
  <c r="E56" i="4"/>
  <c r="F36" i="4"/>
  <c r="E36" i="4"/>
  <c r="G265" i="4"/>
  <c r="G266" i="4"/>
  <c r="G256" i="4"/>
  <c r="G258" i="4"/>
  <c r="G253" i="4"/>
  <c r="F251" i="4" l="1"/>
  <c r="G83" i="4" l="1"/>
  <c r="G84" i="4"/>
  <c r="G85" i="4"/>
  <c r="G87" i="4"/>
  <c r="G69" i="4"/>
  <c r="G70" i="4"/>
  <c r="G71" i="4"/>
  <c r="G72" i="4"/>
  <c r="G75" i="4"/>
  <c r="G65" i="4"/>
  <c r="G66" i="4"/>
  <c r="G67" i="4"/>
  <c r="G34" i="4"/>
  <c r="G35" i="4"/>
  <c r="G36" i="4"/>
  <c r="G29" i="4"/>
  <c r="G31" i="4"/>
  <c r="G42" i="4"/>
  <c r="G43" i="4"/>
  <c r="G44" i="4"/>
  <c r="G45" i="4"/>
  <c r="G50" i="4"/>
  <c r="G211" i="4" l="1"/>
  <c r="G212" i="4"/>
  <c r="G213" i="4"/>
  <c r="G214" i="4"/>
  <c r="G215" i="4"/>
  <c r="G216" i="4"/>
  <c r="G217" i="4"/>
  <c r="G218" i="4"/>
  <c r="G219" i="4"/>
  <c r="G220" i="4"/>
  <c r="G221" i="4"/>
  <c r="G222" i="4"/>
  <c r="G223" i="4"/>
  <c r="G148" i="4"/>
  <c r="G150" i="4"/>
  <c r="G151" i="4"/>
  <c r="G139" i="4"/>
  <c r="G140" i="4"/>
  <c r="G141" i="4"/>
  <c r="G142" i="4"/>
  <c r="G143" i="4"/>
  <c r="G146" i="4"/>
  <c r="G130" i="4"/>
  <c r="G132" i="4"/>
  <c r="G133" i="4"/>
  <c r="G116" i="4"/>
  <c r="G111" i="4"/>
  <c r="G113" i="4"/>
  <c r="G248" i="4"/>
  <c r="G123" i="4"/>
  <c r="G122" i="4"/>
  <c r="G120" i="4"/>
  <c r="G125" i="4"/>
  <c r="G126" i="4"/>
  <c r="G127" i="4"/>
  <c r="G56" i="4"/>
  <c r="G55" i="4"/>
  <c r="G202" i="4"/>
  <c r="G204" i="4"/>
  <c r="G96" i="4"/>
  <c r="F264" i="4" l="1"/>
  <c r="E264" i="4"/>
  <c r="E263" i="4"/>
  <c r="E262" i="4"/>
  <c r="E255" i="4"/>
  <c r="E247" i="4"/>
  <c r="E246" i="4"/>
  <c r="E245" i="4"/>
  <c r="E233" i="4"/>
  <c r="E227" i="4"/>
  <c r="E200" i="4"/>
  <c r="E188" i="4"/>
  <c r="E177" i="4"/>
  <c r="E182" i="4" s="1"/>
  <c r="E162" i="4"/>
  <c r="E147" i="4"/>
  <c r="E149" i="4" s="1"/>
  <c r="E145" i="4"/>
  <c r="G145" i="4" s="1"/>
  <c r="E144" i="4"/>
  <c r="G144" i="4" s="1"/>
  <c r="E138" i="4"/>
  <c r="E129" i="4"/>
  <c r="E131" i="4" s="1"/>
  <c r="E119" i="4"/>
  <c r="E115" i="4"/>
  <c r="E110" i="4"/>
  <c r="E82" i="4"/>
  <c r="E88" i="4" s="1"/>
  <c r="G74" i="4"/>
  <c r="G73" i="4"/>
  <c r="E64" i="4"/>
  <c r="E52" i="4"/>
  <c r="E68" i="4"/>
  <c r="G264" i="4" l="1"/>
  <c r="E235" i="4"/>
  <c r="E251" i="4"/>
  <c r="G251" i="4" s="1"/>
  <c r="G247" i="4"/>
  <c r="E250" i="4"/>
  <c r="G246" i="4"/>
  <c r="H61" i="3"/>
  <c r="F263" i="4" l="1"/>
  <c r="E267" i="4"/>
  <c r="F268" i="4"/>
  <c r="E268" i="4"/>
  <c r="G268" i="4" l="1"/>
  <c r="F267" i="4"/>
  <c r="G267" i="4" s="1"/>
  <c r="G263" i="4"/>
  <c r="F155" i="4" l="1"/>
  <c r="G90" i="4" l="1"/>
  <c r="F89" i="4"/>
  <c r="G89" i="4" s="1"/>
  <c r="F82" i="4"/>
  <c r="F88" i="4" s="1"/>
  <c r="G88" i="4" s="1"/>
  <c r="G82" i="4" l="1"/>
  <c r="F262" i="4"/>
  <c r="J92" i="3"/>
  <c r="F37" i="4"/>
  <c r="N105" i="3" l="1"/>
  <c r="K119" i="3"/>
  <c r="H119" i="3"/>
  <c r="P107" i="3" l="1"/>
  <c r="N107" i="3"/>
  <c r="P105" i="3"/>
  <c r="F110" i="4" l="1"/>
  <c r="F112" i="4" s="1"/>
  <c r="E112" i="4"/>
  <c r="G112" i="4" l="1"/>
  <c r="G110" i="4"/>
  <c r="F255" i="4"/>
  <c r="E257" i="4"/>
  <c r="F252" i="4"/>
  <c r="E254" i="4"/>
  <c r="F245" i="4"/>
  <c r="F257" i="4" l="1"/>
  <c r="G257" i="4" s="1"/>
  <c r="G255" i="4"/>
  <c r="F254" i="4"/>
  <c r="G254" i="4" s="1"/>
  <c r="G252" i="4"/>
  <c r="F250" i="4"/>
  <c r="G250" i="4" s="1"/>
  <c r="G245" i="4"/>
  <c r="F200" i="4" l="1"/>
  <c r="E203" i="4"/>
  <c r="F203" i="4" l="1"/>
  <c r="G203" i="4" s="1"/>
  <c r="G200" i="4"/>
  <c r="F119" i="4"/>
  <c r="F117" i="4"/>
  <c r="G117" i="4" s="1"/>
  <c r="F115" i="4"/>
  <c r="E118" i="4"/>
  <c r="G119" i="4" l="1"/>
  <c r="G115" i="4"/>
  <c r="F118" i="4"/>
  <c r="G118" i="4" s="1"/>
  <c r="F103" i="4"/>
  <c r="E103" i="4"/>
  <c r="E109" i="4" s="1"/>
  <c r="F101" i="4"/>
  <c r="E101" i="4"/>
  <c r="E107" i="4" s="1"/>
  <c r="F107" i="4" l="1"/>
  <c r="G107" i="4" s="1"/>
  <c r="G101" i="4"/>
  <c r="F109" i="4"/>
  <c r="G109" i="4" s="1"/>
  <c r="G103" i="4"/>
  <c r="E94" i="4"/>
  <c r="E98" i="4" s="1"/>
  <c r="F94" i="4"/>
  <c r="F93" i="4"/>
  <c r="E93" i="4"/>
  <c r="F95" i="4"/>
  <c r="G95" i="4" s="1"/>
  <c r="G93" i="4" l="1"/>
  <c r="F98" i="4"/>
  <c r="G98" i="4" s="1"/>
  <c r="G94" i="4"/>
  <c r="F97" i="4"/>
  <c r="E97" i="4"/>
  <c r="G97" i="4" l="1"/>
  <c r="F68" i="4"/>
  <c r="G68" i="4" s="1"/>
  <c r="E59" i="4"/>
  <c r="F57" i="4"/>
  <c r="G57" i="4" l="1"/>
  <c r="F52" i="4"/>
  <c r="E54" i="4"/>
  <c r="G52" i="4" l="1"/>
  <c r="F54" i="4"/>
  <c r="G54" i="4" s="1"/>
  <c r="L114" i="3" l="1"/>
  <c r="K106" i="3"/>
  <c r="L105" i="3"/>
  <c r="I114" i="3" l="1"/>
  <c r="L107" i="3"/>
  <c r="L108" i="3"/>
  <c r="I108" i="3"/>
  <c r="L113" i="3"/>
  <c r="I113" i="3"/>
  <c r="K112" i="3"/>
  <c r="Q112" i="3" s="1"/>
  <c r="H112" i="3"/>
  <c r="O112" i="3" s="1"/>
  <c r="L111" i="3"/>
  <c r="K111" i="3"/>
  <c r="Q111" i="3" s="1"/>
  <c r="I111" i="3"/>
  <c r="H111" i="3"/>
  <c r="O111" i="3" s="1"/>
  <c r="L110" i="3"/>
  <c r="K110" i="3"/>
  <c r="Q110" i="3" s="1"/>
  <c r="I110" i="3"/>
  <c r="H110" i="3"/>
  <c r="O110" i="3" s="1"/>
  <c r="L109" i="3"/>
  <c r="I109" i="3"/>
  <c r="G81" i="3"/>
  <c r="K109" i="3"/>
  <c r="Q109" i="3" s="1"/>
  <c r="H109" i="3"/>
  <c r="O109" i="3" s="1"/>
  <c r="K107" i="3"/>
  <c r="Q107" i="3" s="1"/>
  <c r="H107" i="3"/>
  <c r="O107" i="3" s="1"/>
  <c r="H106" i="3"/>
  <c r="H105" i="3"/>
  <c r="O105" i="3" s="1"/>
  <c r="L116" i="3" l="1"/>
  <c r="H116" i="3"/>
  <c r="H120" i="3" s="1"/>
  <c r="I91" i="3"/>
  <c r="F233" i="4"/>
  <c r="G234" i="4"/>
  <c r="F64" i="4"/>
  <c r="F162" i="4"/>
  <c r="F188" i="4"/>
  <c r="E190" i="4"/>
  <c r="F177" i="4"/>
  <c r="F33" i="4"/>
  <c r="F235" i="4" l="1"/>
  <c r="G235" i="4" s="1"/>
  <c r="F231" i="4"/>
  <c r="F182" i="4"/>
  <c r="G177" i="4"/>
  <c r="E157" i="4"/>
  <c r="G188" i="4"/>
  <c r="F164" i="4"/>
  <c r="F157" i="4"/>
  <c r="G64" i="4"/>
  <c r="G88" i="3"/>
  <c r="I107" i="3"/>
  <c r="G33" i="4"/>
  <c r="G162" i="4"/>
  <c r="F190" i="4"/>
  <c r="E164" i="4"/>
  <c r="F41" i="4"/>
  <c r="F49" i="4" s="1"/>
  <c r="E41" i="4"/>
  <c r="E49" i="4" s="1"/>
  <c r="F40" i="4"/>
  <c r="F48" i="4" s="1"/>
  <c r="E40" i="4"/>
  <c r="E48" i="4" s="1"/>
  <c r="F39" i="4"/>
  <c r="F47" i="4" s="1"/>
  <c r="E39" i="4"/>
  <c r="F38" i="4"/>
  <c r="E38" i="4"/>
  <c r="E46" i="4" s="1"/>
  <c r="F227" i="4"/>
  <c r="G48" i="4" l="1"/>
  <c r="G49" i="4"/>
  <c r="G164" i="4"/>
  <c r="G182" i="4"/>
  <c r="G233" i="4"/>
  <c r="G227" i="4"/>
  <c r="G39" i="4"/>
  <c r="G38" i="4"/>
  <c r="G40" i="4"/>
  <c r="G41" i="4"/>
  <c r="E47" i="4"/>
  <c r="G47" i="4" s="1"/>
  <c r="G37" i="4"/>
  <c r="F46" i="4"/>
  <c r="G46" i="4" s="1"/>
  <c r="E231" i="4" l="1"/>
  <c r="F28" i="4"/>
  <c r="F32" i="4" s="1"/>
  <c r="G32" i="4" s="1"/>
  <c r="F147" i="4"/>
  <c r="F149" i="4" s="1"/>
  <c r="G149" i="4" s="1"/>
  <c r="F138" i="4"/>
  <c r="F129" i="4"/>
  <c r="F131" i="4" s="1"/>
  <c r="G131" i="4" s="1"/>
  <c r="F30" i="4" l="1"/>
  <c r="E30" i="4"/>
  <c r="G262" i="4"/>
  <c r="G129" i="4"/>
  <c r="G138" i="4"/>
  <c r="G147" i="4"/>
  <c r="G28" i="4"/>
  <c r="L86" i="3"/>
  <c r="G97" i="3"/>
  <c r="G98" i="3"/>
  <c r="G99" i="3"/>
  <c r="G93" i="3"/>
  <c r="G30" i="4" l="1"/>
  <c r="G91" i="3"/>
  <c r="I96" i="3"/>
  <c r="G96" i="3" s="1"/>
  <c r="I94" i="3"/>
  <c r="I86" i="3" l="1"/>
  <c r="I105" i="3"/>
  <c r="I116" i="3" s="1"/>
  <c r="G94" i="3"/>
  <c r="G86" i="3" s="1"/>
  <c r="G89" i="3" l="1"/>
  <c r="G85" i="3" s="1"/>
  <c r="L85" i="3" l="1"/>
  <c r="I85" i="3"/>
  <c r="L78" i="3"/>
  <c r="L15" i="3" s="1"/>
  <c r="K78" i="3"/>
  <c r="F78" i="3"/>
  <c r="I78" i="3"/>
  <c r="I15" i="3" s="1"/>
  <c r="H78" i="3"/>
  <c r="E78" i="3"/>
  <c r="L79" i="3"/>
  <c r="L17" i="3" s="1"/>
  <c r="I79" i="3"/>
  <c r="I17" i="3" s="1"/>
  <c r="F79" i="3"/>
  <c r="F80" i="3"/>
  <c r="H80" i="3"/>
  <c r="I80" i="3"/>
  <c r="K80" i="3"/>
  <c r="L80" i="3"/>
  <c r="E80" i="3"/>
  <c r="H65" i="3"/>
  <c r="K67" i="3"/>
  <c r="J67" i="3" s="1"/>
  <c r="H67" i="3"/>
  <c r="G67" i="3" s="1"/>
  <c r="E67" i="3"/>
  <c r="D67" i="3" s="1"/>
  <c r="O20" i="3"/>
  <c r="Q20" i="3"/>
  <c r="R20" i="3"/>
  <c r="K23" i="3"/>
  <c r="J23" i="3" s="1"/>
  <c r="K21" i="3"/>
  <c r="K16" i="3" s="1"/>
  <c r="E21" i="3"/>
  <c r="E16" i="3" s="1"/>
  <c r="H21" i="3"/>
  <c r="H16" i="3" s="1"/>
  <c r="E56" i="3"/>
  <c r="D56" i="3" s="1"/>
  <c r="K56" i="3"/>
  <c r="J56" i="3" s="1"/>
  <c r="G56" i="3"/>
  <c r="K60" i="3"/>
  <c r="J60" i="3" s="1"/>
  <c r="H60" i="3"/>
  <c r="G60" i="3" s="1"/>
  <c r="E60" i="3"/>
  <c r="D60" i="3" s="1"/>
  <c r="K32" i="3"/>
  <c r="J32" i="3" s="1"/>
  <c r="E32" i="3"/>
  <c r="D32" i="3" s="1"/>
  <c r="G32" i="3"/>
  <c r="G31" i="3"/>
  <c r="G23" i="3"/>
  <c r="D57" i="3"/>
  <c r="G57" i="3"/>
  <c r="J57" i="3"/>
  <c r="H59" i="3"/>
  <c r="G59" i="3" s="1"/>
  <c r="H55" i="3"/>
  <c r="G55" i="3" s="1"/>
  <c r="G46" i="3"/>
  <c r="G49" i="3"/>
  <c r="G37" i="3"/>
  <c r="G33" i="3"/>
  <c r="G30" i="3"/>
  <c r="G27" i="3"/>
  <c r="H22" i="3"/>
  <c r="G22" i="3" s="1"/>
  <c r="G24" i="3"/>
  <c r="H64" i="3" l="1"/>
  <c r="G64" i="3" s="1"/>
  <c r="H15" i="3"/>
  <c r="G20" i="3"/>
  <c r="G15" i="3" s="1"/>
  <c r="I77" i="3"/>
  <c r="G65" i="3"/>
  <c r="G79" i="3"/>
  <c r="G17" i="3" s="1"/>
  <c r="G78" i="3"/>
  <c r="F77" i="3"/>
  <c r="G21" i="3"/>
  <c r="G16" i="3" s="1"/>
  <c r="D23" i="3"/>
  <c r="F17" i="3"/>
  <c r="D79" i="3"/>
  <c r="D17" i="3" s="1"/>
  <c r="L14" i="3"/>
  <c r="J79" i="3"/>
  <c r="J17" i="3" s="1"/>
  <c r="D78" i="3"/>
  <c r="E77" i="3"/>
  <c r="D77" i="3" s="1"/>
  <c r="I14" i="3"/>
  <c r="J78" i="3"/>
  <c r="L77" i="3"/>
  <c r="H77" i="3"/>
  <c r="G77" i="3" s="1"/>
  <c r="F14" i="3"/>
  <c r="K77" i="3"/>
  <c r="G83" i="3"/>
  <c r="G75" i="3"/>
  <c r="G62" i="3"/>
  <c r="G61" i="3"/>
  <c r="G14" i="3" l="1"/>
  <c r="G19" i="3"/>
  <c r="J77" i="3"/>
  <c r="G80" i="3"/>
  <c r="H14" i="3"/>
  <c r="H19" i="3"/>
  <c r="G53" i="3"/>
  <c r="G50" i="3"/>
  <c r="G51" i="3"/>
  <c r="G45" i="3"/>
  <c r="G54" i="3"/>
  <c r="G43" i="3"/>
  <c r="G44" i="3"/>
  <c r="G42" i="3"/>
  <c r="G41" i="3" l="1"/>
  <c r="G36" i="3" l="1"/>
  <c r="G34" i="3"/>
  <c r="J34" i="3"/>
  <c r="G73" i="3" l="1"/>
  <c r="G69" i="3"/>
  <c r="G71" i="3"/>
  <c r="G25" i="3"/>
  <c r="G40" i="3"/>
  <c r="G28" i="3"/>
  <c r="G29" i="3"/>
  <c r="G26" i="3"/>
  <c r="J99" i="3"/>
  <c r="J98" i="3"/>
  <c r="J97" i="3"/>
  <c r="J96" i="3"/>
  <c r="J94" i="3"/>
  <c r="J93" i="3"/>
  <c r="J91" i="3"/>
  <c r="J89" i="3"/>
  <c r="J88" i="3"/>
  <c r="P20" i="3" l="1"/>
  <c r="J86" i="3"/>
  <c r="J85" i="3" s="1"/>
  <c r="K66" i="3"/>
  <c r="J66" i="3" s="1"/>
  <c r="E66" i="3"/>
  <c r="D66" i="3" s="1"/>
  <c r="K22" i="3"/>
  <c r="E22" i="3"/>
  <c r="K64" i="3"/>
  <c r="J64" i="3" s="1"/>
  <c r="J83" i="3"/>
  <c r="J81" i="3"/>
  <c r="J75" i="3"/>
  <c r="K65" i="3"/>
  <c r="J73" i="3"/>
  <c r="J71" i="3"/>
  <c r="J69" i="3"/>
  <c r="E65" i="3"/>
  <c r="D65" i="3" s="1"/>
  <c r="E59" i="3"/>
  <c r="D59" i="3" s="1"/>
  <c r="K59" i="3"/>
  <c r="J59" i="3" s="1"/>
  <c r="D21" i="3"/>
  <c r="D16" i="3" s="1"/>
  <c r="J21" i="3"/>
  <c r="J16" i="3" s="1"/>
  <c r="J62" i="3"/>
  <c r="J61" i="3"/>
  <c r="J80" i="3" l="1"/>
  <c r="F210" i="4"/>
  <c r="J65" i="3"/>
  <c r="E64" i="3"/>
  <c r="D64" i="3" s="1"/>
  <c r="F208" i="4" l="1"/>
  <c r="K55" i="3"/>
  <c r="J55" i="3" s="1"/>
  <c r="J33" i="3"/>
  <c r="J54" i="3"/>
  <c r="J53" i="3"/>
  <c r="J50" i="3"/>
  <c r="J51" i="3"/>
  <c r="J49" i="3"/>
  <c r="K45" i="3"/>
  <c r="K30" i="3" s="1"/>
  <c r="J46" i="3"/>
  <c r="K42" i="3"/>
  <c r="K31" i="3" s="1"/>
  <c r="J44" i="3"/>
  <c r="J43" i="3"/>
  <c r="J41" i="3"/>
  <c r="J40" i="3"/>
  <c r="J37" i="3"/>
  <c r="J36" i="3"/>
  <c r="J28" i="3"/>
  <c r="J29" i="3"/>
  <c r="J27" i="3"/>
  <c r="J25" i="3"/>
  <c r="J26" i="3"/>
  <c r="J24" i="3"/>
  <c r="J30" i="3" l="1"/>
  <c r="F91" i="4"/>
  <c r="K105" i="3"/>
  <c r="T20" i="3"/>
  <c r="J45" i="3"/>
  <c r="F99" i="4"/>
  <c r="F26" i="4" s="1"/>
  <c r="F25" i="4" s="1"/>
  <c r="J22" i="3"/>
  <c r="J42" i="3"/>
  <c r="D97" i="3"/>
  <c r="D98" i="3"/>
  <c r="D99" i="3"/>
  <c r="D96" i="3"/>
  <c r="D93" i="3"/>
  <c r="D92" i="3"/>
  <c r="D91" i="3"/>
  <c r="D94" i="3"/>
  <c r="D89" i="3"/>
  <c r="D88" i="3"/>
  <c r="D83" i="3"/>
  <c r="D81" i="3"/>
  <c r="E210" i="4" s="1"/>
  <c r="D75" i="3"/>
  <c r="D73" i="3"/>
  <c r="D71" i="3"/>
  <c r="D69" i="3"/>
  <c r="D62" i="3"/>
  <c r="D86" i="3" l="1"/>
  <c r="D85" i="3" s="1"/>
  <c r="E208" i="4"/>
  <c r="G210" i="4"/>
  <c r="S20" i="3"/>
  <c r="D80" i="3"/>
  <c r="K116" i="3"/>
  <c r="K120" i="3" s="1"/>
  <c r="Q105" i="3"/>
  <c r="J31" i="3"/>
  <c r="J20" i="3" s="1"/>
  <c r="K20" i="3"/>
  <c r="D61" i="3"/>
  <c r="E55" i="3"/>
  <c r="D55" i="3"/>
  <c r="D54" i="3"/>
  <c r="D53" i="3"/>
  <c r="D50" i="3"/>
  <c r="D51" i="3"/>
  <c r="F22" i="4" l="1"/>
  <c r="K19" i="3"/>
  <c r="K15" i="3"/>
  <c r="K14" i="3" s="1"/>
  <c r="J19" i="3"/>
  <c r="J15" i="3"/>
  <c r="J14" i="3" s="1"/>
  <c r="D49" i="3"/>
  <c r="D46" i="3"/>
  <c r="E45" i="3"/>
  <c r="E42" i="3"/>
  <c r="D43" i="3"/>
  <c r="D44" i="3"/>
  <c r="D41" i="3"/>
  <c r="D40" i="3"/>
  <c r="D37" i="3"/>
  <c r="D36" i="3"/>
  <c r="D34" i="3"/>
  <c r="D35" i="3"/>
  <c r="D33" i="3"/>
  <c r="D29" i="3"/>
  <c r="D28" i="3"/>
  <c r="D27" i="3"/>
  <c r="D26" i="3"/>
  <c r="D25" i="3"/>
  <c r="D24" i="3"/>
  <c r="E30" i="3" l="1"/>
  <c r="E31" i="3"/>
  <c r="E91" i="4"/>
  <c r="G91" i="4" s="1"/>
  <c r="E20" i="3"/>
  <c r="E19" i="3" s="1"/>
  <c r="D45" i="3"/>
  <c r="E99" i="4"/>
  <c r="D30" i="3"/>
  <c r="N20" i="3"/>
  <c r="D22" i="3"/>
  <c r="D42" i="3"/>
  <c r="G99" i="4" l="1"/>
  <c r="E26" i="4"/>
  <c r="M20" i="3"/>
  <c r="D31" i="3"/>
  <c r="D20" i="3" s="1"/>
  <c r="E22" i="4" l="1"/>
  <c r="E25" i="4"/>
  <c r="D15" i="3"/>
  <c r="D14" i="3" s="1"/>
  <c r="D19" i="3"/>
  <c r="E15" i="3"/>
  <c r="E14" i="3" s="1"/>
</calcChain>
</file>

<file path=xl/sharedStrings.xml><?xml version="1.0" encoding="utf-8"?>
<sst xmlns="http://schemas.openxmlformats.org/spreadsheetml/2006/main" count="937" uniqueCount="410">
  <si>
    <t>КПКВК</t>
  </si>
  <si>
    <t>Усього</t>
  </si>
  <si>
    <t>заг.фонд</t>
  </si>
  <si>
    <t>спец.фонд.</t>
  </si>
  <si>
    <t>Бюджет ТГ</t>
  </si>
  <si>
    <t>Назва індикатора,завдання, заходу , відповідального виконавця, головного розпорядника бюджетних коштів, найменування КПКВК</t>
  </si>
  <si>
    <t>Група результативних показників</t>
  </si>
  <si>
    <t>Назва результативного показника/індикатора програми</t>
  </si>
  <si>
    <t>Одиниця виміру</t>
  </si>
  <si>
    <t>Продукту</t>
  </si>
  <si>
    <t xml:space="preserve">Якості </t>
  </si>
  <si>
    <t>Витрат</t>
  </si>
  <si>
    <t>Ефективності</t>
  </si>
  <si>
    <t>Комплексна Програма Сумської міської територіальної громади "Охорона здоров'я" на 2022-2024 роки" (зі змінами)</t>
  </si>
  <si>
    <t>1.1.5. Сприяння забезпеченню спеціальним харчуванням дітей народжених від ВІЛ-  інфікованих матерів</t>
  </si>
  <si>
    <t>1.2.1. Покриття вартості комунальних послуг та енергоносіїв</t>
  </si>
  <si>
    <t>1.2.2. Сприяння забезпеченню надання антирабічної допомоги</t>
  </si>
  <si>
    <t>1.2.3. Сприяння забезпеченню  первинного підвищення кваліфікації випускників вищих медичних закладів (інтернатура 3 рік навчання)</t>
  </si>
  <si>
    <t>1.2.4. Проведення обов'язкових  профілактичних оглядів  з видачею  особистих медичних книжок працівникам бюджетної сфери</t>
  </si>
  <si>
    <t>1.2.5. Забезпечення функціонування відділення медико-соціальної допомоги дітям та молоді "Клініка, дружня до молоді" та утримання лікарів логопедів</t>
  </si>
  <si>
    <t>1.3.1. Покриття вартості комунальних послуг та енергоносіїв</t>
  </si>
  <si>
    <t>1.3.2. Сприяння забезпеченню  первинного підвищення кваліфікації випускників вищих медичних закладів (інтернатура 3 рік навчання)</t>
  </si>
  <si>
    <t>0712111</t>
  </si>
  <si>
    <t>0712152</t>
  </si>
  <si>
    <t>1.1.4. Сприяння забезпеченню продуктами харчування дітей віком від 0-2 років з малозабезпечених сімей</t>
  </si>
  <si>
    <t>0712010</t>
  </si>
  <si>
    <t>1.2.7. Медичне забезпечення  приписки до призовної дільниці, призову громадян на військову службу та організації проведення медичного огляду військовозобов'язаних</t>
  </si>
  <si>
    <t xml:space="preserve">1.2.6. Сприяння організації призову громадян на військову службу. </t>
  </si>
  <si>
    <t>1.2.8.1 Ендопротезування великих суглобів</t>
  </si>
  <si>
    <t>1.2.8.2. Ендопротезування судин</t>
  </si>
  <si>
    <t>1.2.9. Сприяння забезпеченню дороговартісними лікарськими засобами</t>
  </si>
  <si>
    <t xml:space="preserve">1.2.9.1. Препарат "Диспорт" для дітей хворих на церебральний параліч </t>
  </si>
  <si>
    <t>1.2.9.2. Препарат "Октагам" для дітей, хворих на вроджений імунодефіцит</t>
  </si>
  <si>
    <t>1.2.8. Проведення ендопротезування в т.ч.:</t>
  </si>
  <si>
    <t>1.2.9.3. Препарат "Хуміра","Актембра","Методжект" для дітей хворих на рквматоїдний артрит</t>
  </si>
  <si>
    <t>1.2.10. Сприяння наданню вторинної допомоги</t>
  </si>
  <si>
    <t>0712030</t>
  </si>
  <si>
    <t xml:space="preserve">1.4.1. Сприяння наданню амбулаторної стоматологічної допомоги  дорослому населенню пільгових категорій  </t>
  </si>
  <si>
    <t>0712100</t>
  </si>
  <si>
    <t>2.1.1. Сприяння забезпеченню  пільгової категорії  населення лікарськими засобами за безкоштовними рецептами</t>
  </si>
  <si>
    <t>2.1.3. Забезпечення осіб з інвалідністю, дітей з інвалідністю технічними та іншими засобами для догляду у домашніх умовах</t>
  </si>
  <si>
    <t>2.1.7. Сприяння забезпеченню слуховими апаратами та мовними процесорами дорослого населення з інвалідністю</t>
  </si>
  <si>
    <t>0712151</t>
  </si>
  <si>
    <t>4.1.2. Проведення капітальних ремонтів</t>
  </si>
  <si>
    <t>1517322</t>
  </si>
  <si>
    <t>0717361</t>
  </si>
  <si>
    <t>4.1.6. Проведення капітальних ремонтів об'єктів тимчасових укриттів</t>
  </si>
  <si>
    <t>Інші надходження (спеціальний фонд)</t>
  </si>
  <si>
    <t>Програма 1 Покращення надання медичної допомоги населенню</t>
  </si>
  <si>
    <t>обсяг видатків</t>
  </si>
  <si>
    <t>од.</t>
  </si>
  <si>
    <t>грн.</t>
  </si>
  <si>
    <t>кількість установ</t>
  </si>
  <si>
    <t>середні витрати на 1 заклад</t>
  </si>
  <si>
    <t>рівень забезпечення</t>
  </si>
  <si>
    <t>%</t>
  </si>
  <si>
    <t>1.1.1. Покриття вартості комунальних послуг та енергоносіїв, КПКВК 0712111</t>
  </si>
  <si>
    <t>Всього на виконання підпрограми 1</t>
  </si>
  <si>
    <t>1.1.2. Сприяння забезпеченню проведення туберкулінодіагностики (закупівля туберкуліну), КПКВК 0712152</t>
  </si>
  <si>
    <t xml:space="preserve"> 1.2.1. Покриття вартості комунальних послуг та енергоносіїв, КПКВК 0712010</t>
  </si>
  <si>
    <t>1.2.2. Сприяння забезпеченню надання антирабічної допомоги, КПКВК 0712010</t>
  </si>
  <si>
    <t>1.2.3. Сприяння забезпеченню  первинного підвищення кваліфікації випускників вищих медичних закладів (інтернатура 3 рік навчання), КПКВК 0712010</t>
  </si>
  <si>
    <t>1.2.4. Проведення обов'язкових  профілактичних оглядів  з видачею  особистих медичних книжок працівникам бюджетної сфери, КПКВК 0712152</t>
  </si>
  <si>
    <t>1.2.5. Забезпеченню функціонування відділення медико-соціальної допомоги дітям та молоді "Клініка, дружня до молоді" та утримання лікарів логопедів, КПКВК 0712010</t>
  </si>
  <si>
    <t>1.2.6.Сприяння організації призову громадян на військову службу. КПКВК 0712010, КПКВК 0712152</t>
  </si>
  <si>
    <t>1.2.7. Медичне забезпечення  приписки до призовної дільниці, призову громадян на військову службу та організації проведення медичного огляду військовозобов'язаних. КПКВК 0712152,КПКВК 0712010</t>
  </si>
  <si>
    <t>1.2.8. Проведення ендопротезування, КПКВК 0712010</t>
  </si>
  <si>
    <t>1.2.9. Сприяння забезпеченню дороговартісними лікарськими засобами (1.2.9.1. Препарат "Диспорт" для дітей хворих на церебральний параліч; 1.2.9.3.  Препарат "Октагам" для дітей хворих  на вроджений імунодифіцит. 1.2.9.5. Препарат "Хуміра" , "Актембра","Методжект" для дітей хворих на ревматоїдний артрит),КПКВК 0712010</t>
  </si>
  <si>
    <t>1.2.10. Сприяння наданню вторинної допомоги, КПКВК 0712010</t>
  </si>
  <si>
    <t>1.3.1. Покриття вартості комунальних послуг та енергоносіїв, КПКВК 0712030</t>
  </si>
  <si>
    <t xml:space="preserve">1.4.1.Сприяння наданню амбулаторної стоматологічної допомоги  дорослому населенню пільгових категорій , КПКВК 0712100          </t>
  </si>
  <si>
    <t>ПІДПРОГРАМА 2. Забезпечення соціальних стандартів у сфері охорони здоров'я</t>
  </si>
  <si>
    <t xml:space="preserve">2.1.1.Сприяння забезпеченню пільгової категорії населення лікарськими засобами за безкоштовними рецептами  , КПКВК 0712152 </t>
  </si>
  <si>
    <t>2.1.3. Забезпечення осіб з інвалідністю, дітей з інвалідністю технічними та іншими засобами для догляду у домашніх умовах , КПКВК 0712152</t>
  </si>
  <si>
    <t>2.1.5. Сприяння забезпеченню надання громадянам  послуг по зубопротезуванню на пільгових умовах, КПКВК 0712152</t>
  </si>
  <si>
    <t>2.1.7. Сприяння забезпеченню слуховими апаратами та мовними процесорами дорослого населення з інвалідністю, КПКВК 0712010</t>
  </si>
  <si>
    <t>кількість дітей, яким планується  провести туберкулінодіагностику</t>
  </si>
  <si>
    <t>осіб</t>
  </si>
  <si>
    <t>витрати на одного пацієнта</t>
  </si>
  <si>
    <t>лікувальне харчування для  дітей  з рідкісними (орфанними) захворюваннями</t>
  </si>
  <si>
    <t>продукти  харчування дітей віком від 0-2 років  з малозабезпечених сімей</t>
  </si>
  <si>
    <t>продукти дитячого харчування дітям, народженим від ВІЛ-інфікованих матерів</t>
  </si>
  <si>
    <t>кількість дітей  з рідкісними (орфанними) захворюваннями</t>
  </si>
  <si>
    <t>кількість дітей   віком від 0-2 років з малозабезпечених  сімей</t>
  </si>
  <si>
    <t>кількість дітей, народжених від ВІЛ-інфікованих матерів</t>
  </si>
  <si>
    <t>середні витрати  на одну дитину від 0-2 років з малозабезпечених  сімей</t>
  </si>
  <si>
    <t>середні витрати на одну дитину народжену від ВІЛ - інфікованої матері</t>
  </si>
  <si>
    <t>динамика обсягу витрат на забезпечення  лікувальним харчуванням  дітей хворих на орфанні  рідкісні захворювання,   продуктами харчування дітей віком від 0-2 років з малозабезпечених сімей та дітей народжених від ВІЛ -  інфікованих матерів порівняно до попереднього року</t>
  </si>
  <si>
    <t xml:space="preserve"> середні витрати на 1 заклад</t>
  </si>
  <si>
    <t>рівень забезпечення видатками</t>
  </si>
  <si>
    <t>кількість осіб, яким проводиться щеплення ( по медичним висновкам)</t>
  </si>
  <si>
    <t>середні витрати на одну особу</t>
  </si>
  <si>
    <t>динаміка забезпечення надання антирабічної допомоги порівняно до попереднього року</t>
  </si>
  <si>
    <t>кількість штатних одиниць лікарів-інтернів</t>
  </si>
  <si>
    <t>витрати на утримання 1 посади лікаря - інтерна</t>
  </si>
  <si>
    <t>грн</t>
  </si>
  <si>
    <t>кількість працівників бюджетної сфери,  яким проводяться обов'язкові  профілактичні огляди  з видачею  особистих медичних книжок</t>
  </si>
  <si>
    <t>середня вартість проведеного медичного огляду однієї особи</t>
  </si>
  <si>
    <t>рівень охоплення</t>
  </si>
  <si>
    <t xml:space="preserve"> од.</t>
  </si>
  <si>
    <t>кількість штатних одиниць</t>
  </si>
  <si>
    <t>в т.ч. лікарі</t>
  </si>
  <si>
    <t>кількість лікарських відвідувань</t>
  </si>
  <si>
    <t>кількість  проведених бесід, семінарів, лекцій</t>
  </si>
  <si>
    <t>кількість лікарських відвідувань на одну штатну посаду лікаря</t>
  </si>
  <si>
    <t>кількість проведених лекцій, бесід, семінарів на 1 лікаря</t>
  </si>
  <si>
    <t>зниження незапланованої вагітності у неповнолітніх</t>
  </si>
  <si>
    <t>кількість медичних працівників, що входять до складу комісії</t>
  </si>
  <si>
    <t>середні витрати на 1 обстеження</t>
  </si>
  <si>
    <t>середні витрати на одного медичного працівника</t>
  </si>
  <si>
    <t>рівень охоплення  медичними оглядами</t>
  </si>
  <si>
    <t>кількість кандидатів на військову службу</t>
  </si>
  <si>
    <t>рівень охоплення медичними оглядами</t>
  </si>
  <si>
    <t>в т.ч.:</t>
  </si>
  <si>
    <t>витрати на закупівлю ендопротезів колінних і кульшових суглобів</t>
  </si>
  <si>
    <t>витрати на закупівлю ендопротезів судин</t>
  </si>
  <si>
    <t>кількість пацієнтів, яким проводиться ендопротезування колінних і кульшових суглобів</t>
  </si>
  <si>
    <t>кількість пацієнтів, яким проводиться ендопротезування судин</t>
  </si>
  <si>
    <t>середні витрати на одного пацієнта при  ендопротезвунні  колінних і кульшових суглобів</t>
  </si>
  <si>
    <t>середні витрати на одного пацієнта при ендопротезвунні  судин</t>
  </si>
  <si>
    <t>придбання  медичного  препарату  "Октагам" для дітей, хворих  на вроджений імунодифіцит</t>
  </si>
  <si>
    <t>придбання медичних препаратів "Хуміра" , "Актембра","Методжект" для дітей хворих на ревматоїдний артрит</t>
  </si>
  <si>
    <t>придбання медичного препарату "Диспорт" для дітей хворих на церебральний параліч</t>
  </si>
  <si>
    <t>кількість дітей, які отримають медичний препарат "Диспорт"</t>
  </si>
  <si>
    <t>кількість дітей, які отримають медичний препарат "Октагам"</t>
  </si>
  <si>
    <t>Середні витрати на одну дитину хвору на ювенальний ревматоїдний артрит</t>
  </si>
  <si>
    <t>Середні витрати на одну дитину хвору на вроджений імунодифіцит</t>
  </si>
  <si>
    <t>Середні витрати на одну дитину хвору на церебральний параліч</t>
  </si>
  <si>
    <t>Обсяг видатків для сприяння наданню вторинної допомоги</t>
  </si>
  <si>
    <t>кількість осіб, яким планується встановлення ортопедичних металоконструкцій</t>
  </si>
  <si>
    <t>середні видатки на одну особу</t>
  </si>
  <si>
    <t>кількість штатних посад,од.</t>
  </si>
  <si>
    <t>у т.ч.</t>
  </si>
  <si>
    <t>лікарів</t>
  </si>
  <si>
    <t>жінки</t>
  </si>
  <si>
    <t>чоловіки</t>
  </si>
  <si>
    <t>кількість пролікованих хворих</t>
  </si>
  <si>
    <t>кількість лікарських відвідувань на одну лікарську посаду</t>
  </si>
  <si>
    <t xml:space="preserve">грн. </t>
  </si>
  <si>
    <t>1.3.2. Сприяння забезпеченню  первинного підвищення кваліфікації випускників вищих медичних закладів (інтернатура 3 рік навчання), КПКВК 0712030</t>
  </si>
  <si>
    <t xml:space="preserve">грн </t>
  </si>
  <si>
    <t>середня вартість 1 лікарського відвідування (враховані видатки на комунальні послуги та енергоносії)</t>
  </si>
  <si>
    <t>кількість відвідувань на одну штатну посаду лікаря</t>
  </si>
  <si>
    <t>кількість пролікованих пацієнтів на одного лікаря</t>
  </si>
  <si>
    <t>кількість пролікованих пацієнтів</t>
  </si>
  <si>
    <t xml:space="preserve"> середні витрати на 1 заклад </t>
  </si>
  <si>
    <t>Всього на виконання підпрограми 2</t>
  </si>
  <si>
    <t>кількість осіб пільгової категорії  населення, які отримають ліки на пільгових умовах</t>
  </si>
  <si>
    <t>динамика обсягу витрат на забезпечення пільгової категорії населення лікарськими засобами за безкоштовними рецептами порвняно до попереднього року</t>
  </si>
  <si>
    <t>придбання підгузків</t>
  </si>
  <si>
    <t>придбання калоприймачів, катетерів, уропрезервативи</t>
  </si>
  <si>
    <t>придбання прокладок урологічних</t>
  </si>
  <si>
    <t>кількість осіб, які отримають калоприймачі, катетери,уропрезервативи</t>
  </si>
  <si>
    <t>кількість осіб, які  отримають прокладок урологічних</t>
  </si>
  <si>
    <t>кількість осіб, які отримають підгузки</t>
  </si>
  <si>
    <t>витрати на одну особу, які отримали підгузки</t>
  </si>
  <si>
    <t>витрати на одну особу, які отримали калоприймачи, катетери, уропрезервативи</t>
  </si>
  <si>
    <t>витрати на одну особу, які отримали прокладки урологічної</t>
  </si>
  <si>
    <t>динамика обсягу витрат на забезпечення пільгової категорії населення  технічними та іншими засобами порівняно до попереднього року</t>
  </si>
  <si>
    <t>кількість осіб, які отримають послуги з зубного протезування</t>
  </si>
  <si>
    <t>середня вартість зубопротезування на одного пацієнта</t>
  </si>
  <si>
    <t>динамика обсягу витрат на забезпечення надання громадянам послуг по зубопротезуванню на пільгових умовах порвняно до попереднього року</t>
  </si>
  <si>
    <t>кількість осіб, яким встановлені/будуть встановлені до кінця року слухові апарати</t>
  </si>
  <si>
    <t>кількість осіб, яким встановлені/будуть встановлені до кінця року мовні процесори</t>
  </si>
  <si>
    <t>середні видатки на одну особу,щодо встановлення слухового апарату</t>
  </si>
  <si>
    <t>середні видатки на одну особу,щодо встановлення мовного процесора</t>
  </si>
  <si>
    <t>кількість  установ</t>
  </si>
  <si>
    <t>питома вага використаних коштів до затверджених по слуховим апаратам</t>
  </si>
  <si>
    <t>питома вага використаних коштів до затверджених по мовним процесорам</t>
  </si>
  <si>
    <t>Всього на виконання підпрограми 3</t>
  </si>
  <si>
    <t>ПІДПРОГРАМА3. Інші заходи та заклади у сфері охорони здоров'я</t>
  </si>
  <si>
    <t>кількість установ:</t>
  </si>
  <si>
    <t>обсяг витрат</t>
  </si>
  <si>
    <t>централізована бухгалтерія</t>
  </si>
  <si>
    <t>інформаційно-аналітичний центр медичної статистик</t>
  </si>
  <si>
    <t>кількість аналітичних довідок, письмових роз`яснень, іншої інформації наданих інформаційно-аналітичного центру медичної статистики</t>
  </si>
  <si>
    <t>кількість рахунків на одного працівника централізованої бухгалтерії</t>
  </si>
  <si>
    <t>кількість звітних форм на одного працівника централізованої бухгалтерії</t>
  </si>
  <si>
    <t>кількість аналітичних довідок, письмових роз`яснень, іншої інформації працівників інформаційно-аналітичного центру медичної статистики</t>
  </si>
  <si>
    <t>кількість рахунків</t>
  </si>
  <si>
    <t>кількість звітних форм та інформацій працівників бухгалтерії</t>
  </si>
  <si>
    <t>кількість медичних закладів, які обслуговує централізована бухгалтерія</t>
  </si>
  <si>
    <t xml:space="preserve"> інформаційно-аналітичного центру</t>
  </si>
  <si>
    <t xml:space="preserve"> централізованої бухгалтерії</t>
  </si>
  <si>
    <t>кількість штатних одиниць:</t>
  </si>
  <si>
    <t>кількість обладнання</t>
  </si>
  <si>
    <t xml:space="preserve">середні видатки на придбання одиниці обладнання </t>
  </si>
  <si>
    <t>обсяг надходжень в натуральній формі</t>
  </si>
  <si>
    <t>Всього на виконання підпрограми 4</t>
  </si>
  <si>
    <t>ПІДПРОГРАМА 4. Приведення закладів охорони здоров'я у відповідність до сучасних потреб (зазначити назву та мету програми)</t>
  </si>
  <si>
    <t>обсяг видатків на придбання довгострокового обладнаня</t>
  </si>
  <si>
    <t>кількість  обладнання</t>
  </si>
  <si>
    <t>4.1.2. Проведення капітальних ремонтів, КПКВК 0712010, КПКВК 0712152</t>
  </si>
  <si>
    <t>капітальний ремонт приміщень</t>
  </si>
  <si>
    <t xml:space="preserve">благоустрій території </t>
  </si>
  <si>
    <t>обсяг видатків на проведення капітальних ремонтів, за напрямами:</t>
  </si>
  <si>
    <t>кількість об'єктів капітального ремонту, за напрямами.:</t>
  </si>
  <si>
    <t>середня вартість об'єкту, за напрямами :</t>
  </si>
  <si>
    <t>обсяг видатків на проведення капітальних ремонтів</t>
  </si>
  <si>
    <t>кількість установ,для яких передбачено кошти на проведення капітальних ремонтів</t>
  </si>
  <si>
    <t>середній обсяг витрат на проведення капітального ремонту в розрахунку на 1 установу</t>
  </si>
  <si>
    <t>середня вартість інвестиційного проєкту</t>
  </si>
  <si>
    <t>кількість інвестиційних проєктів</t>
  </si>
  <si>
    <t>обсяг видатків на участь у інвестиційних проєктах, що реалізуються за рахунок коштів ДФРР</t>
  </si>
  <si>
    <t>обсяг видатків направлених на закупівлю послуг щодо встановлення кисневих станцій</t>
  </si>
  <si>
    <t>кількість кисневих станцій для встановлення</t>
  </si>
  <si>
    <t>питома вага використаних коштів щодо затверджених видатків</t>
  </si>
  <si>
    <t>середні витрати для закупівлі послуг на встановлення кисневих станцій</t>
  </si>
  <si>
    <t>4.1.6. Проведення капітальних ремонтів об'єктів тимчасових укриттів, КПКВК 0712010</t>
  </si>
  <si>
    <t>середні витрати для проведення ремонтів об'єктів тимчасових укриттів</t>
  </si>
  <si>
    <t>обсяг витрат для проведення капітальних ремонтів тимчасових укриттів</t>
  </si>
  <si>
    <t>обсяг видатків для проведення капітальних ремонтів захисних споруд</t>
  </si>
  <si>
    <t>обсяг видатків:</t>
  </si>
  <si>
    <t>обсяг видатків для реконструкції захисних споруд</t>
  </si>
  <si>
    <t>кількість установ де планується проведення капітальних ремонтів захисних споруд</t>
  </si>
  <si>
    <t>середні витрати для проведення ремонтів захисних споруд</t>
  </si>
  <si>
    <t>Всього на виконання програми (без коштів на виконання інших цільових програм)</t>
  </si>
  <si>
    <t>Підпрограма 1 Покращення надання медичної допомоги населенню</t>
  </si>
  <si>
    <t>Підпрограма4 Приведення закладів охорони здоров'я у відповідність до сучасних потреб</t>
  </si>
  <si>
    <t>Завдання 1.1. Розвиток первинної медико-санітарної допомоги</t>
  </si>
  <si>
    <t>Завдання 2.1. Виконання соціальних гарантій пільгових категорій громадян</t>
  </si>
  <si>
    <t>Завдання 4.1. Зміцнення та оновлення матеріально-технічної бази закладів охорони здоров'я</t>
  </si>
  <si>
    <t>1.1.3.; 1.1.4.; 1.1.5; 1.1.6 Сприяння забезпеченню лікувальним харчуванням  дітей хворих на рідкісні (орфанні) захворювання;   Сприяння забезпеченню продуктами харчування дітей віком від    0-2 років з малозабезпечених сімей ;Сприяння забезпеченню продуктами харчування дітей народжених від ВІЛ-  інфікованих матерів. Сприяння забезпеченню спеціальним харчуванням дітей з хворобою Крона.</t>
  </si>
  <si>
    <t>кількість дітей з хворобою Крона</t>
  </si>
  <si>
    <t>забезпеченню спеціальним харчуванням дітей з хворобою Крона</t>
  </si>
  <si>
    <t>середні витрати на одну дитину з хворобою Крона</t>
  </si>
  <si>
    <t>до наказу Сумської міської військової</t>
  </si>
  <si>
    <t xml:space="preserve"> Завдання 1.2. Розвиток вторинної (спеціалізованої)/третинної (високоспеціалізованої) медичної допомоги</t>
  </si>
  <si>
    <t>Завдання 1.3. Забезпечення надання акушерсько - гінекологічної допомоги</t>
  </si>
  <si>
    <t>Завдання 1.4. Збереження стоматологічного здоров'я населення</t>
  </si>
  <si>
    <t>Завдання 3.1. Інші заклади</t>
  </si>
  <si>
    <t>Якості</t>
  </si>
  <si>
    <t>кількість осіб пільгової категорії  населення</t>
  </si>
  <si>
    <t>кількість осіб з інвалідністю які отримують послуги та мед засоби</t>
  </si>
  <si>
    <t>динаміка обсягу витрат в порівнянні до попереднього року</t>
  </si>
  <si>
    <t>кількість хворих пролікованих в стаціонарах</t>
  </si>
  <si>
    <t>рівень росту пролікованих хворих до попереднього року</t>
  </si>
  <si>
    <t>кількість відвідувань до поліклінічних відділень</t>
  </si>
  <si>
    <t>динаміка відвідувань до попереднього року</t>
  </si>
  <si>
    <t>кількість установ де планується виготовлення ПКД</t>
  </si>
  <si>
    <t>середні витрати для виготовлення ПКД</t>
  </si>
  <si>
    <t>1.4.2. Покриття вартості комунальних послуг та енергоносіїв, КПКВК 0712100</t>
  </si>
  <si>
    <t>1.4.2. Покриття вартості комунальних послуг та енергоносіїв</t>
  </si>
  <si>
    <t>3.1.2. Придбання обладнання</t>
  </si>
  <si>
    <t xml:space="preserve">3.1.1.  Забезпечення діяльності централізованої бухгалтерії /відділу централізованого бухгалтерського обліку та економічного планування, інформаційно-аналітичного центру медичної статистики / віддлу інформаційно-аналітичного забезпечення та комунікацій управління охорони здоров'я СМР                    КПКВК 0712151                         </t>
  </si>
  <si>
    <t>адміністрації</t>
  </si>
  <si>
    <t>Інформація про виконання програми</t>
  </si>
  <si>
    <t>1. Рішення Сумської міської ради від 26 січня 2022 року №2713-МР "Про затвердження комплексної Програми Сумської міської територіальної громади "Охорона здоров'я" на 2022-2024 роки" (зі змінами)</t>
  </si>
  <si>
    <t xml:space="preserve">2. Управління охорони здоров'я Сумської міської ради </t>
  </si>
  <si>
    <t>тис.грн.</t>
  </si>
  <si>
    <t xml:space="preserve">Назва завдання та заходу </t>
  </si>
  <si>
    <t>Інформація про виконання заходу/завдання</t>
  </si>
  <si>
    <t>Обсяги фінансування програми</t>
  </si>
  <si>
    <t>Затверджено у бюджеті СМТГ (зі змінами)</t>
  </si>
  <si>
    <t>Виконано</t>
  </si>
  <si>
    <t>Всього на виконання програми, в т.ч. за джерелами фінансування:</t>
  </si>
  <si>
    <t>Всього по підпрограмі, в т.ч. за джерелами фінансування</t>
  </si>
  <si>
    <t>Захід 1.1.1. Покриття вартості комунальних послуг та енергоносіїв</t>
  </si>
  <si>
    <t>Захід 1.1.2. Сприяння забезпеченню проведення туберкулінодіагностики (закупівля туберкуліну)</t>
  </si>
  <si>
    <t>Захід 1.1.3.  Сприяння забезпеченню лікувальним харчуванням  дітей хворих на   рідкісні (орфанні) захворювання</t>
  </si>
  <si>
    <t>Завдання 1.2. Розвиток вторинної (спеціалізованої)/третинної (високоспеціалізованої) медичної допомоги</t>
  </si>
  <si>
    <t xml:space="preserve">Завдання 1.3. Забезпечення надання акушерсько - гінекологічної допомоги </t>
  </si>
  <si>
    <t xml:space="preserve">Завдання 1.4. Збереження стоматологічного здоров'я населення </t>
  </si>
  <si>
    <t xml:space="preserve">Підпрограма  2 Забезпечення соціальних стандартів у сфері охорони здоров'я </t>
  </si>
  <si>
    <t>2.1.5. Сприяння забезпеченю надання громадянам послуг по зубопротезуваннюд на пільгових умовах</t>
  </si>
  <si>
    <t xml:space="preserve">Підпрограма  3 Інші заходи та заклади у сфері охорони здоров'я </t>
  </si>
  <si>
    <t>Завдання 3.1.Інші заклади</t>
  </si>
  <si>
    <t xml:space="preserve">3.1.1. Забезпечення діяльності відділу централізованого бухгалтерського обліку та економічного планування, віддлу інформаційно-аналітичного забезпечення та комунікацій управління охорони здоров'я СМР                   </t>
  </si>
  <si>
    <t xml:space="preserve">4.1.1. Придбання обладнання    </t>
  </si>
  <si>
    <t>Звіт про виконання результативних показників/індикаторів програми</t>
  </si>
  <si>
    <t>Значення показника</t>
  </si>
  <si>
    <t>Відсоток виконання кол.6/кол.5</t>
  </si>
  <si>
    <t xml:space="preserve">Причини невиконання </t>
  </si>
  <si>
    <t>план</t>
  </si>
  <si>
    <t>виконано</t>
  </si>
  <si>
    <t>1.1.6. Сприяння забезпеченню спеціальним харчуванням дітей з хворобою Крона</t>
  </si>
  <si>
    <t xml:space="preserve">Для забезпечення комфортного перебування пацієнтів і працівників  в приміщеннях закладів охорони здоров'я проведено оплату за комунальні послуги,а саме по КНП "ЦПМСД№1" СМР - 2615,7 тис.грн., КНП "ЦПМСД №2"СМР - 1762,8 тис.грн. </t>
  </si>
  <si>
    <t>Для забезпечення комфортного перебування пацієнтів і працівників  в приміщеннях закладів охорони здоров'я проведено оплату за комунальні послуги по КНП "Клінічний перинатальний  центр Пресвятої Діви Марії"" СМР - 4132,7 тис.грн.</t>
  </si>
  <si>
    <t>Для забезпечення комфортного перебування пацієнтів і працівників  в приміщеннях закладів охорони здоров'я проведено оплату за комунальні послуги по КНП "Клінічна стоматологічна поліклініка" СМР - 920,2 тис.грн.</t>
  </si>
  <si>
    <t>Отримання благодійної допомоги у вигляді натуральної форми.  Інші надходження (спеціальний фонд)</t>
  </si>
  <si>
    <t>Інша субвенція з МБ</t>
  </si>
  <si>
    <t xml:space="preserve">середні витрати на 1 заклад </t>
  </si>
  <si>
    <t>Проліковано 7145 осіб, Середня вартість 1 лікарського відвідування 682,23 грн.</t>
  </si>
  <si>
    <t xml:space="preserve">Капітальний ремонт підвальних приміщень по вул. Іллінська, 48/50 - 8811,0 тис.грн.КНП "ЦПМСД№1"СМР </t>
  </si>
  <si>
    <t xml:space="preserve">На утримання у 2023 році централізованої бухгалтерії та інформаційно-аналітичного центру медичної статистики витрачено  3636,0 тис. грн., з них на оплату праці з нарахуваннями –  3062,6    тис. грн., на оплату комунальних послуг та енергоносіїв –  106,6    тис. грн., інші - 466,6 тис.грн. </t>
  </si>
  <si>
    <t xml:space="preserve">3.1.2. Придбання обладнання, КПКВК 0712152  </t>
  </si>
  <si>
    <t>Забезпечено 18 осіб. Середні витрати на 1 дитину 7746,25 тис.грн.</t>
  </si>
  <si>
    <t>Спеціальним харчуванням забезпечено 2  дітей.</t>
  </si>
  <si>
    <t>Забезпечено 1 дитину .</t>
  </si>
  <si>
    <t>Проведено туберкулінодіагностику 1200 особам.</t>
  </si>
  <si>
    <t>Забезпечено      особи пільгової категорії. Середні витрати на 1 пацієнта складають 5680,49 тис.грн.</t>
  </si>
  <si>
    <t xml:space="preserve">Забезпечено проведеня обов'язкових профілактичних оглядів  працівників  бюджетної сфери з видачею особистої медичної книжки  з метою визначення стану здоров’я працівників, а також попередження виникненню та розповсюдженню інфекційних хвороб. Проведено огляди 7356 особам (середня вартість  огляду однієї особи - 254,8 грн). </t>
  </si>
  <si>
    <t>Забезпечено 29703осіб пільгової категорії  населення, які отримають ліки на пільгових умовах.Середні витрати на одну особу 399,01 грн.</t>
  </si>
  <si>
    <t>з/ф</t>
  </si>
  <si>
    <t>с/ф</t>
  </si>
  <si>
    <t xml:space="preserve">Забезпечено надання медичної допомоги підліткам (віком 14-18 років)  та молоді  (віком до 24 років)  за їх особистим зверненням або за направленням центрів соціальних служб для сім’ї, дітей та молоді, інших  закладів охорони здоров'я на засадах дружнього підходу до молоді. Кількість відвідувань склало - 2382.  </t>
  </si>
  <si>
    <t xml:space="preserve">Кількість пролікованих хворих 1699 осіб. </t>
  </si>
  <si>
    <t>Придбання обладнання Управлінням охорони здоров'я СМР - 61 118,7 тис.грн.</t>
  </si>
  <si>
    <t>Дороговартісними лікарськими засобами забезпечено 68 осіб.</t>
  </si>
  <si>
    <t xml:space="preserve">Дороговартісними лікарськими засобами забезпечено 74 осіб. </t>
  </si>
  <si>
    <t>Дороговартісними лікарськими засобами забезпечено 6 осіб.</t>
  </si>
  <si>
    <t>Забезпечено слуховими апаратами 75 осіб.</t>
  </si>
  <si>
    <t>Вакцина відсутня на фармацевтичному ринку</t>
  </si>
  <si>
    <t>Придбання металоконструкцій  для забезпечення лікування військовослужбовців ЗСУ (металоконструкції для остеосинтезу та для пластики зв'язкового апарату).</t>
  </si>
  <si>
    <t>Капітальний ремонт будівлі  КНП "Дитяча клінічна лікарня Святої Зінаїди" СМР за адресою: м.Суми, вул.Троїцька,28 (стаціонар, 2-х поверхова будівля)" (коригування ПКД). Видатки в сумі  107, 2 тис.грн. були оплачені згідно актів виконаних робіт які були проведені в січні-лютому місяці 2023 р.</t>
  </si>
  <si>
    <t>КНП "Клінічна лікарня Св.Пантелеймона" СМР : проведено капітальний ремонт системи забезпечення медичним киснем з вставленням та підключенням кисневої станції до системи киснепостачання закладу -489,1 тис.грн.; Реконструкція системи киснезабезпечення І,ІІ,ІІІ корпусу - 501,8 тис.грн.</t>
  </si>
  <si>
    <t>Забезпечено 2 осіб. Середні витрати на 1 дитину 165,5 тис. грн.</t>
  </si>
  <si>
    <t>Для забезпечення комфортного перебування пацієнтів і працівників  в приміщеннях закладів охорони здоров'я проведено оплату за комунальні послуги,а саме:  по КНП "ЦМКЛ" СМР - 7613,4 тис.грн., КНП "Клінічна лікарня №4"СМР - 8318,5 тис.грн., КНП "Клінічна лікарня №5"СМР - 13572,1 тис.грн., КНП "Дитяча клінічна лікарня Св.Зінаїди"СМР - 8201,9 тис.грн., КНП "Клінічна лікарня Св.Пантелеймона" СМР - 4645,4 тис.грн.</t>
  </si>
  <si>
    <t>Кількість військовозобов'язаних, яким проведено медичний огляд 14050 осіб.</t>
  </si>
  <si>
    <t>Проведено ендопротезування  колінних і кульшових суглобів 33 особам  (середні витрати на одного пацієнта - 62810,6 грн.),  ендопротезування судин - 11 особам (середні витрати на одного пацієнта - 18181,8 грн.)</t>
  </si>
  <si>
    <t>Для покращення догляду за тяжкохворими у домашніх умовах та адаптування їх до самообслуговування спрямовано 5529 тис. грн. (94,9%) проти планових 5824,4 тис.грн.   Придбано: підгузків на суму 3319,4 тис. грн. ; калоприймачів, катетерів, уропрезервативів, сечоприймачів, пелюшки та ін. на суму  2129,9 тис.грн. ; прокладок урологічних 79,7 тис.грн.</t>
  </si>
  <si>
    <t>кількість медичних штатних одиниць, які входять до складу комісії</t>
  </si>
  <si>
    <t>середні витрати на одну штатну одиницю, яка входить до складу лікарняної комісії</t>
  </si>
  <si>
    <t>обсяг видатків для забезпечення проведення медичного огляду військовозобов'язаним</t>
  </si>
  <si>
    <t>обсяг витрат на проведення обстежень громадян, які призиваються на військову службу</t>
  </si>
  <si>
    <t xml:space="preserve">кількість осіб з інвалідністю </t>
  </si>
  <si>
    <t>середні витрати на одну особу, які отримали медичні вироби та інші засоби використання в амбулаторних умовах</t>
  </si>
  <si>
    <t>динамика обсягу витрат щодо сприяння  забезпечення осіб з інвалідністю та дітей з інвалідністю виробами медичного призначення у порівнянні до попереднього року</t>
  </si>
  <si>
    <t>Економія видатків від проведених закупівель</t>
  </si>
  <si>
    <t>За звітний період не здійснювалися видатки на придбання антирабічних препаратів у зв'язку з їх відсутністю на фармацевтичному ринку України.</t>
  </si>
  <si>
    <t>Економія видатків</t>
  </si>
  <si>
    <t>Виникла економія коштів по напрямку використання "Заробітна плата" та "Нарахування на оплату праці" в сумі  10,1тис.грн.,"Предмети, матеріалів, обладнання та інвентар" сумі 81,3  тис.грн за результатами проведення процедур відкритих торгів, по напрямку використання "Медикаменти та перв'язувальні матеріали"  - 419,9 тис.грн у зв'язку з тим, що не відбулися відкриті торги по медичному обладнанню та виробам медичного призначення.</t>
  </si>
  <si>
    <t>Видатки проводилися у відповідності виконаним актам виконаних робіт.</t>
  </si>
  <si>
    <t>Економія видатків.</t>
  </si>
  <si>
    <t>Економія коштів від проведених закупівель</t>
  </si>
  <si>
    <t>4.1.1. Придбання обладнання, КПКВК 0712010, КПКВК 0712152</t>
  </si>
  <si>
    <t>Економія видатків  після проведених закупівель.</t>
  </si>
  <si>
    <t>В зв'язку з отриманням ліків пацієнтами з розладами психіки та поведінки за програмою реімбурсації "Доступні ліки" у відповідності до постанови КМУ від 28.07.2021 № 854 "Деякі питання реімбурсації лікарських засобів за програмою державних гарантій медичного обслуговування населення" та з причини запровадження воєнного стану.</t>
  </si>
  <si>
    <t>Виготовлення ПКД по об'єкту : "Капітальний ремонт підвальних приміщень з пристосуванням їх для використання як найпростішого укриття в будівлі КНП "Клінічна стоматологічна поліклініка" СМР за адресою: Сумська область, м. Суми, вул. Паркова, 2/1"</t>
  </si>
  <si>
    <t xml:space="preserve">На 01.01.2024  наявна кредиторської заборгованості по спец. фонду в сумі 50000,0 тис. грн. - 1,0 од.  обладнання МРТ.
Видатки не профінансовані УДКС України у м. Суми, Сумської області у 2023 році.
</t>
  </si>
  <si>
    <t>Збільшення кількості пролікованих хворих</t>
  </si>
  <si>
    <t>Збільшення кількості амбулаторних відвідувань</t>
  </si>
  <si>
    <t xml:space="preserve">                                                                                                                                                                                                                                                                                                                                                                                                                                                                                                                                                                                                                                                                                                                                                                                                                                                                                                                                                                                                                                                                                                                                                                                                                                                                                                                                                                                                                                                                                                                                                                                                                                                                                                                                                                                                                                                                                                                                                                                                                                                                                                                                                                                                                                                                                                                                                                                                                                                                                                                                                                                                                                                                                                                                                                                                                                                                                                                                                                                                                                                                                                                                                                                                                                      </t>
  </si>
  <si>
    <t xml:space="preserve">від                    № </t>
  </si>
  <si>
    <t>Комплексна Програма "Охорона здоров'я" на 2022-2024 роки</t>
  </si>
  <si>
    <t>за підсумками 2023 року</t>
  </si>
  <si>
    <t>Придбання обладнання КНП "Клінічна лікарня Святого Пантелеймона"СМР-  45500,0 тис.грн., КНП "Дитяча клінічна лікарня Святої Зінаїди"СМР- 8546,2 тис.грн.</t>
  </si>
  <si>
    <t>Капітальний ремонт території із обладнанням зони реабілітації хворих КНП "ЦМКЛ" СМР по вул.20 років Перемоги, 13 в м.Суми" - 977,5 тис.грн., Капітальний ремонт будівлі Комунального некомерційного підприємства "Дитяча клінічна лікарня Святої Зінаїди" Сумської міської ради за адрессою: м.Суми вул.Троїцька,28 (стаціонар, 2-х поверхова будівля) - 15334,9 тис.грн.</t>
  </si>
  <si>
    <t>Додаток 2</t>
  </si>
  <si>
    <t>динаміка обсягу витрат на забезпечення покриття вартості комунальних послуг в порівнянні до попереднього року</t>
  </si>
  <si>
    <t xml:space="preserve">динаміка обсягу витрат на проведення туберкулінодіагностики (придбання туберкуліну) порівняно до попереднього року </t>
  </si>
  <si>
    <t>відсоток осіб, що отримали лікування потребуючих</t>
  </si>
  <si>
    <t>обсяг видатків на проведення капітальних ремонтів у т.ч.:</t>
  </si>
  <si>
    <t>обсяг видатків на реконструкцію</t>
  </si>
  <si>
    <t>кількість об'єктів, які планується реконструвати</t>
  </si>
  <si>
    <t>середній обсяг витрат на реконструкцію 1 об'єкта</t>
  </si>
  <si>
    <t>Інші джерела фінансування (інша субвенція з місцевого бюджету). Миколаївська сільська рада - 34,6 тис.грн. система для біологічного відбору, Миколаївська селищна рада - 97,2 тис.грн. бензин, Юнаківська сільська рада - 6,9 тис.грн. система для біологічного відбору, Ворожбянська міська рада - 11,1 тис.грн. система для біологічного відбору.</t>
  </si>
  <si>
    <t>В продовж року вносились зміни до штатного розпису, а саме наказом по КНП "Дитяча клінічна лікарня Св.Зінаїди"СМР №35 від 30.01.023 вивели 2,0 посади лікарь-отоларинолог інф.відділення, а наказом №183 від 16.08.23 ввели 1,0 посаду середній медичний персонал.</t>
  </si>
  <si>
    <t>Кількість пролікованих пацієнтів зменшилася на 1555 од, у зв'язку із зменшенням відвідувань в воєнний період,  та звільненням лікарів.</t>
  </si>
  <si>
    <t>Відхилення відбулось відповідно до кількості звернень</t>
  </si>
  <si>
    <t>Економія коштів</t>
  </si>
  <si>
    <t>Розрахунковий показник   на який вплинули зміни по показнику затрат.</t>
  </si>
  <si>
    <t xml:space="preserve">кількість військовозобов'язаних, яким проведено медичний огляд </t>
  </si>
  <si>
    <t>Фактично оглянуто більше осіб, ніж планувалось.</t>
  </si>
  <si>
    <t>Кількість пролікованих пацієнтів на одного лікаря-стоматолога зменшилася на 74 особи, у зв'язку із зменшенням кількості пролікованих пацієнтів.</t>
  </si>
  <si>
    <t xml:space="preserve">2.1.1. Сприяння забезпеченню  безоплатного та пільгового відпуску лікарських засобів під час амбулаторного лікування окремих груп населення та за певними категоріями захворювань </t>
  </si>
  <si>
    <t>2.1.2. Сприяння забезпеченню осіб з інвалідністю, дітей з інвалідністю медичними засобами та іншими засобами для використання в амбулаторних умовах</t>
  </si>
  <si>
    <t>2.1.3. Сприяння забезпеченню надання громадянам послуг з проведення зубопротезування на пільгових умовах</t>
  </si>
  <si>
    <t>2.1.4. Сприяння забезпеченню слуховими апаратами, мовними процесорами та іншими технічними виробами підлягаючих дорослих осіб</t>
  </si>
  <si>
    <t>2.1.1.Сприяння забезпеченню  безоплатного та пільгового відпуску лікарських засобів під час амбулаторного лікування окремих груп населення та за певними категоріями захворювань, КПКВК 0712152</t>
  </si>
  <si>
    <t>2.1.2. Забезпечення осіб з інвалідністю, дітей з інвалідністю медичними засобами та іншими засобами для використання в амбулаторних умовах, КПКВК 0712152</t>
  </si>
  <si>
    <t>2.1.3. Сприяння забезпеченню надання громадянам  послуг з проведення зубопротезування на пільгових умовах,КПКВК 0712152</t>
  </si>
  <si>
    <t>2.1.4. Сприяння забезпеченню слуховими апаратами, мовними процесорами та іншими технічними виробами підлягаючих дорослих осіб,КПКВК 0712010</t>
  </si>
  <si>
    <t>3.1.2. Сприяння розвитку закладів охорони здоров'я за рахунок надходжень благодійної допомоги</t>
  </si>
  <si>
    <t xml:space="preserve">3.1.2. Сприяння розвитку закладів охорони здоров'я за рахунок надходжень благодійної допомоги, КПКВК 0712152  </t>
  </si>
  <si>
    <t>1.2.9.2. Дороговартісні препарати для дітей хворих на ювенільний ревматоїдний артрит</t>
  </si>
  <si>
    <t>1.2.11. Видатки установи за придбане обладнання та отримані послуги у 2022 році, але не проведені УДКС</t>
  </si>
  <si>
    <t>1.2.12. Придбання металоконструкцій  для забезпечення лікування  військовослужбовців  ЗСУ (металоконструкції для остеосинтезу  та для пластики  зв'язкового апарату)</t>
  </si>
  <si>
    <t>1.2.13. Забезпечення безпребійного функціонування інфекційного відділення №3 КНП "Дитяча клінічна лікарня Святої Зінаїди" СМР</t>
  </si>
  <si>
    <t>4.1.3. Проведення капітальних ремонтів/реконструкція</t>
  </si>
  <si>
    <t>4.1.4. Погашення кредиторської заборгованості</t>
  </si>
  <si>
    <t>4.1.5. Закупівля послуг щодо проектування та встановлення кисневих станцій.</t>
  </si>
  <si>
    <t>4.1.7. Облаштування захисних споруд</t>
  </si>
  <si>
    <t>4.1.3. Проведення капітальних ремонтів/реконструкція, КПКВК 0712010, КПКВК 0712151, КПКВК 0712030, КПКВК 0712100,КПКВК 1517322</t>
  </si>
  <si>
    <t>4.1.5. Закупівля послуг щодо проектування та встановлення кисневих станцій, КПКВК 0712010</t>
  </si>
  <si>
    <t>4.1.7. Облаштування захисних споруд, КПКВК 0712010,КПКВК 0712010,КПКВК 1517322</t>
  </si>
  <si>
    <t>1.2.11. Видатки установи за придбане обладнання та отримані послуги у 2022 році, але не проведені УДКС, КПКВК 0712010</t>
  </si>
  <si>
    <t>1.2.12. Придбання металоконструкцій  для забезпечення лікування  військовослужбовців  ЗСУ (металоконструкції для остеосинтезу  та для пластики  зв'язкового апарату). КПКВК 0712010</t>
  </si>
  <si>
    <t>1.2.13.  Забезпечення безпребійного функціонування інфекційного боксованого  відділення КНП "Дитяча клінічна лікарня Святої Зінаїди" СМР, КПКВК 0712010</t>
  </si>
  <si>
    <t>4.1.4. Погашення кредиторської заборгованості, КПКВК 0717361</t>
  </si>
  <si>
    <t>КНП "Дитяча клінічна лікарня Св.Зінаїди" СМР придбання лазерного принтеру (відділення медико-соціальної допомоги дітям та молоді) - 8,5 тис.грн., поточний ремонт будівлі стаціонару -15,0 тис.грн.</t>
  </si>
  <si>
    <t>Проведено капітальні ремонти захисних споруд: КНП "ЦМКЛ" СМР - 12374,3 тис.грн.; КНП "Клінічна лікарня №5" -6077,5 тис.грн.; КНП " Клінічна лікарня Св.Пантелеймона" СМР - 5090,6 тис.грн., КНП "Дитяча клінічна лікарня Св.Зінаїди" СМР - 16328,9 тис.грн.</t>
  </si>
  <si>
    <t>Реконструкція відділення КУ "СМКЛ №4" по вул. металургів,38.</t>
  </si>
  <si>
    <t>Реконструкція захисних споруд цивільного захисту неврологічного корпусу КНП "Клінічна лікарня №4" СМР за адресою: м.Суми, вул. Металургів,38.</t>
  </si>
  <si>
    <t>КНП "ДКЛ Святої Зінаїди" СМР: проведено поточний ремонт для гідроізоляції цоколя в будівлі КНП "ДКЛ Святої Зінаїди" СМР - 597,7 тис.грн.; поточний ремонт внутрішніх мереж опалення,водопроводу та каналізації нового корпусу - 1955,7 тис.грн.; облаштування пожежної сігналізації в клініко-діагностичній лабораторії стаціонару -236,9 тис.грн.; монтаж та встановлення системи резервного електропостачання (транспортабельна дизельна електростанція) - 283,1 тис.грн.;   КНП "Клінічна лікарня Св. Пантелеймона" СМР:  система для відбору біологічного матеріалу - 657,4 тис.грн.</t>
  </si>
  <si>
    <t>Оголошені відкриті торги по КНП "ЦПМСД№2"СМР у сумі 285,1 тис.грн. на закупівлю підгузків не відбулись.</t>
  </si>
  <si>
    <t>Огляди відбувались відповідно  кількості проведених медичних оглядів.</t>
  </si>
  <si>
    <t>Фінансування видатків відбувалося згідно кількості проведених медичних оглядів.</t>
  </si>
  <si>
    <t>Виникла економія коштів по напрямку використання "Заробітна плата" та "Нарахування на оплату праці".</t>
  </si>
  <si>
    <t>Відповідно до кількості звернень.</t>
  </si>
  <si>
    <t>Додаток 3</t>
  </si>
  <si>
    <t>Відхилення  у зв'язку із заокругленням сум по договорам.</t>
  </si>
  <si>
    <t>Кількість лікарських відвідувань протягом 2023 року зменшилася на 4576 од у зв'язку із звільненням трьох лікарів стоматологів-терапевтів та знаходженням в відпустці без збереження у зв'язку із воєнною агресією двох лікарів ( лікаря-хірурга та лікаря стоматолога терапевта).</t>
  </si>
  <si>
    <t>Кількість відвідувань на одну штатну посаду лікаря  зменшилося на 218 особи, у зв'язку із зменшенням кількості відвідувань в воєнний період.</t>
  </si>
  <si>
    <t>Середньомісячні витрати на покриття вартості комунальних послуг та енергоносіїв зменшилися у зв'язку  із розрахунку ціни за 1Гкал за надану послугу (постачання теплової енергії).</t>
  </si>
  <si>
    <t xml:space="preserve">Сума  різниці становить:
-  285,1 тис.грн. -оголошені відкриті торги на закупівлю підгузків не відбулись по КНП "ЦПМСД№2"СМР;
-10,3 тис.грн. - економія видатків .
</t>
  </si>
  <si>
    <t>Відхилення відбулось відповідно до кількості звернень.</t>
  </si>
  <si>
    <t>Економія  видатків в процесі закупівель.</t>
  </si>
  <si>
    <t>Відхилення винекло за рахунок фактично виписаних рахунків.</t>
  </si>
  <si>
    <t>Закуплено більше обладнання.</t>
  </si>
  <si>
    <t>Економія коштів.</t>
  </si>
  <si>
    <t>Розрахунковий показник. Яким  при розрахунку залежить від показника, який по факту , під кінець року, зазнав змін.</t>
  </si>
  <si>
    <t>середні витрати  на одну дитину з орфанними захворюваннями</t>
  </si>
  <si>
    <t>кількість дітей хворих на ювенальний ревматоїдний артрит, які отримають дороговартісні препарати</t>
  </si>
  <si>
    <t>Відхилення виникло по КЕКВ 2271 Оплата теплопостачання  у зв'язку  із розрахунку ціни за 1Гкал.</t>
  </si>
  <si>
    <t>від 05 червня 2025 року № 5824 - МР</t>
  </si>
  <si>
    <t xml:space="preserve">Секретар Сумської міської ради </t>
  </si>
  <si>
    <t>Артем КОБЗАР</t>
  </si>
  <si>
    <t>Виконавець: Олена ЧУМАЧЕНКО __________</t>
  </si>
  <si>
    <t>до рішення виконавчого комітету Сумської міської ради "Про хід виконання комплексної Програми Сумської міської територіальної громади «Охорона здоров'я» на 2022-2024 роки», затвердженої рішенням Сумської міської ради від 26 січня 2022 року № 2713 - МР (зі змінами), за підсумками 2023 року"</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</si>
</sst>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00"/>
  </numFmts>
  <fonts count="21" x14ac:knownFonts="1">
    <font>
      <sz val="11"/>
      <color theme="1"/>
      <name val="Calibri"/>
      <family val="2"/>
      <scheme val="minor"/>
    </font>
    <font>
      <sz val="10"/>
      <color theme="1"/>
      <name val="Times New Roman"/>
      <family val="1"/>
      <charset val="204"/>
    </font>
    <font>
      <sz val="11"/>
      <color theme="1"/>
      <name val="Times New Roman"/>
      <family val="1"/>
      <charset val="204"/>
    </font>
    <font>
      <sz val="12"/>
      <name val="Times New Roman"/>
      <family val="1"/>
      <charset val="204"/>
    </font>
    <font>
      <sz val="8"/>
      <name val="Arial"/>
      <family val="2"/>
      <charset val="204"/>
    </font>
    <font>
      <b/>
      <sz val="11"/>
      <color theme="1"/>
      <name val="Times New Roman"/>
      <family val="1"/>
      <charset val="204"/>
    </font>
    <font>
      <sz val="14"/>
      <color theme="1"/>
      <name val="Times New Roman"/>
      <family val="1"/>
      <charset val="204"/>
    </font>
    <font>
      <sz val="12"/>
      <color theme="1"/>
      <name val="Times New Roman"/>
      <family val="1"/>
      <charset val="204"/>
    </font>
    <font>
      <b/>
      <sz val="14"/>
      <color theme="1"/>
      <name val="Times New Roman"/>
      <family val="1"/>
      <charset val="204"/>
    </font>
    <font>
      <b/>
      <sz val="12"/>
      <color theme="1"/>
      <name val="Times New Roman"/>
      <family val="1"/>
      <charset val="204"/>
    </font>
    <font>
      <sz val="12"/>
      <color rgb="FFFF0000"/>
      <name val="Times New Roman"/>
      <family val="1"/>
      <charset val="204"/>
    </font>
    <font>
      <sz val="11"/>
      <color indexed="8"/>
      <name val="Times New Roman"/>
      <family val="1"/>
      <charset val="204"/>
    </font>
    <font>
      <u/>
      <sz val="14"/>
      <color theme="1"/>
      <name val="Times New Roman"/>
      <family val="1"/>
      <charset val="204"/>
    </font>
    <font>
      <sz val="14"/>
      <name val="Times New Roman"/>
      <family val="1"/>
      <charset val="204"/>
    </font>
    <font>
      <u/>
      <sz val="12"/>
      <color theme="1"/>
      <name val="Times New Roman"/>
      <family val="1"/>
      <charset val="204"/>
    </font>
    <font>
      <sz val="28"/>
      <color rgb="FFFF0000"/>
      <name val="Times New Roman"/>
      <family val="1"/>
      <charset val="204"/>
    </font>
    <font>
      <sz val="36"/>
      <color rgb="FFFF0000"/>
      <name val="Times New Roman"/>
      <family val="1"/>
      <charset val="204"/>
    </font>
    <font>
      <sz val="16"/>
      <color theme="1"/>
      <name val="Times New Roman"/>
      <family val="1"/>
      <charset val="204"/>
    </font>
    <font>
      <sz val="12"/>
      <color theme="1"/>
      <name val="Calibri"/>
      <family val="2"/>
      <scheme val="minor"/>
    </font>
    <font>
      <b/>
      <sz val="12"/>
      <name val="Times New Roman"/>
      <family val="1"/>
      <charset val="204"/>
    </font>
    <font>
      <b/>
      <sz val="16"/>
      <color theme="1"/>
      <name val="Times New Roman"/>
      <family val="1"/>
      <charset val="204"/>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3" fillId="0" borderId="0"/>
    <xf numFmtId="0" fontId="4" fillId="0" borderId="0">
      <alignment horizontal="left"/>
    </xf>
    <xf numFmtId="0" fontId="3" fillId="0" borderId="0"/>
  </cellStyleXfs>
  <cellXfs count="134">
    <xf numFmtId="0" fontId="0" fillId="0" borderId="0" xfId="0"/>
    <xf numFmtId="0" fontId="6" fillId="2" borderId="0" xfId="0" applyFont="1" applyFill="1"/>
    <xf numFmtId="0" fontId="2" fillId="2" borderId="0" xfId="0" applyFont="1" applyFill="1"/>
    <xf numFmtId="0" fontId="2" fillId="2" borderId="1" xfId="0" applyFont="1" applyFill="1" applyBorder="1"/>
    <xf numFmtId="0" fontId="2" fillId="2" borderId="1" xfId="0" applyFont="1" applyFill="1" applyBorder="1" applyAlignment="1">
      <alignment vertical="top" wrapText="1"/>
    </xf>
    <xf numFmtId="0" fontId="7" fillId="2" borderId="1" xfId="0" applyFont="1" applyFill="1" applyBorder="1" applyAlignment="1">
      <alignment vertical="top" wrapText="1"/>
    </xf>
    <xf numFmtId="165" fontId="3" fillId="2" borderId="1" xfId="0" applyNumberFormat="1" applyFont="1" applyFill="1" applyBorder="1" applyAlignment="1">
      <alignment vertical="top" wrapText="1"/>
    </xf>
    <xf numFmtId="0" fontId="3" fillId="2" borderId="1" xfId="0" applyFont="1" applyFill="1" applyBorder="1" applyAlignment="1">
      <alignment horizontal="left" vertical="top" wrapText="1"/>
    </xf>
    <xf numFmtId="0" fontId="3" fillId="2" borderId="1" xfId="0" applyNumberFormat="1" applyFont="1" applyFill="1" applyBorder="1" applyAlignment="1">
      <alignment horizontal="left" vertical="top" wrapText="1"/>
    </xf>
    <xf numFmtId="164" fontId="7" fillId="2" borderId="1" xfId="0" applyNumberFormat="1" applyFont="1" applyFill="1" applyBorder="1" applyAlignment="1">
      <alignment vertical="top" wrapText="1"/>
    </xf>
    <xf numFmtId="165" fontId="3" fillId="2" borderId="1" xfId="0" applyNumberFormat="1" applyFont="1" applyFill="1" applyBorder="1" applyAlignment="1">
      <alignment horizontal="left" vertical="top" wrapText="1"/>
    </xf>
    <xf numFmtId="0" fontId="7" fillId="2" borderId="1" xfId="0" applyFont="1" applyFill="1" applyBorder="1"/>
    <xf numFmtId="0" fontId="3" fillId="2" borderId="1" xfId="3" applyFont="1" applyFill="1" applyBorder="1" applyAlignment="1">
      <alignment vertical="top" wrapText="1"/>
    </xf>
    <xf numFmtId="0" fontId="7" fillId="2" borderId="0" xfId="0" applyFont="1" applyFill="1"/>
    <xf numFmtId="0" fontId="9" fillId="2" borderId="1" xfId="0" applyFont="1" applyFill="1" applyBorder="1"/>
    <xf numFmtId="0" fontId="7" fillId="2" borderId="1" xfId="0" applyFont="1" applyFill="1" applyBorder="1" applyAlignment="1">
      <alignment horizontal="center"/>
    </xf>
    <xf numFmtId="0" fontId="9" fillId="2" borderId="1" xfId="0" applyFont="1" applyFill="1" applyBorder="1" applyAlignment="1">
      <alignment wrapText="1"/>
    </xf>
    <xf numFmtId="164" fontId="9" fillId="2" borderId="1" xfId="0" applyNumberFormat="1" applyFont="1" applyFill="1" applyBorder="1"/>
    <xf numFmtId="164" fontId="7" fillId="2" borderId="1" xfId="0" applyNumberFormat="1" applyFont="1" applyFill="1" applyBorder="1"/>
    <xf numFmtId="0" fontId="9" fillId="2" borderId="1" xfId="0" applyFont="1" applyFill="1" applyBorder="1" applyAlignment="1">
      <alignment vertical="top" wrapText="1"/>
    </xf>
    <xf numFmtId="164" fontId="7" fillId="2" borderId="0" xfId="0" applyNumberFormat="1" applyFont="1" applyFill="1"/>
    <xf numFmtId="164" fontId="9" fillId="2" borderId="1" xfId="0" applyNumberFormat="1" applyFont="1" applyFill="1" applyBorder="1" applyAlignment="1">
      <alignment vertical="top" wrapText="1"/>
    </xf>
    <xf numFmtId="49" fontId="2" fillId="2" borderId="1" xfId="0" applyNumberFormat="1" applyFont="1" applyFill="1" applyBorder="1" applyAlignment="1">
      <alignment horizontal="left" vertical="top" wrapText="1"/>
    </xf>
    <xf numFmtId="166" fontId="7" fillId="2" borderId="0" xfId="0" applyNumberFormat="1" applyFont="1" applyFill="1"/>
    <xf numFmtId="164" fontId="10" fillId="2" borderId="0" xfId="0" applyNumberFormat="1" applyFont="1" applyFill="1"/>
    <xf numFmtId="2" fontId="7" fillId="2" borderId="0" xfId="0" applyNumberFormat="1" applyFont="1" applyFill="1"/>
    <xf numFmtId="2" fontId="10" fillId="2" borderId="0" xfId="0" applyNumberFormat="1" applyFont="1" applyFill="1"/>
    <xf numFmtId="166" fontId="7" fillId="2" borderId="1" xfId="0" applyNumberFormat="1" applyFont="1" applyFill="1" applyBorder="1"/>
    <xf numFmtId="2" fontId="7" fillId="2" borderId="1" xfId="0" applyNumberFormat="1" applyFont="1" applyFill="1" applyBorder="1"/>
    <xf numFmtId="166" fontId="10" fillId="2" borderId="0" xfId="0" applyNumberFormat="1" applyFont="1" applyFill="1"/>
    <xf numFmtId="0" fontId="10" fillId="2" borderId="0" xfId="0" applyFont="1" applyFill="1"/>
    <xf numFmtId="1" fontId="10" fillId="2" borderId="0" xfId="0" applyNumberFormat="1" applyFont="1" applyFill="1"/>
    <xf numFmtId="0" fontId="1" fillId="2" borderId="0" xfId="0" applyFont="1" applyFill="1"/>
    <xf numFmtId="166" fontId="1" fillId="2" borderId="1" xfId="0" applyNumberFormat="1" applyFont="1" applyFill="1" applyBorder="1"/>
    <xf numFmtId="166" fontId="1" fillId="2" borderId="0" xfId="0" applyNumberFormat="1" applyFont="1" applyFill="1"/>
    <xf numFmtId="2" fontId="11" fillId="2" borderId="0" xfId="0" applyNumberFormat="1" applyFont="1" applyFill="1" applyAlignment="1">
      <alignment vertical="center" wrapText="1"/>
    </xf>
    <xf numFmtId="164" fontId="7" fillId="2" borderId="1" xfId="0" applyNumberFormat="1" applyFont="1" applyFill="1" applyBorder="1" applyAlignment="1">
      <alignment vertical="top"/>
    </xf>
    <xf numFmtId="0" fontId="15" fillId="2" borderId="0" xfId="0" applyFont="1" applyFill="1" applyAlignment="1">
      <alignment vertical="center"/>
    </xf>
    <xf numFmtId="0" fontId="16" fillId="2" borderId="0" xfId="0" applyFont="1" applyFill="1" applyAlignment="1">
      <alignment vertical="center" wrapText="1"/>
    </xf>
    <xf numFmtId="0" fontId="6" fillId="2" borderId="0" xfId="0" applyFont="1" applyFill="1" applyAlignment="1">
      <alignment horizontal="center"/>
    </xf>
    <xf numFmtId="0" fontId="6" fillId="2" borderId="0" xfId="0" applyFont="1" applyFill="1" applyAlignment="1">
      <alignment horizontal="right"/>
    </xf>
    <xf numFmtId="1" fontId="7" fillId="2" borderId="0" xfId="0" applyNumberFormat="1" applyFont="1" applyFill="1"/>
    <xf numFmtId="0" fontId="17" fillId="2" borderId="0" xfId="0" applyFont="1" applyFill="1"/>
    <xf numFmtId="0" fontId="7" fillId="2" borderId="1" xfId="0" applyFont="1" applyFill="1" applyBorder="1" applyAlignment="1">
      <alignment horizontal="left" vertical="top" wrapText="1"/>
    </xf>
    <xf numFmtId="0" fontId="9" fillId="2" borderId="1" xfId="0" applyFont="1" applyFill="1" applyBorder="1" applyAlignment="1">
      <alignment horizontal="center" wrapText="1"/>
    </xf>
    <xf numFmtId="0" fontId="5" fillId="2" borderId="1" xfId="0" applyFont="1" applyFill="1" applyBorder="1" applyAlignment="1">
      <alignment horizontal="center"/>
    </xf>
    <xf numFmtId="0" fontId="7" fillId="2" borderId="0" xfId="0" applyFont="1" applyFill="1" applyAlignment="1">
      <alignment horizontal="left"/>
    </xf>
    <xf numFmtId="165" fontId="3" fillId="2" borderId="2" xfId="0" applyNumberFormat="1" applyFont="1" applyFill="1" applyBorder="1" applyAlignment="1">
      <alignment horizontal="left" vertical="top" wrapText="1"/>
    </xf>
    <xf numFmtId="0" fontId="9" fillId="2" borderId="1" xfId="0" applyFont="1" applyFill="1" applyBorder="1" applyAlignment="1">
      <alignment horizontal="center" vertical="top" wrapText="1"/>
    </xf>
    <xf numFmtId="0" fontId="2" fillId="2" borderId="1" xfId="0" applyFont="1" applyFill="1" applyBorder="1" applyAlignment="1">
      <alignment horizontal="left" vertical="top" wrapText="1"/>
    </xf>
    <xf numFmtId="0" fontId="7" fillId="2" borderId="0" xfId="0" applyFont="1" applyFill="1" applyAlignment="1">
      <alignment vertical="top" wrapText="1"/>
    </xf>
    <xf numFmtId="164" fontId="7" fillId="2" borderId="1" xfId="0" applyNumberFormat="1" applyFont="1" applyFill="1" applyBorder="1" applyAlignment="1">
      <alignment vertical="top" wrapText="1" shrinkToFit="1"/>
    </xf>
    <xf numFmtId="0" fontId="7" fillId="2" borderId="0" xfId="0" applyFont="1" applyFill="1" applyAlignment="1">
      <alignment horizontal="right"/>
    </xf>
    <xf numFmtId="0" fontId="14" fillId="2" borderId="0" xfId="0" applyFont="1" applyFill="1" applyBorder="1" applyAlignment="1">
      <alignment horizontal="center"/>
    </xf>
    <xf numFmtId="0" fontId="7" fillId="2" borderId="0" xfId="0" applyFont="1" applyFill="1" applyBorder="1" applyAlignment="1">
      <alignment horizontal="right"/>
    </xf>
    <xf numFmtId="0" fontId="7" fillId="2" borderId="1" xfId="0" applyFont="1" applyFill="1" applyBorder="1" applyAlignment="1">
      <alignment horizontal="center" vertical="center"/>
    </xf>
    <xf numFmtId="1" fontId="7" fillId="2" borderId="1" xfId="0" applyNumberFormat="1" applyFont="1" applyFill="1" applyBorder="1" applyAlignment="1">
      <alignment horizontal="center"/>
    </xf>
    <xf numFmtId="1" fontId="7" fillId="2" borderId="1" xfId="0" applyNumberFormat="1" applyFont="1" applyFill="1" applyBorder="1" applyAlignment="1">
      <alignment vertical="top" wrapText="1"/>
    </xf>
    <xf numFmtId="0" fontId="9" fillId="2" borderId="1" xfId="0" applyFont="1" applyFill="1" applyBorder="1" applyAlignment="1"/>
    <xf numFmtId="164" fontId="9" fillId="2" borderId="1" xfId="0" applyNumberFormat="1" applyFont="1" applyFill="1" applyBorder="1" applyAlignment="1"/>
    <xf numFmtId="0" fontId="7" fillId="2" borderId="1" xfId="0" applyFont="1" applyFill="1" applyBorder="1" applyAlignment="1">
      <alignment horizontal="left"/>
    </xf>
    <xf numFmtId="0" fontId="7" fillId="2" borderId="1" xfId="0" applyFont="1" applyFill="1" applyBorder="1" applyAlignment="1">
      <alignment horizontal="right" vertical="top" wrapText="1"/>
    </xf>
    <xf numFmtId="164" fontId="9" fillId="2" borderId="1" xfId="0" applyNumberFormat="1" applyFont="1" applyFill="1" applyBorder="1" applyAlignment="1">
      <alignment horizontal="right" vertical="top" wrapText="1"/>
    </xf>
    <xf numFmtId="1" fontId="7" fillId="2" borderId="1" xfId="0" applyNumberFormat="1" applyFont="1" applyFill="1" applyBorder="1" applyAlignment="1">
      <alignment horizontal="right" vertical="top" wrapText="1"/>
    </xf>
    <xf numFmtId="164" fontId="9" fillId="2" borderId="1" xfId="0" applyNumberFormat="1" applyFont="1" applyFill="1" applyBorder="1" applyAlignment="1">
      <alignment horizontal="left"/>
    </xf>
    <xf numFmtId="1" fontId="7" fillId="2" borderId="0" xfId="0" applyNumberFormat="1" applyFont="1" applyFill="1" applyBorder="1" applyAlignment="1">
      <alignment horizontal="right"/>
    </xf>
    <xf numFmtId="1" fontId="9" fillId="2" borderId="1" xfId="0" applyNumberFormat="1" applyFont="1" applyFill="1" applyBorder="1" applyAlignment="1">
      <alignment horizontal="right"/>
    </xf>
    <xf numFmtId="1" fontId="3" fillId="2" borderId="1" xfId="0" applyNumberFormat="1" applyFont="1" applyFill="1" applyBorder="1" applyAlignment="1">
      <alignment vertical="top" wrapText="1"/>
    </xf>
    <xf numFmtId="2" fontId="7" fillId="2" borderId="1" xfId="0" applyNumberFormat="1" applyFont="1" applyFill="1" applyBorder="1" applyAlignment="1">
      <alignment vertical="top" wrapText="1"/>
    </xf>
    <xf numFmtId="3" fontId="3" fillId="2" borderId="1" xfId="0" applyNumberFormat="1" applyFont="1" applyFill="1" applyBorder="1" applyAlignment="1">
      <alignment horizontal="left" vertical="top" wrapText="1"/>
    </xf>
    <xf numFmtId="3" fontId="3" fillId="2" borderId="1" xfId="1" applyNumberFormat="1" applyFont="1" applyFill="1" applyBorder="1" applyAlignment="1">
      <alignment horizontal="left" vertical="top" wrapText="1"/>
    </xf>
    <xf numFmtId="3" fontId="3" fillId="2" borderId="1" xfId="2" applyNumberFormat="1" applyFont="1" applyFill="1" applyBorder="1" applyAlignment="1">
      <alignment horizontal="left" vertical="top" wrapText="1"/>
    </xf>
    <xf numFmtId="1" fontId="9" fillId="2" borderId="1" xfId="0" applyNumberFormat="1" applyFont="1" applyFill="1" applyBorder="1"/>
    <xf numFmtId="0" fontId="7" fillId="2" borderId="1" xfId="0" applyFont="1" applyFill="1" applyBorder="1" applyAlignment="1"/>
    <xf numFmtId="1" fontId="7" fillId="2" borderId="1" xfId="0" applyNumberFormat="1" applyFont="1" applyFill="1" applyBorder="1"/>
    <xf numFmtId="3" fontId="19" fillId="2" borderId="1" xfId="0" applyNumberFormat="1" applyFont="1" applyFill="1" applyBorder="1" applyAlignment="1">
      <alignment horizontal="left" vertical="top" wrapText="1"/>
    </xf>
    <xf numFmtId="0" fontId="7" fillId="2" borderId="1" xfId="0" applyFont="1" applyFill="1" applyBorder="1" applyAlignment="1">
      <alignment horizontal="center" vertical="top" wrapText="1"/>
    </xf>
    <xf numFmtId="2" fontId="9" fillId="2" borderId="1" xfId="0" applyNumberFormat="1" applyFont="1" applyFill="1" applyBorder="1" applyAlignment="1">
      <alignment vertical="top" wrapText="1"/>
    </xf>
    <xf numFmtId="4" fontId="3" fillId="2" borderId="1" xfId="0" applyNumberFormat="1" applyFont="1" applyFill="1" applyBorder="1" applyAlignment="1">
      <alignment horizontal="right" vertical="top" wrapText="1"/>
    </xf>
    <xf numFmtId="164" fontId="9" fillId="2" borderId="1" xfId="0" applyNumberFormat="1" applyFont="1" applyFill="1" applyBorder="1" applyAlignment="1">
      <alignment horizontal="center" vertical="top" wrapText="1"/>
    </xf>
    <xf numFmtId="1" fontId="7" fillId="2" borderId="1" xfId="0" applyNumberFormat="1" applyFont="1" applyFill="1" applyBorder="1" applyAlignment="1">
      <alignment horizontal="center" vertical="top" wrapText="1"/>
    </xf>
    <xf numFmtId="0" fontId="3" fillId="2" borderId="1" xfId="0" applyNumberFormat="1" applyFont="1" applyFill="1" applyBorder="1" applyAlignment="1">
      <alignment horizontal="left" vertical="top" wrapText="1" shrinkToFit="1"/>
    </xf>
    <xf numFmtId="0" fontId="3" fillId="2" borderId="6" xfId="0" applyNumberFormat="1" applyFont="1" applyFill="1" applyBorder="1" applyAlignment="1">
      <alignment horizontal="left" vertical="top" wrapText="1" shrinkToFit="1"/>
    </xf>
    <xf numFmtId="0" fontId="18" fillId="2" borderId="6" xfId="0" applyNumberFormat="1" applyFont="1" applyFill="1" applyBorder="1" applyAlignment="1">
      <alignment horizontal="left" vertical="top" wrapText="1" shrinkToFit="1"/>
    </xf>
    <xf numFmtId="0" fontId="18" fillId="2" borderId="7" xfId="0" applyNumberFormat="1" applyFont="1" applyFill="1" applyBorder="1" applyAlignment="1">
      <alignment horizontal="left" vertical="top" wrapText="1" shrinkToFit="1"/>
    </xf>
    <xf numFmtId="164" fontId="7" fillId="2" borderId="1" xfId="0" applyNumberFormat="1" applyFont="1" applyFill="1" applyBorder="1" applyAlignment="1">
      <alignment horizontal="right" vertical="top" wrapText="1"/>
    </xf>
    <xf numFmtId="0" fontId="9" fillId="2" borderId="1" xfId="0" applyFont="1" applyFill="1" applyBorder="1" applyAlignment="1">
      <alignment horizontal="left"/>
    </xf>
    <xf numFmtId="0" fontId="9" fillId="2" borderId="1" xfId="0" applyFont="1" applyFill="1" applyBorder="1" applyAlignment="1">
      <alignment horizontal="left" vertical="top" wrapText="1"/>
    </xf>
    <xf numFmtId="164" fontId="7" fillId="2" borderId="1" xfId="0" applyNumberFormat="1" applyFont="1" applyFill="1" applyBorder="1" applyAlignment="1">
      <alignment horizontal="left" vertical="top" wrapText="1"/>
    </xf>
    <xf numFmtId="0" fontId="9" fillId="2" borderId="1" xfId="0" applyFont="1" applyFill="1" applyBorder="1" applyAlignment="1">
      <alignment horizontal="right"/>
    </xf>
    <xf numFmtId="0" fontId="9" fillId="2" borderId="1" xfId="0" applyFont="1" applyFill="1" applyBorder="1" applyAlignment="1">
      <alignment horizontal="right" vertical="top" wrapText="1"/>
    </xf>
    <xf numFmtId="1" fontId="9" fillId="2" borderId="1" xfId="0" applyNumberFormat="1" applyFont="1" applyFill="1" applyBorder="1" applyAlignment="1">
      <alignment horizontal="right" vertical="top" wrapText="1"/>
    </xf>
    <xf numFmtId="0" fontId="3" fillId="2" borderId="1" xfId="0" applyFont="1" applyFill="1" applyBorder="1" applyAlignment="1">
      <alignment vertical="top" wrapText="1"/>
    </xf>
    <xf numFmtId="164" fontId="19" fillId="2" borderId="1" xfId="0" applyNumberFormat="1" applyFont="1" applyFill="1" applyBorder="1" applyAlignment="1">
      <alignment vertical="top" wrapText="1"/>
    </xf>
    <xf numFmtId="3" fontId="3" fillId="2" borderId="1" xfId="0" applyNumberFormat="1" applyFont="1" applyFill="1" applyBorder="1" applyAlignment="1">
      <alignment vertical="top" wrapText="1"/>
    </xf>
    <xf numFmtId="0" fontId="7" fillId="2" borderId="0" xfId="0" applyFont="1" applyFill="1" applyAlignment="1">
      <alignment horizontal="justify" vertical="top" wrapText="1"/>
    </xf>
    <xf numFmtId="0" fontId="17" fillId="2" borderId="0" xfId="0" applyFont="1" applyFill="1" applyAlignment="1">
      <alignment horizontal="right"/>
    </xf>
    <xf numFmtId="0" fontId="9" fillId="2" borderId="1" xfId="0" applyFont="1" applyFill="1" applyBorder="1" applyAlignment="1">
      <alignment horizontal="center" vertical="top" wrapText="1"/>
    </xf>
    <xf numFmtId="0" fontId="7" fillId="2" borderId="0" xfId="0" applyFont="1" applyFill="1" applyAlignment="1">
      <alignment horizontal="justify" vertical="top" wrapText="1"/>
    </xf>
    <xf numFmtId="0" fontId="7" fillId="2" borderId="0" xfId="0" applyFont="1" applyFill="1" applyAlignment="1">
      <alignment horizontal="left" vertical="top" wrapText="1"/>
    </xf>
    <xf numFmtId="0" fontId="7" fillId="2" borderId="0" xfId="0" applyFont="1" applyFill="1" applyAlignment="1">
      <alignment horizontal="left"/>
    </xf>
    <xf numFmtId="0" fontId="13" fillId="2" borderId="0" xfId="0" applyFont="1" applyFill="1" applyAlignment="1">
      <alignment horizontal="center"/>
    </xf>
    <xf numFmtId="0" fontId="7" fillId="2" borderId="2" xfId="0" applyFont="1" applyFill="1" applyBorder="1" applyAlignment="1">
      <alignment horizontal="left" vertical="top" wrapText="1"/>
    </xf>
    <xf numFmtId="0" fontId="7" fillId="2" borderId="4" xfId="0" applyFont="1" applyFill="1" applyBorder="1" applyAlignment="1">
      <alignment horizontal="left" vertical="top" wrapText="1"/>
    </xf>
    <xf numFmtId="165" fontId="3" fillId="2" borderId="2" xfId="0" applyNumberFormat="1" applyFont="1" applyFill="1" applyBorder="1" applyAlignment="1">
      <alignment horizontal="left" vertical="top" wrapText="1"/>
    </xf>
    <xf numFmtId="165" fontId="3" fillId="2" borderId="3" xfId="0" applyNumberFormat="1" applyFont="1" applyFill="1" applyBorder="1" applyAlignment="1">
      <alignment horizontal="left" vertical="top" wrapText="1"/>
    </xf>
    <xf numFmtId="165" fontId="3" fillId="2" borderId="4" xfId="0" applyNumberFormat="1" applyFont="1" applyFill="1" applyBorder="1" applyAlignment="1">
      <alignment horizontal="left" vertical="top" wrapText="1"/>
    </xf>
    <xf numFmtId="0" fontId="7" fillId="2" borderId="3" xfId="0" applyFont="1" applyFill="1" applyBorder="1" applyAlignment="1">
      <alignment horizontal="left" vertical="top" wrapText="1"/>
    </xf>
    <xf numFmtId="0" fontId="8" fillId="2" borderId="0" xfId="0" applyFont="1" applyFill="1" applyAlignment="1">
      <alignment horizontal="center"/>
    </xf>
    <xf numFmtId="0" fontId="6" fillId="2" borderId="0" xfId="0" applyFont="1" applyFill="1" applyAlignment="1">
      <alignment horizontal="left" wrapText="1"/>
    </xf>
    <xf numFmtId="0" fontId="9" fillId="2" borderId="1" xfId="0" applyFont="1" applyFill="1" applyBorder="1" applyAlignment="1">
      <alignment horizontal="center"/>
    </xf>
    <xf numFmtId="0" fontId="9" fillId="2" borderId="5" xfId="0" applyFont="1" applyFill="1" applyBorder="1" applyAlignment="1">
      <alignment horizontal="center"/>
    </xf>
    <xf numFmtId="0" fontId="9" fillId="2" borderId="6" xfId="0" applyFont="1" applyFill="1" applyBorder="1" applyAlignment="1">
      <alignment horizontal="center"/>
    </xf>
    <xf numFmtId="0" fontId="9" fillId="2" borderId="7" xfId="0" applyFont="1" applyFill="1" applyBorder="1" applyAlignment="1">
      <alignment horizontal="center"/>
    </xf>
    <xf numFmtId="0" fontId="7" fillId="2" borderId="1" xfId="0" applyFont="1" applyFill="1" applyBorder="1" applyAlignment="1">
      <alignment horizontal="left" vertical="top" wrapText="1"/>
    </xf>
    <xf numFmtId="0" fontId="9" fillId="2" borderId="1" xfId="0" applyFont="1" applyFill="1" applyBorder="1" applyAlignment="1">
      <alignment horizontal="center" wrapText="1"/>
    </xf>
    <xf numFmtId="0" fontId="5" fillId="2" borderId="1" xfId="0" applyFont="1" applyFill="1" applyBorder="1" applyAlignment="1">
      <alignment horizontal="center"/>
    </xf>
    <xf numFmtId="0" fontId="9" fillId="2" borderId="1" xfId="0" applyFont="1" applyFill="1" applyBorder="1" applyAlignment="1">
      <alignment horizontal="left"/>
    </xf>
    <xf numFmtId="0" fontId="7" fillId="2" borderId="1" xfId="0" applyFont="1" applyFill="1" applyBorder="1" applyAlignment="1">
      <alignment horizontal="center" vertical="top" wrapText="1"/>
    </xf>
    <xf numFmtId="0" fontId="7" fillId="2" borderId="2" xfId="0" applyFont="1" applyFill="1" applyBorder="1" applyAlignment="1">
      <alignment horizontal="center" vertical="top" wrapText="1"/>
    </xf>
    <xf numFmtId="0" fontId="7" fillId="2" borderId="3" xfId="0" applyFont="1" applyFill="1" applyBorder="1" applyAlignment="1">
      <alignment horizontal="center" vertical="top" wrapText="1"/>
    </xf>
    <xf numFmtId="0" fontId="7" fillId="2" borderId="4" xfId="0" applyFont="1" applyFill="1" applyBorder="1" applyAlignment="1">
      <alignment horizontal="center" vertical="top" wrapText="1"/>
    </xf>
    <xf numFmtId="0" fontId="6" fillId="2" borderId="0" xfId="0" applyFont="1" applyFill="1" applyAlignment="1">
      <alignment horizontal="right"/>
    </xf>
    <xf numFmtId="0" fontId="3" fillId="2" borderId="1" xfId="0" applyFont="1" applyFill="1" applyBorder="1" applyAlignment="1">
      <alignment horizontal="center" vertical="top" wrapText="1"/>
    </xf>
    <xf numFmtId="0" fontId="9" fillId="2" borderId="1" xfId="0" applyFont="1" applyFill="1" applyBorder="1" applyAlignment="1">
      <alignment horizontal="left" vertical="top" wrapText="1"/>
    </xf>
    <xf numFmtId="0" fontId="3" fillId="2" borderId="5" xfId="0" applyNumberFormat="1" applyFont="1" applyFill="1" applyBorder="1" applyAlignment="1">
      <alignment horizontal="left" vertical="center" wrapText="1" shrinkToFit="1"/>
    </xf>
    <xf numFmtId="0" fontId="3" fillId="2" borderId="6" xfId="0" applyNumberFormat="1" applyFont="1" applyFill="1" applyBorder="1" applyAlignment="1">
      <alignment horizontal="left" vertical="center" wrapText="1" shrinkToFit="1"/>
    </xf>
    <xf numFmtId="0" fontId="18" fillId="2" borderId="6" xfId="0" applyNumberFormat="1" applyFont="1" applyFill="1" applyBorder="1" applyAlignment="1">
      <alignment horizontal="left" vertical="center" wrapText="1" shrinkToFit="1"/>
    </xf>
    <xf numFmtId="0" fontId="18" fillId="2" borderId="7" xfId="0" applyNumberFormat="1" applyFont="1" applyFill="1" applyBorder="1" applyAlignment="1">
      <alignment horizontal="left" vertical="center" wrapText="1" shrinkToFit="1"/>
    </xf>
    <xf numFmtId="0" fontId="7" fillId="2" borderId="0" xfId="0" applyFont="1" applyFill="1" applyAlignment="1">
      <alignment horizontal="right"/>
    </xf>
    <xf numFmtId="0" fontId="20" fillId="2" borderId="0" xfId="0" applyFont="1" applyFill="1" applyAlignment="1">
      <alignment horizontal="center"/>
    </xf>
    <xf numFmtId="0" fontId="12" fillId="2" borderId="0" xfId="0" applyFont="1" applyFill="1" applyBorder="1" applyAlignment="1">
      <alignment horizontal="center"/>
    </xf>
    <xf numFmtId="164" fontId="7" fillId="2" borderId="1" xfId="0" applyNumberFormat="1" applyFont="1" applyFill="1" applyBorder="1" applyAlignment="1">
      <alignment horizontal="center" vertical="top" wrapText="1"/>
    </xf>
    <xf numFmtId="0" fontId="14" fillId="2" borderId="0" xfId="0" applyFont="1" applyFill="1" applyAlignment="1">
      <alignment horizontal="center"/>
    </xf>
  </cellXfs>
  <cellStyles count="4">
    <cellStyle name="Обычный" xfId="0" builtinId="0"/>
    <cellStyle name="Обычный 4" xfId="2"/>
    <cellStyle name="Обычный_Запит ПЦМ 2012 свод4 по уоз" xfId="1"/>
    <cellStyle name="Обычный_Лист1"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W132"/>
  <sheetViews>
    <sheetView tabSelected="1" view="pageBreakPreview" zoomScale="70" zoomScaleNormal="70" zoomScaleSheetLayoutView="70" workbookViewId="0">
      <selection activeCell="D14" sqref="D14"/>
    </sheetView>
  </sheetViews>
  <sheetFormatPr defaultColWidth="9.109375" defaultRowHeight="15.6" x14ac:dyDescent="0.3"/>
  <cols>
    <col min="1" max="1" width="30.44140625" style="13" customWidth="1"/>
    <col min="2" max="2" width="9.33203125" style="2" bestFit="1" customWidth="1"/>
    <col min="3" max="3" width="46" style="13" customWidth="1"/>
    <col min="4" max="7" width="10.5546875" style="13" bestFit="1" customWidth="1"/>
    <col min="8" max="8" width="13" style="13" bestFit="1" customWidth="1"/>
    <col min="9" max="9" width="11.33203125" style="13" customWidth="1"/>
    <col min="10" max="10" width="11.6640625" style="13" bestFit="1" customWidth="1"/>
    <col min="11" max="11" width="12.109375" style="13" customWidth="1"/>
    <col min="12" max="12" width="10.88671875" style="13" customWidth="1"/>
    <col min="13" max="13" width="9.33203125" style="13" hidden="1" customWidth="1"/>
    <col min="14" max="14" width="13" style="13" hidden="1" customWidth="1"/>
    <col min="15" max="15" width="9.33203125" style="13" hidden="1" customWidth="1"/>
    <col min="16" max="16" width="10.5546875" style="13" hidden="1" customWidth="1"/>
    <col min="17" max="20" width="9.33203125" style="13" hidden="1" customWidth="1"/>
    <col min="21" max="21" width="15.88671875" style="13" customWidth="1"/>
    <col min="22" max="16384" width="9.109375" style="13"/>
  </cols>
  <sheetData>
    <row r="1" spans="1:12" x14ac:dyDescent="0.3">
      <c r="I1" s="100" t="s">
        <v>338</v>
      </c>
      <c r="J1" s="100"/>
      <c r="K1" s="100"/>
      <c r="L1" s="100"/>
    </row>
    <row r="2" spans="1:12" ht="111.75" customHeight="1" x14ac:dyDescent="0.3">
      <c r="I2" s="98" t="s">
        <v>409</v>
      </c>
      <c r="J2" s="98"/>
      <c r="K2" s="98"/>
      <c r="L2" s="98"/>
    </row>
    <row r="3" spans="1:12" ht="19.5" customHeight="1" x14ac:dyDescent="0.3">
      <c r="I3" s="99" t="s">
        <v>405</v>
      </c>
      <c r="J3" s="99"/>
      <c r="K3" s="99"/>
      <c r="L3" s="99"/>
    </row>
    <row r="4" spans="1:12" ht="29.25" customHeight="1" x14ac:dyDescent="0.3"/>
    <row r="5" spans="1:12" ht="17.399999999999999" x14ac:dyDescent="0.3">
      <c r="C5" s="108" t="s">
        <v>246</v>
      </c>
      <c r="D5" s="108"/>
      <c r="E5" s="108"/>
      <c r="F5" s="108"/>
    </row>
    <row r="6" spans="1:12" ht="18" x14ac:dyDescent="0.35">
      <c r="C6" s="101" t="s">
        <v>335</v>
      </c>
      <c r="D6" s="101"/>
      <c r="E6" s="101"/>
      <c r="F6" s="101"/>
    </row>
    <row r="7" spans="1:12" ht="22.5" customHeight="1" x14ac:dyDescent="0.3">
      <c r="A7" s="109" t="s">
        <v>247</v>
      </c>
      <c r="B7" s="109"/>
      <c r="C7" s="109"/>
      <c r="D7" s="109"/>
      <c r="E7" s="109"/>
      <c r="F7" s="109"/>
      <c r="G7" s="109"/>
      <c r="H7" s="109"/>
      <c r="I7" s="109"/>
      <c r="J7" s="109"/>
      <c r="K7" s="109"/>
      <c r="L7" s="109"/>
    </row>
    <row r="8" spans="1:12" ht="23.25" customHeight="1" x14ac:dyDescent="0.3">
      <c r="A8" s="109"/>
      <c r="B8" s="109"/>
      <c r="C8" s="109"/>
      <c r="D8" s="109"/>
      <c r="E8" s="109"/>
      <c r="F8" s="109"/>
      <c r="G8" s="109"/>
      <c r="H8" s="109"/>
      <c r="I8" s="109"/>
      <c r="J8" s="109"/>
      <c r="K8" s="109"/>
      <c r="L8" s="109"/>
    </row>
    <row r="9" spans="1:12" ht="20.25" customHeight="1" x14ac:dyDescent="0.35">
      <c r="A9" s="109" t="s">
        <v>248</v>
      </c>
      <c r="B9" s="109"/>
      <c r="C9" s="109"/>
      <c r="D9" s="109"/>
      <c r="E9" s="109"/>
      <c r="F9" s="109"/>
      <c r="G9" s="109"/>
      <c r="H9" s="109"/>
      <c r="I9" s="109"/>
      <c r="J9" s="109"/>
      <c r="K9" s="109"/>
      <c r="L9" s="109"/>
    </row>
    <row r="10" spans="1:12" x14ac:dyDescent="0.3">
      <c r="L10" s="13" t="s">
        <v>249</v>
      </c>
    </row>
    <row r="11" spans="1:12" ht="30" customHeight="1" x14ac:dyDescent="0.3">
      <c r="A11" s="115" t="s">
        <v>250</v>
      </c>
      <c r="B11" s="116" t="s">
        <v>0</v>
      </c>
      <c r="C11" s="110" t="s">
        <v>251</v>
      </c>
      <c r="D11" s="97" t="s">
        <v>252</v>
      </c>
      <c r="E11" s="97"/>
      <c r="F11" s="97"/>
      <c r="G11" s="97" t="s">
        <v>253</v>
      </c>
      <c r="H11" s="97"/>
      <c r="I11" s="97"/>
      <c r="J11" s="110" t="s">
        <v>254</v>
      </c>
      <c r="K11" s="110"/>
      <c r="L11" s="110"/>
    </row>
    <row r="12" spans="1:12" x14ac:dyDescent="0.3">
      <c r="A12" s="115"/>
      <c r="B12" s="116"/>
      <c r="C12" s="110"/>
      <c r="D12" s="14" t="s">
        <v>1</v>
      </c>
      <c r="E12" s="14" t="s">
        <v>2</v>
      </c>
      <c r="F12" s="14" t="s">
        <v>3</v>
      </c>
      <c r="G12" s="14" t="s">
        <v>1</v>
      </c>
      <c r="H12" s="14" t="s">
        <v>2</v>
      </c>
      <c r="I12" s="14" t="s">
        <v>3</v>
      </c>
      <c r="J12" s="14" t="s">
        <v>1</v>
      </c>
      <c r="K12" s="14" t="s">
        <v>2</v>
      </c>
      <c r="L12" s="14" t="s">
        <v>3</v>
      </c>
    </row>
    <row r="13" spans="1:12" x14ac:dyDescent="0.3">
      <c r="A13" s="44">
        <v>1</v>
      </c>
      <c r="B13" s="45">
        <v>2</v>
      </c>
      <c r="C13" s="15">
        <v>3</v>
      </c>
      <c r="D13" s="15">
        <v>4</v>
      </c>
      <c r="E13" s="15">
        <v>5</v>
      </c>
      <c r="F13" s="15">
        <v>6</v>
      </c>
      <c r="G13" s="15">
        <v>7</v>
      </c>
      <c r="H13" s="15">
        <v>8</v>
      </c>
      <c r="I13" s="15">
        <v>9</v>
      </c>
      <c r="J13" s="15">
        <v>10</v>
      </c>
      <c r="K13" s="15">
        <v>11</v>
      </c>
      <c r="L13" s="15">
        <v>12</v>
      </c>
    </row>
    <row r="14" spans="1:12" ht="46.8" x14ac:dyDescent="0.3">
      <c r="A14" s="16" t="s">
        <v>255</v>
      </c>
      <c r="B14" s="3"/>
      <c r="C14" s="11"/>
      <c r="D14" s="17">
        <f>D15+D16+D17</f>
        <v>375309.7</v>
      </c>
      <c r="E14" s="17">
        <f>E15+E16+E17</f>
        <v>116512.29999999997</v>
      </c>
      <c r="F14" s="17">
        <f>F15+F16+F17</f>
        <v>258797.40000000002</v>
      </c>
      <c r="G14" s="17">
        <f>G15+G16+G17</f>
        <v>374855.5</v>
      </c>
      <c r="H14" s="17">
        <f>H15+H16+H17</f>
        <v>116433.99999999999</v>
      </c>
      <c r="I14" s="14">
        <f t="shared" ref="I14" si="0">I15+I16+I17</f>
        <v>258421.50000000003</v>
      </c>
      <c r="J14" s="17">
        <f>J15+J16+J17</f>
        <v>305182.92499999999</v>
      </c>
      <c r="K14" s="17">
        <f>K15+K16+K17</f>
        <v>112259.8</v>
      </c>
      <c r="L14" s="17">
        <f>L15+L16+L17</f>
        <v>192923.12499999997</v>
      </c>
    </row>
    <row r="15" spans="1:12" x14ac:dyDescent="0.3">
      <c r="A15" s="11" t="s">
        <v>4</v>
      </c>
      <c r="B15" s="3"/>
      <c r="C15" s="11"/>
      <c r="D15" s="18">
        <f>D20+D65+D78+D86</f>
        <v>371995.9</v>
      </c>
      <c r="E15" s="18">
        <f>E20+E65+E78</f>
        <v>116259.59999999998</v>
      </c>
      <c r="F15" s="18">
        <f>F86</f>
        <v>255736.30000000002</v>
      </c>
      <c r="G15" s="18">
        <f>G20+G65+G78+G86</f>
        <v>371542</v>
      </c>
      <c r="H15" s="18">
        <f>H20+H65+H78</f>
        <v>116181.39999999998</v>
      </c>
      <c r="I15" s="18">
        <f>I86+I78</f>
        <v>255360.60000000003</v>
      </c>
      <c r="J15" s="18">
        <f>J20+J65+J78+J86</f>
        <v>301972.22499999998</v>
      </c>
      <c r="K15" s="18">
        <f>K20+K65+K78</f>
        <v>112110</v>
      </c>
      <c r="L15" s="18">
        <f>L78+L86</f>
        <v>189862.22499999998</v>
      </c>
    </row>
    <row r="16" spans="1:12" x14ac:dyDescent="0.3">
      <c r="A16" s="11" t="s">
        <v>280</v>
      </c>
      <c r="B16" s="3"/>
      <c r="C16" s="11"/>
      <c r="D16" s="11">
        <f>D21</f>
        <v>252.7</v>
      </c>
      <c r="E16" s="11">
        <f>E21</f>
        <v>252.7</v>
      </c>
      <c r="F16" s="11"/>
      <c r="G16" s="11">
        <f t="shared" ref="G16" si="1">G21</f>
        <v>252.6</v>
      </c>
      <c r="H16" s="11">
        <f>H21</f>
        <v>252.6</v>
      </c>
      <c r="I16" s="11"/>
      <c r="J16" s="11">
        <f>J21</f>
        <v>149.80000000000001</v>
      </c>
      <c r="K16" s="11">
        <f>K21</f>
        <v>149.80000000000001</v>
      </c>
      <c r="L16" s="11"/>
    </row>
    <row r="17" spans="1:23" x14ac:dyDescent="0.3">
      <c r="A17" s="11" t="s">
        <v>47</v>
      </c>
      <c r="B17" s="3"/>
      <c r="C17" s="11"/>
      <c r="D17" s="18">
        <f t="shared" ref="D17" si="2">D79</f>
        <v>3061.1</v>
      </c>
      <c r="E17" s="18"/>
      <c r="F17" s="18">
        <f>F79</f>
        <v>3061.1</v>
      </c>
      <c r="G17" s="11">
        <f t="shared" ref="G17" si="3">G79</f>
        <v>3060.9</v>
      </c>
      <c r="H17" s="11"/>
      <c r="I17" s="11">
        <f>I79</f>
        <v>3060.9</v>
      </c>
      <c r="J17" s="11">
        <f t="shared" ref="J17" si="4">J79</f>
        <v>3060.9</v>
      </c>
      <c r="K17" s="11"/>
      <c r="L17" s="11">
        <f>L79</f>
        <v>3060.9</v>
      </c>
    </row>
    <row r="18" spans="1:23" x14ac:dyDescent="0.3">
      <c r="A18" s="110" t="s">
        <v>217</v>
      </c>
      <c r="B18" s="110"/>
      <c r="C18" s="110"/>
      <c r="D18" s="110"/>
      <c r="E18" s="110"/>
      <c r="F18" s="110"/>
      <c r="G18" s="110"/>
      <c r="H18" s="110"/>
      <c r="I18" s="110"/>
      <c r="J18" s="110"/>
      <c r="K18" s="110"/>
      <c r="L18" s="110"/>
    </row>
    <row r="19" spans="1:23" ht="31.2" x14ac:dyDescent="0.3">
      <c r="A19" s="19" t="s">
        <v>256</v>
      </c>
      <c r="B19" s="3"/>
      <c r="C19" s="11"/>
      <c r="D19" s="17">
        <f>D20+D21</f>
        <v>92503.299999999974</v>
      </c>
      <c r="E19" s="17">
        <f>E20+E21</f>
        <v>92503.299999999974</v>
      </c>
      <c r="F19" s="17"/>
      <c r="G19" s="17">
        <f>G20+G21</f>
        <v>92448.799999999988</v>
      </c>
      <c r="H19" s="17">
        <f t="shared" ref="H19:K19" si="5">H20+H21</f>
        <v>92448.799999999988</v>
      </c>
      <c r="I19" s="17"/>
      <c r="J19" s="17">
        <f t="shared" si="5"/>
        <v>88757.6</v>
      </c>
      <c r="K19" s="17">
        <f t="shared" si="5"/>
        <v>88757.6</v>
      </c>
      <c r="L19" s="17"/>
    </row>
    <row r="20" spans="1:23" ht="15" customHeight="1" x14ac:dyDescent="0.3">
      <c r="A20" s="14" t="s">
        <v>4</v>
      </c>
      <c r="B20" s="3"/>
      <c r="C20" s="11"/>
      <c r="D20" s="9">
        <f>D23+D31+D56+D60</f>
        <v>92250.599999999977</v>
      </c>
      <c r="E20" s="9">
        <f>E23+E31+E56+E60</f>
        <v>92250.599999999977</v>
      </c>
      <c r="F20" s="9"/>
      <c r="G20" s="9">
        <f>G23+G31+G56+G60</f>
        <v>92196.199999999983</v>
      </c>
      <c r="H20" s="9">
        <f>H23+H31+H56+H60</f>
        <v>92196.199999999983</v>
      </c>
      <c r="I20" s="9"/>
      <c r="J20" s="9">
        <f>J23+J31+J56+J60</f>
        <v>88607.8</v>
      </c>
      <c r="K20" s="9">
        <f>K23+K31+K56+K60</f>
        <v>88607.8</v>
      </c>
      <c r="L20" s="11"/>
      <c r="M20" s="20">
        <f t="shared" ref="M20:T20" si="6">D24+D25+D26+D27+D28+D29+D33+D34+D35+D36+D37+D40+D41+D42+D45+D50+D53+D54+D57+D61+D62</f>
        <v>92227.099999999991</v>
      </c>
      <c r="N20" s="20">
        <f t="shared" si="6"/>
        <v>92227.099999999991</v>
      </c>
      <c r="O20" s="20">
        <f t="shared" si="6"/>
        <v>0</v>
      </c>
      <c r="P20" s="20">
        <f t="shared" si="6"/>
        <v>92172.7</v>
      </c>
      <c r="Q20" s="20">
        <f t="shared" si="6"/>
        <v>92172.7</v>
      </c>
      <c r="R20" s="20" t="e">
        <f t="shared" si="6"/>
        <v>#VALUE!</v>
      </c>
      <c r="S20" s="20">
        <f t="shared" si="6"/>
        <v>88584.3</v>
      </c>
      <c r="T20" s="20">
        <f t="shared" si="6"/>
        <v>88584.3</v>
      </c>
      <c r="U20" s="20"/>
      <c r="V20" s="20"/>
      <c r="W20" s="20"/>
    </row>
    <row r="21" spans="1:23" x14ac:dyDescent="0.3">
      <c r="A21" s="19" t="s">
        <v>280</v>
      </c>
      <c r="B21" s="3"/>
      <c r="C21" s="11"/>
      <c r="D21" s="5">
        <f>E21</f>
        <v>252.7</v>
      </c>
      <c r="E21" s="5">
        <f>E51</f>
        <v>252.7</v>
      </c>
      <c r="F21" s="5"/>
      <c r="G21" s="5">
        <f t="shared" ref="G21:G34" si="7">H21</f>
        <v>252.6</v>
      </c>
      <c r="H21" s="5">
        <f>H51</f>
        <v>252.6</v>
      </c>
      <c r="I21" s="5"/>
      <c r="J21" s="5">
        <f>K21</f>
        <v>149.80000000000001</v>
      </c>
      <c r="K21" s="5">
        <f>K51</f>
        <v>149.80000000000001</v>
      </c>
      <c r="L21" s="11"/>
    </row>
    <row r="22" spans="1:23" ht="46.8" x14ac:dyDescent="0.3">
      <c r="A22" s="16" t="s">
        <v>219</v>
      </c>
      <c r="B22" s="4"/>
      <c r="C22" s="48"/>
      <c r="D22" s="21">
        <f>D24+D25+D26+D27+D28+D29</f>
        <v>5197.5</v>
      </c>
      <c r="E22" s="21">
        <f>E24+E25+E26+E27+E28+E29</f>
        <v>5197.5</v>
      </c>
      <c r="F22" s="5"/>
      <c r="G22" s="21">
        <f t="shared" si="7"/>
        <v>5197.5</v>
      </c>
      <c r="H22" s="21">
        <f>H24+H25+H26+H27+H28+H29</f>
        <v>5197.5</v>
      </c>
      <c r="I22" s="5"/>
      <c r="J22" s="21">
        <f>J24+J26+J27+J28+J29</f>
        <v>4936</v>
      </c>
      <c r="K22" s="21">
        <f>K24+K26+K27+K28+K29</f>
        <v>4936</v>
      </c>
      <c r="L22" s="5"/>
    </row>
    <row r="23" spans="1:23" x14ac:dyDescent="0.3">
      <c r="A23" s="14" t="s">
        <v>4</v>
      </c>
      <c r="B23" s="4"/>
      <c r="C23" s="48"/>
      <c r="D23" s="21">
        <f>E23</f>
        <v>5197.5</v>
      </c>
      <c r="E23" s="21">
        <f>E24+E25+E26+E27+E28+E29</f>
        <v>5197.5</v>
      </c>
      <c r="F23" s="5"/>
      <c r="G23" s="21">
        <f t="shared" si="7"/>
        <v>5197.5</v>
      </c>
      <c r="H23" s="21">
        <f>H24+H25+H26+H27+H28+H29</f>
        <v>5197.5</v>
      </c>
      <c r="I23" s="5"/>
      <c r="J23" s="21">
        <f>K23</f>
        <v>5008.8</v>
      </c>
      <c r="K23" s="21">
        <f>K24+K25+K26+K27+K28+K29</f>
        <v>5008.8</v>
      </c>
      <c r="L23" s="5"/>
    </row>
    <row r="24" spans="1:23" ht="110.25" customHeight="1" x14ac:dyDescent="0.3">
      <c r="A24" s="5" t="s">
        <v>257</v>
      </c>
      <c r="B24" s="22" t="s">
        <v>22</v>
      </c>
      <c r="C24" s="5" t="s">
        <v>276</v>
      </c>
      <c r="D24" s="9">
        <f t="shared" ref="D24:D29" si="8">E24</f>
        <v>4555</v>
      </c>
      <c r="E24" s="9">
        <v>4555</v>
      </c>
      <c r="F24" s="5"/>
      <c r="G24" s="9">
        <f t="shared" si="7"/>
        <v>4555</v>
      </c>
      <c r="H24" s="9">
        <v>4555</v>
      </c>
      <c r="I24" s="5"/>
      <c r="J24" s="5">
        <f>K24</f>
        <v>4378.5</v>
      </c>
      <c r="K24" s="5">
        <v>4378.5</v>
      </c>
      <c r="L24" s="5"/>
    </row>
    <row r="25" spans="1:23" ht="62.4" x14ac:dyDescent="0.3">
      <c r="A25" s="5" t="s">
        <v>258</v>
      </c>
      <c r="B25" s="22" t="s">
        <v>23</v>
      </c>
      <c r="C25" s="5" t="s">
        <v>289</v>
      </c>
      <c r="D25" s="9">
        <f t="shared" si="8"/>
        <v>76.2</v>
      </c>
      <c r="E25" s="9">
        <v>76.2</v>
      </c>
      <c r="F25" s="9"/>
      <c r="G25" s="9">
        <f t="shared" si="7"/>
        <v>76.2</v>
      </c>
      <c r="H25" s="9">
        <v>76.2</v>
      </c>
      <c r="I25" s="9"/>
      <c r="J25" s="9">
        <f t="shared" ref="J25:J29" si="9">K25</f>
        <v>72.8</v>
      </c>
      <c r="K25" s="9">
        <v>72.8</v>
      </c>
      <c r="L25" s="5"/>
    </row>
    <row r="26" spans="1:23" ht="78" x14ac:dyDescent="0.3">
      <c r="A26" s="5" t="s">
        <v>259</v>
      </c>
      <c r="B26" s="22" t="s">
        <v>23</v>
      </c>
      <c r="C26" s="10" t="s">
        <v>306</v>
      </c>
      <c r="D26" s="9">
        <f t="shared" si="8"/>
        <v>339.7</v>
      </c>
      <c r="E26" s="9">
        <v>339.7</v>
      </c>
      <c r="F26" s="9"/>
      <c r="G26" s="9">
        <f t="shared" si="7"/>
        <v>339.7</v>
      </c>
      <c r="H26" s="9">
        <v>339.7</v>
      </c>
      <c r="I26" s="9"/>
      <c r="J26" s="9">
        <f t="shared" si="9"/>
        <v>331</v>
      </c>
      <c r="K26" s="9">
        <v>331</v>
      </c>
      <c r="L26" s="11"/>
    </row>
    <row r="27" spans="1:23" ht="78" x14ac:dyDescent="0.3">
      <c r="A27" s="5" t="s">
        <v>24</v>
      </c>
      <c r="B27" s="22" t="s">
        <v>23</v>
      </c>
      <c r="C27" s="5" t="s">
        <v>286</v>
      </c>
      <c r="D27" s="9">
        <f t="shared" si="8"/>
        <v>139.5</v>
      </c>
      <c r="E27" s="9">
        <v>139.5</v>
      </c>
      <c r="F27" s="9"/>
      <c r="G27" s="9">
        <f t="shared" si="7"/>
        <v>139.5</v>
      </c>
      <c r="H27" s="9">
        <v>139.5</v>
      </c>
      <c r="I27" s="9"/>
      <c r="J27" s="9">
        <f t="shared" si="9"/>
        <v>139.4</v>
      </c>
      <c r="K27" s="9">
        <v>139.4</v>
      </c>
      <c r="L27" s="11"/>
    </row>
    <row r="28" spans="1:23" ht="78" x14ac:dyDescent="0.3">
      <c r="A28" s="5" t="s">
        <v>14</v>
      </c>
      <c r="B28" s="22" t="s">
        <v>23</v>
      </c>
      <c r="C28" s="47" t="s">
        <v>287</v>
      </c>
      <c r="D28" s="9">
        <f t="shared" si="8"/>
        <v>23.1</v>
      </c>
      <c r="E28" s="9">
        <v>23.1</v>
      </c>
      <c r="F28" s="9"/>
      <c r="G28" s="9">
        <f t="shared" si="7"/>
        <v>23.1</v>
      </c>
      <c r="H28" s="9">
        <v>23.1</v>
      </c>
      <c r="I28" s="9"/>
      <c r="J28" s="9">
        <f t="shared" si="9"/>
        <v>23.1</v>
      </c>
      <c r="K28" s="9">
        <v>23.1</v>
      </c>
      <c r="L28" s="11"/>
    </row>
    <row r="29" spans="1:23" ht="62.4" x14ac:dyDescent="0.3">
      <c r="A29" s="5" t="s">
        <v>275</v>
      </c>
      <c r="B29" s="22" t="s">
        <v>23</v>
      </c>
      <c r="C29" s="5" t="s">
        <v>288</v>
      </c>
      <c r="D29" s="9">
        <f t="shared" si="8"/>
        <v>64</v>
      </c>
      <c r="E29" s="9">
        <v>64</v>
      </c>
      <c r="F29" s="9"/>
      <c r="G29" s="9">
        <f t="shared" si="7"/>
        <v>64</v>
      </c>
      <c r="H29" s="9">
        <v>64</v>
      </c>
      <c r="I29" s="9"/>
      <c r="J29" s="9">
        <f t="shared" si="9"/>
        <v>64</v>
      </c>
      <c r="K29" s="9">
        <v>64</v>
      </c>
      <c r="L29" s="11"/>
    </row>
    <row r="30" spans="1:23" ht="78" x14ac:dyDescent="0.3">
      <c r="A30" s="16" t="s">
        <v>260</v>
      </c>
      <c r="B30" s="3"/>
      <c r="C30" s="11"/>
      <c r="D30" s="21">
        <f>E30</f>
        <v>70245.399999999994</v>
      </c>
      <c r="E30" s="21">
        <f>E33+E34+E35+E36+E37+E40+E41+E42+E45+E50+E51+E53+E54+E52</f>
        <v>70245.399999999994</v>
      </c>
      <c r="F30" s="9"/>
      <c r="G30" s="9">
        <f t="shared" si="7"/>
        <v>70245</v>
      </c>
      <c r="H30" s="9">
        <f>H33+H34+H36+H37+H40+H41+H42+H45+H50+H51+H53+H54+H52</f>
        <v>70245</v>
      </c>
      <c r="I30" s="9"/>
      <c r="J30" s="21">
        <f>K30</f>
        <v>66919.900000000009</v>
      </c>
      <c r="K30" s="21">
        <f>K33+K36+K37+K40+K41+K42+K45+K50+K51+K53+K54+K52</f>
        <v>66919.900000000009</v>
      </c>
      <c r="L30" s="11"/>
    </row>
    <row r="31" spans="1:23" x14ac:dyDescent="0.3">
      <c r="A31" s="14" t="s">
        <v>4</v>
      </c>
      <c r="B31" s="3"/>
      <c r="C31" s="11"/>
      <c r="D31" s="21">
        <f>E31</f>
        <v>69992.699999999983</v>
      </c>
      <c r="E31" s="21">
        <f>E33+E34+E36+E37+E40+E41+E42+E45+E50+E53+E54+E52</f>
        <v>69992.699999999983</v>
      </c>
      <c r="F31" s="9"/>
      <c r="G31" s="21">
        <f t="shared" si="7"/>
        <v>69992.399999999994</v>
      </c>
      <c r="H31" s="21">
        <f>H33+H34+H36+H37+H40+H41+H42+H45+H50+H53+H54+H52</f>
        <v>69992.399999999994</v>
      </c>
      <c r="I31" s="9"/>
      <c r="J31" s="21">
        <f>K31</f>
        <v>66770.100000000006</v>
      </c>
      <c r="K31" s="21">
        <f>K33+K34+K36+K37+K40+K41+K42+K45+K50+K53+K54+K52</f>
        <v>66770.100000000006</v>
      </c>
      <c r="L31" s="11"/>
    </row>
    <row r="32" spans="1:23" x14ac:dyDescent="0.3">
      <c r="A32" s="19" t="s">
        <v>280</v>
      </c>
      <c r="B32" s="3"/>
      <c r="C32" s="11"/>
      <c r="D32" s="9">
        <f>E32</f>
        <v>252.7</v>
      </c>
      <c r="E32" s="9">
        <f>E51</f>
        <v>252.7</v>
      </c>
      <c r="F32" s="9"/>
      <c r="G32" s="9">
        <f t="shared" si="7"/>
        <v>252.6</v>
      </c>
      <c r="H32" s="9">
        <f>H51</f>
        <v>252.6</v>
      </c>
      <c r="I32" s="9"/>
      <c r="J32" s="9">
        <f>K32</f>
        <v>149.80000000000001</v>
      </c>
      <c r="K32" s="9">
        <f>K51</f>
        <v>149.80000000000001</v>
      </c>
      <c r="L32" s="11"/>
    </row>
    <row r="33" spans="1:12" ht="183.75" customHeight="1" x14ac:dyDescent="0.3">
      <c r="A33" s="5" t="s">
        <v>15</v>
      </c>
      <c r="B33" s="22" t="s">
        <v>25</v>
      </c>
      <c r="C33" s="5" t="s">
        <v>307</v>
      </c>
      <c r="D33" s="9">
        <f>E33</f>
        <v>43179.6</v>
      </c>
      <c r="E33" s="9">
        <v>43179.6</v>
      </c>
      <c r="F33" s="9"/>
      <c r="G33" s="9">
        <f t="shared" si="7"/>
        <v>43179.5</v>
      </c>
      <c r="H33" s="9">
        <v>43179.5</v>
      </c>
      <c r="I33" s="9" t="s">
        <v>332</v>
      </c>
      <c r="J33" s="9">
        <f>K33</f>
        <v>42351.3</v>
      </c>
      <c r="K33" s="9">
        <v>42351.3</v>
      </c>
      <c r="L33" s="11"/>
    </row>
    <row r="34" spans="1:12" ht="46.8" x14ac:dyDescent="0.3">
      <c r="A34" s="5" t="s">
        <v>16</v>
      </c>
      <c r="B34" s="22" t="s">
        <v>25</v>
      </c>
      <c r="C34" s="5" t="s">
        <v>302</v>
      </c>
      <c r="D34" s="9">
        <f t="shared" ref="D34:D37" si="10">E34</f>
        <v>318.7</v>
      </c>
      <c r="E34" s="9">
        <v>318.7</v>
      </c>
      <c r="F34" s="9"/>
      <c r="G34" s="9">
        <f t="shared" si="7"/>
        <v>318.7</v>
      </c>
      <c r="H34" s="9">
        <v>318.7</v>
      </c>
      <c r="I34" s="9"/>
      <c r="J34" s="9">
        <f>K34</f>
        <v>0</v>
      </c>
      <c r="K34" s="9">
        <v>0</v>
      </c>
      <c r="L34" s="11"/>
    </row>
    <row r="35" spans="1:12" ht="93.6" hidden="1" x14ac:dyDescent="0.3">
      <c r="A35" s="5" t="s">
        <v>17</v>
      </c>
      <c r="B35" s="22" t="s">
        <v>25</v>
      </c>
      <c r="C35" s="11"/>
      <c r="D35" s="9">
        <f t="shared" si="10"/>
        <v>0</v>
      </c>
      <c r="E35" s="9">
        <v>0</v>
      </c>
      <c r="F35" s="9"/>
      <c r="G35" s="9"/>
      <c r="H35" s="9"/>
      <c r="I35" s="9"/>
      <c r="J35" s="9"/>
      <c r="K35" s="9"/>
      <c r="L35" s="11"/>
    </row>
    <row r="36" spans="1:12" ht="140.4" x14ac:dyDescent="0.3">
      <c r="A36" s="5" t="s">
        <v>18</v>
      </c>
      <c r="B36" s="22" t="s">
        <v>23</v>
      </c>
      <c r="C36" s="10" t="s">
        <v>291</v>
      </c>
      <c r="D36" s="9">
        <f t="shared" si="10"/>
        <v>2124</v>
      </c>
      <c r="E36" s="9">
        <v>2124</v>
      </c>
      <c r="F36" s="9"/>
      <c r="G36" s="9">
        <f>H36</f>
        <v>2124</v>
      </c>
      <c r="H36" s="9">
        <v>2124</v>
      </c>
      <c r="I36" s="9"/>
      <c r="J36" s="9">
        <f>K36</f>
        <v>1874.3</v>
      </c>
      <c r="K36" s="9">
        <v>1874.3</v>
      </c>
      <c r="L36" s="11"/>
    </row>
    <row r="37" spans="1:12" ht="124.8" x14ac:dyDescent="0.3">
      <c r="A37" s="5" t="s">
        <v>19</v>
      </c>
      <c r="B37" s="22" t="s">
        <v>25</v>
      </c>
      <c r="C37" s="12" t="s">
        <v>295</v>
      </c>
      <c r="D37" s="9">
        <f t="shared" si="10"/>
        <v>2390.5</v>
      </c>
      <c r="E37" s="9">
        <v>2390.5</v>
      </c>
      <c r="F37" s="9"/>
      <c r="G37" s="9">
        <f>H37</f>
        <v>2390.3000000000002</v>
      </c>
      <c r="H37" s="9">
        <f>2381.9+8.4</f>
        <v>2390.3000000000002</v>
      </c>
      <c r="I37" s="9"/>
      <c r="J37" s="9">
        <f>K37</f>
        <v>2379.8000000000002</v>
      </c>
      <c r="K37" s="9">
        <v>2379.8000000000002</v>
      </c>
      <c r="L37" s="11"/>
    </row>
    <row r="38" spans="1:12" ht="18.75" hidden="1" customHeight="1" x14ac:dyDescent="0.3">
      <c r="A38" s="114" t="s">
        <v>27</v>
      </c>
      <c r="B38" s="22" t="s">
        <v>23</v>
      </c>
      <c r="C38" s="6"/>
      <c r="D38" s="9"/>
      <c r="E38" s="9"/>
      <c r="F38" s="9"/>
      <c r="G38" s="9"/>
      <c r="H38" s="9"/>
      <c r="I38" s="9"/>
      <c r="J38" s="9"/>
      <c r="K38" s="9"/>
      <c r="L38" s="11"/>
    </row>
    <row r="39" spans="1:12" ht="37.5" hidden="1" customHeight="1" x14ac:dyDescent="0.3">
      <c r="A39" s="114"/>
      <c r="B39" s="22" t="s">
        <v>25</v>
      </c>
      <c r="C39" s="6"/>
      <c r="D39" s="9"/>
      <c r="E39" s="9"/>
      <c r="F39" s="9"/>
      <c r="G39" s="9"/>
      <c r="H39" s="9"/>
      <c r="I39" s="9"/>
      <c r="J39" s="9"/>
      <c r="K39" s="9"/>
      <c r="L39" s="11"/>
    </row>
    <row r="40" spans="1:12" ht="32.25" customHeight="1" x14ac:dyDescent="0.3">
      <c r="A40" s="114" t="s">
        <v>26</v>
      </c>
      <c r="B40" s="22" t="s">
        <v>23</v>
      </c>
      <c r="C40" s="102" t="s">
        <v>308</v>
      </c>
      <c r="D40" s="9">
        <f>E40</f>
        <v>100</v>
      </c>
      <c r="E40" s="9">
        <v>100</v>
      </c>
      <c r="F40" s="9"/>
      <c r="G40" s="9">
        <f>H40</f>
        <v>100</v>
      </c>
      <c r="H40" s="9">
        <v>100</v>
      </c>
      <c r="I40" s="9"/>
      <c r="J40" s="9">
        <f>K40</f>
        <v>100</v>
      </c>
      <c r="K40" s="9">
        <v>100</v>
      </c>
      <c r="L40" s="11"/>
    </row>
    <row r="41" spans="1:12" ht="66" customHeight="1" x14ac:dyDescent="0.3">
      <c r="A41" s="114"/>
      <c r="B41" s="22" t="s">
        <v>25</v>
      </c>
      <c r="C41" s="103"/>
      <c r="D41" s="9">
        <f>E41</f>
        <v>4205.2</v>
      </c>
      <c r="E41" s="9">
        <v>4205.2</v>
      </c>
      <c r="F41" s="9"/>
      <c r="G41" s="9">
        <f>H41</f>
        <v>4205.2</v>
      </c>
      <c r="H41" s="9">
        <v>4205.2</v>
      </c>
      <c r="I41" s="9"/>
      <c r="J41" s="9">
        <f>K41</f>
        <v>4205.2</v>
      </c>
      <c r="K41" s="9">
        <v>4205.2</v>
      </c>
      <c r="L41" s="11"/>
    </row>
    <row r="42" spans="1:12" ht="48" customHeight="1" x14ac:dyDescent="0.3">
      <c r="A42" s="5" t="s">
        <v>33</v>
      </c>
      <c r="B42" s="22" t="s">
        <v>25</v>
      </c>
      <c r="C42" s="104" t="s">
        <v>309</v>
      </c>
      <c r="D42" s="9">
        <f t="shared" ref="D42:D46" si="11">E42</f>
        <v>2300</v>
      </c>
      <c r="E42" s="9">
        <f>E43+E44</f>
        <v>2300</v>
      </c>
      <c r="F42" s="9"/>
      <c r="G42" s="9">
        <f>H42</f>
        <v>2300</v>
      </c>
      <c r="H42" s="9">
        <v>2300</v>
      </c>
      <c r="I42" s="9"/>
      <c r="J42" s="9">
        <f>K42</f>
        <v>2271.7999999999997</v>
      </c>
      <c r="K42" s="9">
        <f>K43+K44</f>
        <v>2271.7999999999997</v>
      </c>
      <c r="L42" s="11"/>
    </row>
    <row r="43" spans="1:12" ht="31.2" x14ac:dyDescent="0.3">
      <c r="A43" s="5" t="s">
        <v>28</v>
      </c>
      <c r="B43" s="22" t="s">
        <v>25</v>
      </c>
      <c r="C43" s="105"/>
      <c r="D43" s="9">
        <f t="shared" si="11"/>
        <v>2100</v>
      </c>
      <c r="E43" s="9">
        <v>2100</v>
      </c>
      <c r="F43" s="9"/>
      <c r="G43" s="9">
        <f t="shared" ref="G43:G46" si="12">H43</f>
        <v>2100</v>
      </c>
      <c r="H43" s="9">
        <v>2100</v>
      </c>
      <c r="I43" s="9"/>
      <c r="J43" s="9">
        <f>K43</f>
        <v>2072.6999999999998</v>
      </c>
      <c r="K43" s="9">
        <v>2072.6999999999998</v>
      </c>
      <c r="L43" s="11"/>
    </row>
    <row r="44" spans="1:12" ht="31.2" x14ac:dyDescent="0.3">
      <c r="A44" s="5" t="s">
        <v>29</v>
      </c>
      <c r="B44" s="22" t="s">
        <v>25</v>
      </c>
      <c r="C44" s="106"/>
      <c r="D44" s="9">
        <f t="shared" si="11"/>
        <v>200</v>
      </c>
      <c r="E44" s="9">
        <v>200</v>
      </c>
      <c r="F44" s="9"/>
      <c r="G44" s="9">
        <f t="shared" si="12"/>
        <v>200</v>
      </c>
      <c r="H44" s="9">
        <v>200</v>
      </c>
      <c r="I44" s="9"/>
      <c r="J44" s="9">
        <f t="shared" ref="J44:J46" si="13">K44</f>
        <v>199.1</v>
      </c>
      <c r="K44" s="9">
        <v>199.1</v>
      </c>
      <c r="L44" s="11"/>
    </row>
    <row r="45" spans="1:12" ht="62.4" x14ac:dyDescent="0.3">
      <c r="A45" s="5" t="s">
        <v>30</v>
      </c>
      <c r="B45" s="22" t="s">
        <v>25</v>
      </c>
      <c r="C45" s="5" t="s">
        <v>299</v>
      </c>
      <c r="D45" s="9">
        <f t="shared" si="11"/>
        <v>584.5</v>
      </c>
      <c r="E45" s="9">
        <f>E46+E49</f>
        <v>584.5</v>
      </c>
      <c r="F45" s="9"/>
      <c r="G45" s="9">
        <f t="shared" si="12"/>
        <v>584.5</v>
      </c>
      <c r="H45" s="9">
        <f>H46+H49</f>
        <v>584.5</v>
      </c>
      <c r="I45" s="9"/>
      <c r="J45" s="21">
        <f>K45</f>
        <v>584.5</v>
      </c>
      <c r="K45" s="21">
        <f>K46+K49</f>
        <v>584.5</v>
      </c>
      <c r="L45" s="11"/>
    </row>
    <row r="46" spans="1:12" ht="46.8" x14ac:dyDescent="0.3">
      <c r="A46" s="5" t="s">
        <v>31</v>
      </c>
      <c r="B46" s="22" t="s">
        <v>25</v>
      </c>
      <c r="C46" s="5" t="s">
        <v>298</v>
      </c>
      <c r="D46" s="9">
        <f t="shared" si="11"/>
        <v>108.8</v>
      </c>
      <c r="E46" s="9">
        <v>108.8</v>
      </c>
      <c r="F46" s="9"/>
      <c r="G46" s="9">
        <f t="shared" si="12"/>
        <v>108.8</v>
      </c>
      <c r="H46" s="9">
        <v>108.8</v>
      </c>
      <c r="I46" s="9"/>
      <c r="J46" s="9">
        <f t="shared" si="13"/>
        <v>108.8</v>
      </c>
      <c r="K46" s="9">
        <v>108.8</v>
      </c>
      <c r="L46" s="11"/>
    </row>
    <row r="47" spans="1:12" ht="46.8" hidden="1" x14ac:dyDescent="0.3">
      <c r="A47" s="5" t="s">
        <v>32</v>
      </c>
      <c r="B47" s="22" t="s">
        <v>25</v>
      </c>
      <c r="C47" s="11"/>
      <c r="D47" s="9"/>
      <c r="E47" s="9"/>
      <c r="F47" s="9"/>
      <c r="G47" s="9"/>
      <c r="H47" s="9"/>
      <c r="I47" s="9"/>
      <c r="J47" s="9"/>
      <c r="K47" s="9"/>
      <c r="L47" s="11"/>
    </row>
    <row r="48" spans="1:12" ht="62.4" hidden="1" x14ac:dyDescent="0.3">
      <c r="A48" s="5" t="s">
        <v>34</v>
      </c>
      <c r="B48" s="22" t="s">
        <v>25</v>
      </c>
      <c r="C48" s="11"/>
      <c r="D48" s="9"/>
      <c r="E48" s="9"/>
      <c r="F48" s="9"/>
      <c r="G48" s="9"/>
      <c r="H48" s="9"/>
      <c r="I48" s="9"/>
      <c r="J48" s="9"/>
      <c r="K48" s="9"/>
      <c r="L48" s="11"/>
    </row>
    <row r="49" spans="1:21" ht="62.4" x14ac:dyDescent="0.3">
      <c r="A49" s="5" t="s">
        <v>365</v>
      </c>
      <c r="B49" s="22" t="s">
        <v>25</v>
      </c>
      <c r="C49" s="5" t="s">
        <v>300</v>
      </c>
      <c r="D49" s="9">
        <f>E49</f>
        <v>475.7</v>
      </c>
      <c r="E49" s="9">
        <v>475.7</v>
      </c>
      <c r="F49" s="9"/>
      <c r="G49" s="9">
        <f t="shared" ref="G49:G57" si="14">H49</f>
        <v>475.7</v>
      </c>
      <c r="H49" s="9">
        <v>475.7</v>
      </c>
      <c r="I49" s="9"/>
      <c r="J49" s="9">
        <f>K49</f>
        <v>475.7</v>
      </c>
      <c r="K49" s="9">
        <v>475.7</v>
      </c>
      <c r="L49" s="11"/>
    </row>
    <row r="50" spans="1:21" ht="237" customHeight="1" x14ac:dyDescent="0.3">
      <c r="A50" s="114" t="s">
        <v>35</v>
      </c>
      <c r="B50" s="22" t="s">
        <v>25</v>
      </c>
      <c r="C50" s="5" t="s">
        <v>384</v>
      </c>
      <c r="D50" s="9">
        <f t="shared" ref="D50:D52" si="15">E50</f>
        <v>5021.2</v>
      </c>
      <c r="E50" s="9">
        <f>5044.7-23.5</f>
        <v>5021.2</v>
      </c>
      <c r="F50" s="9"/>
      <c r="G50" s="9">
        <f t="shared" si="14"/>
        <v>5021.2000000000007</v>
      </c>
      <c r="H50" s="9">
        <f>5029.6-8.4</f>
        <v>5021.2000000000007</v>
      </c>
      <c r="I50" s="9"/>
      <c r="J50" s="9">
        <f t="shared" ref="J50:J51" si="16">K50</f>
        <v>3730.8</v>
      </c>
      <c r="K50" s="9">
        <f>3754.3-23.5</f>
        <v>3730.8</v>
      </c>
      <c r="L50" s="11"/>
      <c r="M50" s="20"/>
      <c r="U50" s="38"/>
    </row>
    <row r="51" spans="1:21" ht="132.75" customHeight="1" x14ac:dyDescent="0.3">
      <c r="A51" s="114"/>
      <c r="B51" s="22" t="s">
        <v>25</v>
      </c>
      <c r="C51" s="5" t="s">
        <v>346</v>
      </c>
      <c r="D51" s="9">
        <f t="shared" si="15"/>
        <v>252.7</v>
      </c>
      <c r="E51" s="9">
        <v>252.7</v>
      </c>
      <c r="F51" s="9"/>
      <c r="G51" s="9">
        <f t="shared" si="14"/>
        <v>252.6</v>
      </c>
      <c r="H51" s="9">
        <v>252.6</v>
      </c>
      <c r="I51" s="9"/>
      <c r="J51" s="9">
        <f t="shared" si="16"/>
        <v>149.80000000000001</v>
      </c>
      <c r="K51" s="9">
        <v>149.80000000000001</v>
      </c>
      <c r="L51" s="11"/>
    </row>
    <row r="52" spans="1:21" ht="83.25" customHeight="1" x14ac:dyDescent="0.3">
      <c r="A52" s="5" t="s">
        <v>366</v>
      </c>
      <c r="B52" s="49">
        <v>712010</v>
      </c>
      <c r="C52" s="50" t="s">
        <v>380</v>
      </c>
      <c r="D52" s="9">
        <f t="shared" si="15"/>
        <v>23.5</v>
      </c>
      <c r="E52" s="9">
        <v>23.5</v>
      </c>
      <c r="F52" s="9"/>
      <c r="G52" s="9">
        <f t="shared" si="14"/>
        <v>23.5</v>
      </c>
      <c r="H52" s="9">
        <v>23.5</v>
      </c>
      <c r="I52" s="9"/>
      <c r="J52" s="9"/>
      <c r="K52" s="9">
        <v>23.5</v>
      </c>
      <c r="L52" s="11"/>
    </row>
    <row r="53" spans="1:21" ht="124.8" x14ac:dyDescent="0.3">
      <c r="A53" s="5" t="s">
        <v>367</v>
      </c>
      <c r="B53" s="22" t="s">
        <v>25</v>
      </c>
      <c r="C53" s="7" t="s">
        <v>303</v>
      </c>
      <c r="D53" s="9">
        <f>E53</f>
        <v>1000</v>
      </c>
      <c r="E53" s="9">
        <v>1000</v>
      </c>
      <c r="F53" s="9"/>
      <c r="G53" s="9">
        <f t="shared" si="14"/>
        <v>1000</v>
      </c>
      <c r="H53" s="9">
        <v>1000</v>
      </c>
      <c r="I53" s="9"/>
      <c r="J53" s="9">
        <f>K53</f>
        <v>1000</v>
      </c>
      <c r="K53" s="9">
        <v>1000</v>
      </c>
      <c r="L53" s="11"/>
    </row>
    <row r="54" spans="1:21" ht="99" customHeight="1" x14ac:dyDescent="0.3">
      <c r="A54" s="5" t="s">
        <v>368</v>
      </c>
      <c r="B54" s="22" t="s">
        <v>25</v>
      </c>
      <c r="C54" s="5" t="s">
        <v>296</v>
      </c>
      <c r="D54" s="9">
        <f>E54</f>
        <v>8745.5</v>
      </c>
      <c r="E54" s="9">
        <v>8745.5</v>
      </c>
      <c r="F54" s="9"/>
      <c r="G54" s="9">
        <f t="shared" si="14"/>
        <v>8745.5</v>
      </c>
      <c r="H54" s="9">
        <v>8745.5</v>
      </c>
      <c r="I54" s="9"/>
      <c r="J54" s="9">
        <f>K54</f>
        <v>8248.9</v>
      </c>
      <c r="K54" s="9">
        <f>8234.3+14.6</f>
        <v>8248.9</v>
      </c>
      <c r="L54" s="11"/>
    </row>
    <row r="55" spans="1:21" ht="46.8" x14ac:dyDescent="0.3">
      <c r="A55" s="16" t="s">
        <v>261</v>
      </c>
      <c r="B55" s="3"/>
      <c r="C55" s="11"/>
      <c r="D55" s="21">
        <f>D57</f>
        <v>4304</v>
      </c>
      <c r="E55" s="21">
        <f>E57</f>
        <v>4304</v>
      </c>
      <c r="F55" s="9"/>
      <c r="G55" s="21">
        <f t="shared" si="14"/>
        <v>4309.8999999999996</v>
      </c>
      <c r="H55" s="21">
        <f>H57</f>
        <v>4309.8999999999996</v>
      </c>
      <c r="I55" s="9"/>
      <c r="J55" s="21">
        <f>K55</f>
        <v>4132.7</v>
      </c>
      <c r="K55" s="21">
        <f>K57</f>
        <v>4132.7</v>
      </c>
      <c r="L55" s="11"/>
    </row>
    <row r="56" spans="1:21" x14ac:dyDescent="0.3">
      <c r="A56" s="14" t="s">
        <v>4</v>
      </c>
      <c r="B56" s="3"/>
      <c r="C56" s="11"/>
      <c r="D56" s="21">
        <f>E56</f>
        <v>4304</v>
      </c>
      <c r="E56" s="21">
        <f>E57</f>
        <v>4304</v>
      </c>
      <c r="F56" s="9"/>
      <c r="G56" s="21">
        <f t="shared" si="14"/>
        <v>4309.8999999999996</v>
      </c>
      <c r="H56" s="21">
        <f>H57</f>
        <v>4309.8999999999996</v>
      </c>
      <c r="I56" s="9"/>
      <c r="J56" s="21">
        <f>K56</f>
        <v>4132.7</v>
      </c>
      <c r="K56" s="21">
        <f>K57</f>
        <v>4132.7</v>
      </c>
      <c r="L56" s="11"/>
    </row>
    <row r="57" spans="1:21" ht="93.6" x14ac:dyDescent="0.3">
      <c r="A57" s="5" t="s">
        <v>20</v>
      </c>
      <c r="B57" s="22" t="s">
        <v>36</v>
      </c>
      <c r="C57" s="5" t="s">
        <v>277</v>
      </c>
      <c r="D57" s="9">
        <f>E57</f>
        <v>4304</v>
      </c>
      <c r="E57" s="9">
        <v>4304</v>
      </c>
      <c r="F57" s="9"/>
      <c r="G57" s="9">
        <f t="shared" si="14"/>
        <v>4309.8999999999996</v>
      </c>
      <c r="H57" s="9">
        <v>4309.8999999999996</v>
      </c>
      <c r="I57" s="9"/>
      <c r="J57" s="9">
        <f>K57</f>
        <v>4132.7</v>
      </c>
      <c r="K57" s="9">
        <v>4132.7</v>
      </c>
      <c r="L57" s="11"/>
      <c r="U57" s="37"/>
    </row>
    <row r="58" spans="1:21" ht="93.6" hidden="1" x14ac:dyDescent="0.3">
      <c r="A58" s="5" t="s">
        <v>21</v>
      </c>
      <c r="B58" s="22" t="s">
        <v>36</v>
      </c>
      <c r="C58" s="11"/>
      <c r="D58" s="9"/>
      <c r="E58" s="9"/>
      <c r="F58" s="9"/>
      <c r="G58" s="9"/>
      <c r="H58" s="9"/>
      <c r="I58" s="9"/>
      <c r="J58" s="9"/>
      <c r="K58" s="9"/>
      <c r="L58" s="11"/>
    </row>
    <row r="59" spans="1:21" ht="46.8" x14ac:dyDescent="0.3">
      <c r="A59" s="16" t="s">
        <v>262</v>
      </c>
      <c r="B59" s="22" t="s">
        <v>38</v>
      </c>
      <c r="C59" s="11"/>
      <c r="D59" s="21">
        <f>E59</f>
        <v>12756.4</v>
      </c>
      <c r="E59" s="21">
        <f>E61+E62</f>
        <v>12756.4</v>
      </c>
      <c r="F59" s="9"/>
      <c r="G59" s="21">
        <f>H59</f>
        <v>12696.4</v>
      </c>
      <c r="H59" s="21">
        <f>H61+H62</f>
        <v>12696.4</v>
      </c>
      <c r="I59" s="9"/>
      <c r="J59" s="21">
        <f>K59</f>
        <v>12696.2</v>
      </c>
      <c r="K59" s="21">
        <f>K61+K62</f>
        <v>12696.2</v>
      </c>
      <c r="L59" s="11"/>
    </row>
    <row r="60" spans="1:21" x14ac:dyDescent="0.3">
      <c r="A60" s="14" t="s">
        <v>4</v>
      </c>
      <c r="B60" s="22"/>
      <c r="C60" s="11"/>
      <c r="D60" s="21">
        <f>E60</f>
        <v>12756.4</v>
      </c>
      <c r="E60" s="21">
        <f>E61+E62</f>
        <v>12756.4</v>
      </c>
      <c r="F60" s="21"/>
      <c r="G60" s="21">
        <f>H60</f>
        <v>12696.4</v>
      </c>
      <c r="H60" s="21">
        <f>H61+H62</f>
        <v>12696.4</v>
      </c>
      <c r="I60" s="21"/>
      <c r="J60" s="21">
        <f>K60</f>
        <v>12696.2</v>
      </c>
      <c r="K60" s="21">
        <f>K61+K62</f>
        <v>12696.2</v>
      </c>
      <c r="L60" s="11"/>
    </row>
    <row r="61" spans="1:21" ht="78" x14ac:dyDescent="0.3">
      <c r="A61" s="5" t="s">
        <v>37</v>
      </c>
      <c r="B61" s="22" t="s">
        <v>38</v>
      </c>
      <c r="C61" s="5" t="s">
        <v>282</v>
      </c>
      <c r="D61" s="9">
        <f>E61</f>
        <v>11836.1</v>
      </c>
      <c r="E61" s="9">
        <v>11836.1</v>
      </c>
      <c r="F61" s="9"/>
      <c r="G61" s="9">
        <f>H61</f>
        <v>11776.1</v>
      </c>
      <c r="H61" s="9">
        <f>11836.1-60</f>
        <v>11776.1</v>
      </c>
      <c r="I61" s="9"/>
      <c r="J61" s="9">
        <f>K61</f>
        <v>11776</v>
      </c>
      <c r="K61" s="9">
        <f>11836-60</f>
        <v>11776</v>
      </c>
      <c r="L61" s="11"/>
    </row>
    <row r="62" spans="1:21" ht="93.6" x14ac:dyDescent="0.3">
      <c r="A62" s="5" t="s">
        <v>242</v>
      </c>
      <c r="B62" s="22" t="s">
        <v>38</v>
      </c>
      <c r="C62" s="5" t="s">
        <v>278</v>
      </c>
      <c r="D62" s="9">
        <f>E62</f>
        <v>920.3</v>
      </c>
      <c r="E62" s="9">
        <v>920.3</v>
      </c>
      <c r="F62" s="9"/>
      <c r="G62" s="9">
        <f>H62</f>
        <v>920.3</v>
      </c>
      <c r="H62" s="9">
        <v>920.3</v>
      </c>
      <c r="I62" s="9"/>
      <c r="J62" s="9">
        <f>K62</f>
        <v>920.2</v>
      </c>
      <c r="K62" s="9">
        <v>920.2</v>
      </c>
      <c r="L62" s="11"/>
    </row>
    <row r="63" spans="1:21" x14ac:dyDescent="0.3">
      <c r="A63" s="110" t="s">
        <v>263</v>
      </c>
      <c r="B63" s="110"/>
      <c r="C63" s="110"/>
      <c r="D63" s="110"/>
      <c r="E63" s="110"/>
      <c r="F63" s="110"/>
      <c r="G63" s="110"/>
      <c r="H63" s="110"/>
      <c r="I63" s="110"/>
      <c r="J63" s="110"/>
      <c r="K63" s="110"/>
      <c r="L63" s="110"/>
    </row>
    <row r="64" spans="1:21" ht="31.2" x14ac:dyDescent="0.3">
      <c r="A64" s="19" t="s">
        <v>256</v>
      </c>
      <c r="B64" s="3"/>
      <c r="C64" s="11"/>
      <c r="D64" s="17">
        <f>E64</f>
        <v>20196</v>
      </c>
      <c r="E64" s="17">
        <f>E65</f>
        <v>20196</v>
      </c>
      <c r="F64" s="18"/>
      <c r="G64" s="17">
        <f>H64</f>
        <v>20196</v>
      </c>
      <c r="H64" s="17">
        <f>H65</f>
        <v>20196</v>
      </c>
      <c r="I64" s="18"/>
      <c r="J64" s="17">
        <f>K64</f>
        <v>19866.399999999998</v>
      </c>
      <c r="K64" s="17">
        <f>K69+K71+K73+K75</f>
        <v>19866.399999999998</v>
      </c>
      <c r="L64" s="11"/>
    </row>
    <row r="65" spans="1:12" x14ac:dyDescent="0.3">
      <c r="A65" s="14" t="s">
        <v>4</v>
      </c>
      <c r="B65" s="3"/>
      <c r="C65" s="11"/>
      <c r="D65" s="18">
        <f>E65</f>
        <v>20196</v>
      </c>
      <c r="E65" s="18">
        <f>E69+E71+E73+E75</f>
        <v>20196</v>
      </c>
      <c r="F65" s="18"/>
      <c r="G65" s="18">
        <f>H65</f>
        <v>20196</v>
      </c>
      <c r="H65" s="18">
        <f>H69+H71+H73+H75</f>
        <v>20196</v>
      </c>
      <c r="I65" s="18"/>
      <c r="J65" s="18">
        <f>K65</f>
        <v>19866.399999999998</v>
      </c>
      <c r="K65" s="18">
        <f>K69+K71+K73+K75</f>
        <v>19866.399999999998</v>
      </c>
      <c r="L65" s="11"/>
    </row>
    <row r="66" spans="1:12" ht="62.4" x14ac:dyDescent="0.3">
      <c r="A66" s="16" t="s">
        <v>220</v>
      </c>
      <c r="B66" s="3"/>
      <c r="C66" s="11"/>
      <c r="D66" s="17">
        <f>E66</f>
        <v>20196</v>
      </c>
      <c r="E66" s="17">
        <f>E69+E71+E73+E75</f>
        <v>20196</v>
      </c>
      <c r="F66" s="17"/>
      <c r="G66" s="17"/>
      <c r="H66" s="17"/>
      <c r="I66" s="17"/>
      <c r="J66" s="17">
        <f>K66</f>
        <v>19866.399999999998</v>
      </c>
      <c r="K66" s="17">
        <f>K69+K71+K73+K75</f>
        <v>19866.399999999998</v>
      </c>
      <c r="L66" s="14"/>
    </row>
    <row r="67" spans="1:12" x14ac:dyDescent="0.3">
      <c r="A67" s="14" t="s">
        <v>4</v>
      </c>
      <c r="B67" s="3"/>
      <c r="C67" s="11"/>
      <c r="D67" s="18">
        <f>E67</f>
        <v>20196</v>
      </c>
      <c r="E67" s="18">
        <f>E69+E71+E73+E75</f>
        <v>20196</v>
      </c>
      <c r="F67" s="18"/>
      <c r="G67" s="18">
        <f>H67</f>
        <v>20196</v>
      </c>
      <c r="H67" s="18">
        <f>H69+H71+H73+H75</f>
        <v>20196</v>
      </c>
      <c r="I67" s="18"/>
      <c r="J67" s="18">
        <f>K67</f>
        <v>19866.399999999998</v>
      </c>
      <c r="K67" s="18">
        <f>K69+K71+K73+K75</f>
        <v>19866.399999999998</v>
      </c>
      <c r="L67" s="11"/>
    </row>
    <row r="68" spans="1:12" ht="78" hidden="1" x14ac:dyDescent="0.3">
      <c r="A68" s="5" t="s">
        <v>39</v>
      </c>
      <c r="B68" s="3"/>
      <c r="C68" s="11"/>
      <c r="D68" s="18"/>
      <c r="E68" s="18"/>
      <c r="F68" s="18"/>
      <c r="G68" s="18"/>
      <c r="H68" s="18"/>
      <c r="I68" s="18"/>
      <c r="J68" s="18"/>
      <c r="K68" s="18"/>
      <c r="L68" s="11"/>
    </row>
    <row r="69" spans="1:12" ht="124.8" x14ac:dyDescent="0.3">
      <c r="A69" s="5" t="s">
        <v>355</v>
      </c>
      <c r="B69" s="22" t="s">
        <v>23</v>
      </c>
      <c r="C69" s="10" t="s">
        <v>292</v>
      </c>
      <c r="D69" s="9">
        <f>E69</f>
        <v>11875</v>
      </c>
      <c r="E69" s="9">
        <v>11875</v>
      </c>
      <c r="F69" s="18"/>
      <c r="G69" s="9">
        <f>H69</f>
        <v>11875</v>
      </c>
      <c r="H69" s="9">
        <v>11875</v>
      </c>
      <c r="I69" s="18"/>
      <c r="J69" s="9">
        <f>K69</f>
        <v>11851.8</v>
      </c>
      <c r="K69" s="9">
        <v>11851.8</v>
      </c>
      <c r="L69" s="11"/>
    </row>
    <row r="70" spans="1:12" ht="78" hidden="1" x14ac:dyDescent="0.3">
      <c r="A70" s="5" t="s">
        <v>40</v>
      </c>
      <c r="B70" s="3"/>
      <c r="C70" s="11"/>
      <c r="D70" s="9"/>
      <c r="E70" s="9"/>
      <c r="F70" s="18"/>
      <c r="G70" s="18"/>
      <c r="H70" s="18"/>
      <c r="I70" s="18"/>
      <c r="J70" s="18"/>
      <c r="K70" s="18"/>
      <c r="L70" s="11"/>
    </row>
    <row r="71" spans="1:12" ht="150" customHeight="1" x14ac:dyDescent="0.3">
      <c r="A71" s="5" t="s">
        <v>356</v>
      </c>
      <c r="B71" s="22" t="s">
        <v>23</v>
      </c>
      <c r="C71" s="6" t="s">
        <v>310</v>
      </c>
      <c r="D71" s="9">
        <f>E71</f>
        <v>5824.4</v>
      </c>
      <c r="E71" s="9">
        <v>5824.4</v>
      </c>
      <c r="F71" s="18"/>
      <c r="G71" s="9">
        <f>H71</f>
        <v>5824.4</v>
      </c>
      <c r="H71" s="9">
        <v>5824.4</v>
      </c>
      <c r="I71" s="18"/>
      <c r="J71" s="9">
        <f>K71</f>
        <v>5529</v>
      </c>
      <c r="K71" s="9">
        <v>5529</v>
      </c>
      <c r="L71" s="11"/>
    </row>
    <row r="72" spans="1:12" ht="62.4" hidden="1" x14ac:dyDescent="0.3">
      <c r="A72" s="5" t="s">
        <v>264</v>
      </c>
      <c r="B72" s="22"/>
      <c r="C72" s="11"/>
      <c r="D72" s="18"/>
      <c r="E72" s="18"/>
      <c r="F72" s="18"/>
      <c r="G72" s="18"/>
      <c r="H72" s="18"/>
      <c r="I72" s="18"/>
      <c r="J72" s="9"/>
      <c r="K72" s="9"/>
      <c r="L72" s="11"/>
    </row>
    <row r="73" spans="1:12" ht="78" x14ac:dyDescent="0.3">
      <c r="A73" s="5" t="s">
        <v>357</v>
      </c>
      <c r="B73" s="22" t="s">
        <v>23</v>
      </c>
      <c r="C73" s="6" t="s">
        <v>290</v>
      </c>
      <c r="D73" s="9">
        <f>E73</f>
        <v>2196.6</v>
      </c>
      <c r="E73" s="9">
        <v>2196.6</v>
      </c>
      <c r="F73" s="18"/>
      <c r="G73" s="51">
        <f>H73</f>
        <v>2196.6</v>
      </c>
      <c r="H73" s="51">
        <f>2790-593.4</f>
        <v>2196.6</v>
      </c>
      <c r="I73" s="18"/>
      <c r="J73" s="9">
        <f>K73</f>
        <v>2196.5</v>
      </c>
      <c r="K73" s="9">
        <f>2789.1-592.6</f>
        <v>2196.5</v>
      </c>
      <c r="L73" s="11"/>
    </row>
    <row r="74" spans="1:12" ht="78" hidden="1" x14ac:dyDescent="0.3">
      <c r="A74" s="5" t="s">
        <v>41</v>
      </c>
      <c r="B74" s="3"/>
      <c r="C74" s="11"/>
      <c r="D74" s="9"/>
      <c r="E74" s="9"/>
      <c r="F74" s="18"/>
      <c r="G74" s="18"/>
      <c r="H74" s="18"/>
      <c r="I74" s="18"/>
      <c r="J74" s="18"/>
      <c r="K74" s="18"/>
      <c r="L74" s="11"/>
    </row>
    <row r="75" spans="1:12" ht="93.6" x14ac:dyDescent="0.3">
      <c r="A75" s="5" t="s">
        <v>358</v>
      </c>
      <c r="B75" s="22" t="s">
        <v>25</v>
      </c>
      <c r="C75" s="7" t="s">
        <v>301</v>
      </c>
      <c r="D75" s="9">
        <f>E75</f>
        <v>300</v>
      </c>
      <c r="E75" s="9">
        <v>300</v>
      </c>
      <c r="F75" s="18"/>
      <c r="G75" s="9">
        <f>H75</f>
        <v>300</v>
      </c>
      <c r="H75" s="9">
        <v>300</v>
      </c>
      <c r="I75" s="18"/>
      <c r="J75" s="36">
        <f>K75</f>
        <v>289.10000000000002</v>
      </c>
      <c r="K75" s="36">
        <v>289.10000000000002</v>
      </c>
      <c r="L75" s="11"/>
    </row>
    <row r="76" spans="1:12" x14ac:dyDescent="0.3">
      <c r="A76" s="110" t="s">
        <v>265</v>
      </c>
      <c r="B76" s="110"/>
      <c r="C76" s="110"/>
      <c r="D76" s="110"/>
      <c r="E76" s="110"/>
      <c r="F76" s="110"/>
      <c r="G76" s="110"/>
      <c r="H76" s="110"/>
      <c r="I76" s="110"/>
      <c r="J76" s="110"/>
      <c r="K76" s="110"/>
      <c r="L76" s="110"/>
    </row>
    <row r="77" spans="1:12" ht="31.2" x14ac:dyDescent="0.3">
      <c r="A77" s="19" t="s">
        <v>256</v>
      </c>
      <c r="B77" s="3"/>
      <c r="C77" s="11"/>
      <c r="D77" s="17">
        <f>E77+F77</f>
        <v>6874.2</v>
      </c>
      <c r="E77" s="17">
        <f>E78+E79</f>
        <v>3813</v>
      </c>
      <c r="F77" s="17">
        <f t="shared" ref="F77:L77" si="17">F78+F79</f>
        <v>3061.2</v>
      </c>
      <c r="G77" s="17">
        <f>H77+I77</f>
        <v>6850.2</v>
      </c>
      <c r="H77" s="17">
        <f t="shared" si="17"/>
        <v>3789.2</v>
      </c>
      <c r="I77" s="17">
        <f t="shared" si="17"/>
        <v>3061</v>
      </c>
      <c r="J77" s="17">
        <f>K77+L77</f>
        <v>6696.8250000000007</v>
      </c>
      <c r="K77" s="17">
        <f t="shared" si="17"/>
        <v>3635.8</v>
      </c>
      <c r="L77" s="17">
        <f t="shared" si="17"/>
        <v>3061.0250000000001</v>
      </c>
    </row>
    <row r="78" spans="1:12" x14ac:dyDescent="0.3">
      <c r="A78" s="14" t="s">
        <v>4</v>
      </c>
      <c r="B78" s="3"/>
      <c r="C78" s="11"/>
      <c r="D78" s="18">
        <f>E78+F78</f>
        <v>3813.1</v>
      </c>
      <c r="E78" s="18">
        <f>E81</f>
        <v>3813</v>
      </c>
      <c r="F78" s="18">
        <f>F81</f>
        <v>0.1</v>
      </c>
      <c r="G78" s="18">
        <f>H78+I78</f>
        <v>3789.2999999999997</v>
      </c>
      <c r="H78" s="18">
        <f>H81</f>
        <v>3789.2</v>
      </c>
      <c r="I78" s="18">
        <f>I81</f>
        <v>0.1</v>
      </c>
      <c r="J78" s="18">
        <f>K78+L78</f>
        <v>3635.9250000000002</v>
      </c>
      <c r="K78" s="18">
        <f>K81</f>
        <v>3635.8</v>
      </c>
      <c r="L78" s="18">
        <f>L81</f>
        <v>0.125</v>
      </c>
    </row>
    <row r="79" spans="1:12" ht="31.2" x14ac:dyDescent="0.3">
      <c r="A79" s="19" t="s">
        <v>47</v>
      </c>
      <c r="B79" s="3"/>
      <c r="C79" s="11"/>
      <c r="D79" s="18">
        <f>E79+F79</f>
        <v>3061.1</v>
      </c>
      <c r="E79" s="18"/>
      <c r="F79" s="18">
        <f>F83</f>
        <v>3061.1</v>
      </c>
      <c r="G79" s="18">
        <f>I79</f>
        <v>3060.9</v>
      </c>
      <c r="H79" s="18"/>
      <c r="I79" s="18">
        <f>I83</f>
        <v>3060.9</v>
      </c>
      <c r="J79" s="18">
        <f>L79</f>
        <v>3060.9</v>
      </c>
      <c r="K79" s="18"/>
      <c r="L79" s="18">
        <f>L83</f>
        <v>3060.9</v>
      </c>
    </row>
    <row r="80" spans="1:12" x14ac:dyDescent="0.3">
      <c r="A80" s="14" t="s">
        <v>266</v>
      </c>
      <c r="B80" s="3"/>
      <c r="C80" s="11"/>
      <c r="D80" s="18">
        <f>D81+D83</f>
        <v>6874.2</v>
      </c>
      <c r="E80" s="18">
        <f>E81+E83</f>
        <v>3813</v>
      </c>
      <c r="F80" s="18">
        <f t="shared" ref="F80:L80" si="18">F81+F83</f>
        <v>3061.2</v>
      </c>
      <c r="G80" s="18">
        <f t="shared" si="18"/>
        <v>6850.2</v>
      </c>
      <c r="H80" s="18">
        <f t="shared" si="18"/>
        <v>3789.2</v>
      </c>
      <c r="I80" s="18">
        <f t="shared" si="18"/>
        <v>3061</v>
      </c>
      <c r="J80" s="18">
        <f t="shared" si="18"/>
        <v>6696.8250000000007</v>
      </c>
      <c r="K80" s="18">
        <f t="shared" si="18"/>
        <v>3635.8</v>
      </c>
      <c r="L80" s="18">
        <f t="shared" si="18"/>
        <v>3061.0250000000001</v>
      </c>
    </row>
    <row r="81" spans="1:12" ht="99" customHeight="1" x14ac:dyDescent="0.3">
      <c r="A81" s="5" t="s">
        <v>267</v>
      </c>
      <c r="B81" s="22" t="s">
        <v>42</v>
      </c>
      <c r="C81" s="10" t="s">
        <v>284</v>
      </c>
      <c r="D81" s="9">
        <f>E81+F81</f>
        <v>3813.1</v>
      </c>
      <c r="E81" s="9">
        <v>3813</v>
      </c>
      <c r="F81" s="9">
        <v>0.1</v>
      </c>
      <c r="G81" s="9">
        <f>H81+I81</f>
        <v>3789.2999999999997</v>
      </c>
      <c r="H81" s="9">
        <v>3789.2</v>
      </c>
      <c r="I81" s="9">
        <v>0.1</v>
      </c>
      <c r="J81" s="9">
        <f>K81+L81</f>
        <v>3635.9250000000002</v>
      </c>
      <c r="K81" s="9">
        <v>3635.8</v>
      </c>
      <c r="L81" s="9">
        <v>0.125</v>
      </c>
    </row>
    <row r="82" spans="1:12" ht="27.75" hidden="1" customHeight="1" x14ac:dyDescent="0.3">
      <c r="A82" s="8" t="s">
        <v>243</v>
      </c>
      <c r="B82" s="3"/>
      <c r="C82" s="11"/>
      <c r="D82" s="9"/>
      <c r="E82" s="9"/>
      <c r="F82" s="9"/>
      <c r="G82" s="9"/>
      <c r="H82" s="9"/>
      <c r="I82" s="9"/>
      <c r="J82" s="9"/>
      <c r="K82" s="9"/>
      <c r="L82" s="9"/>
    </row>
    <row r="83" spans="1:12" ht="69.75" customHeight="1" x14ac:dyDescent="0.3">
      <c r="A83" s="8" t="s">
        <v>363</v>
      </c>
      <c r="B83" s="22" t="s">
        <v>23</v>
      </c>
      <c r="C83" s="5" t="s">
        <v>279</v>
      </c>
      <c r="D83" s="9">
        <f>F83</f>
        <v>3061.1</v>
      </c>
      <c r="E83" s="9"/>
      <c r="F83" s="9">
        <v>3061.1</v>
      </c>
      <c r="G83" s="9">
        <f>I83</f>
        <v>3060.9</v>
      </c>
      <c r="H83" s="9"/>
      <c r="I83" s="9">
        <v>3060.9</v>
      </c>
      <c r="J83" s="9">
        <f>L83</f>
        <v>3060.9</v>
      </c>
      <c r="K83" s="9"/>
      <c r="L83" s="9">
        <v>3060.9</v>
      </c>
    </row>
    <row r="84" spans="1:12" x14ac:dyDescent="0.3">
      <c r="A84" s="111" t="s">
        <v>218</v>
      </c>
      <c r="B84" s="112"/>
      <c r="C84" s="112"/>
      <c r="D84" s="112"/>
      <c r="E84" s="112"/>
      <c r="F84" s="112"/>
      <c r="G84" s="112"/>
      <c r="H84" s="112"/>
      <c r="I84" s="112"/>
      <c r="J84" s="112"/>
      <c r="K84" s="112"/>
      <c r="L84" s="113"/>
    </row>
    <row r="85" spans="1:12" ht="33.75" customHeight="1" x14ac:dyDescent="0.3">
      <c r="A85" s="19" t="s">
        <v>256</v>
      </c>
      <c r="B85" s="3"/>
      <c r="C85" s="11"/>
      <c r="D85" s="17">
        <f>D86</f>
        <v>255736.2</v>
      </c>
      <c r="E85" s="17"/>
      <c r="F85" s="17">
        <f>F86</f>
        <v>255736.30000000002</v>
      </c>
      <c r="G85" s="17">
        <f>G86</f>
        <v>255360.50000000003</v>
      </c>
      <c r="H85" s="17"/>
      <c r="I85" s="17">
        <f t="shared" ref="I85:L85" si="19">I86</f>
        <v>255360.50000000003</v>
      </c>
      <c r="J85" s="17">
        <f t="shared" si="19"/>
        <v>189862.09999999998</v>
      </c>
      <c r="K85" s="17"/>
      <c r="L85" s="17">
        <f t="shared" si="19"/>
        <v>189862.09999999998</v>
      </c>
    </row>
    <row r="86" spans="1:12" x14ac:dyDescent="0.3">
      <c r="A86" s="14" t="s">
        <v>4</v>
      </c>
      <c r="B86" s="3"/>
      <c r="C86" s="11"/>
      <c r="D86" s="18">
        <f>D88+D89+D91+D92+D93+D94+D96+D97+D98+D99</f>
        <v>255736.2</v>
      </c>
      <c r="E86" s="18"/>
      <c r="F86" s="18">
        <f>F88+F89+F91+F92+F93+F94+F96+F97+F98+F99+0.1</f>
        <v>255736.30000000002</v>
      </c>
      <c r="G86" s="18">
        <f>G88+G89+G91+G92+G93+G94+G96+G97+G98+G99</f>
        <v>255360.50000000003</v>
      </c>
      <c r="H86" s="18"/>
      <c r="I86" s="18">
        <f>I88+I89+I91+I92+I93+I94+I96+I97+I98+I99</f>
        <v>255360.50000000003</v>
      </c>
      <c r="J86" s="18">
        <f>J88+J89+J91+J92+J93+J94+J96+J97+J98+J99</f>
        <v>189862.09999999998</v>
      </c>
      <c r="K86" s="18"/>
      <c r="L86" s="18">
        <f>L88+L89+L91+L92+L93+L94+L96+L97+L98+L99</f>
        <v>189862.09999999998</v>
      </c>
    </row>
    <row r="87" spans="1:12" ht="62.4" x14ac:dyDescent="0.3">
      <c r="A87" s="19" t="s">
        <v>221</v>
      </c>
      <c r="B87" s="3"/>
      <c r="C87" s="11"/>
      <c r="D87" s="18"/>
      <c r="E87" s="18"/>
      <c r="F87" s="18"/>
      <c r="G87" s="18"/>
      <c r="H87" s="18"/>
      <c r="I87" s="18"/>
      <c r="J87" s="18"/>
      <c r="K87" s="18"/>
      <c r="L87" s="18"/>
    </row>
    <row r="88" spans="1:12" ht="31.2" x14ac:dyDescent="0.3">
      <c r="A88" s="102" t="s">
        <v>268</v>
      </c>
      <c r="B88" s="22" t="s">
        <v>23</v>
      </c>
      <c r="C88" s="5" t="s">
        <v>297</v>
      </c>
      <c r="D88" s="9">
        <f>F88</f>
        <v>111446.6</v>
      </c>
      <c r="E88" s="9"/>
      <c r="F88" s="9">
        <v>111446.6</v>
      </c>
      <c r="G88" s="9">
        <f>I88</f>
        <v>111446.6</v>
      </c>
      <c r="H88" s="9"/>
      <c r="I88" s="9">
        <f>111270+176.6</f>
        <v>111446.6</v>
      </c>
      <c r="J88" s="9">
        <f>L88</f>
        <v>61118.7</v>
      </c>
      <c r="K88" s="9"/>
      <c r="L88" s="9">
        <v>61118.7</v>
      </c>
    </row>
    <row r="89" spans="1:12" ht="66.75" customHeight="1" x14ac:dyDescent="0.3">
      <c r="A89" s="103"/>
      <c r="B89" s="22" t="s">
        <v>25</v>
      </c>
      <c r="C89" s="5" t="s">
        <v>336</v>
      </c>
      <c r="D89" s="9">
        <f>F89</f>
        <v>54062.6</v>
      </c>
      <c r="E89" s="9"/>
      <c r="F89" s="9">
        <v>54062.6</v>
      </c>
      <c r="G89" s="18">
        <f>I89</f>
        <v>54062.6</v>
      </c>
      <c r="H89" s="18"/>
      <c r="I89" s="18">
        <v>54062.6</v>
      </c>
      <c r="J89" s="18">
        <f>L89</f>
        <v>54046.2</v>
      </c>
      <c r="K89" s="18"/>
      <c r="L89" s="18">
        <v>54046.2</v>
      </c>
    </row>
    <row r="90" spans="1:12" ht="31.2" hidden="1" x14ac:dyDescent="0.3">
      <c r="A90" s="5" t="s">
        <v>43</v>
      </c>
      <c r="B90" s="3"/>
      <c r="C90" s="11"/>
      <c r="D90" s="9"/>
      <c r="E90" s="9"/>
      <c r="F90" s="9"/>
      <c r="G90" s="18"/>
      <c r="H90" s="18"/>
      <c r="I90" s="18"/>
      <c r="J90" s="18"/>
      <c r="K90" s="18"/>
      <c r="L90" s="18"/>
    </row>
    <row r="91" spans="1:12" ht="121.5" customHeight="1" x14ac:dyDescent="0.3">
      <c r="A91" s="102" t="s">
        <v>369</v>
      </c>
      <c r="B91" s="22" t="s">
        <v>25</v>
      </c>
      <c r="C91" s="4" t="s">
        <v>337</v>
      </c>
      <c r="D91" s="9">
        <f>F91</f>
        <v>27160.9</v>
      </c>
      <c r="E91" s="9"/>
      <c r="F91" s="9">
        <v>27160.9</v>
      </c>
      <c r="G91" s="9">
        <f>I91</f>
        <v>26786</v>
      </c>
      <c r="H91" s="18"/>
      <c r="I91" s="9">
        <f>25290.1+1495.9</f>
        <v>26786</v>
      </c>
      <c r="J91" s="9">
        <f>L91</f>
        <v>16312.4</v>
      </c>
      <c r="K91" s="18"/>
      <c r="L91" s="9">
        <v>16312.4</v>
      </c>
    </row>
    <row r="92" spans="1:12" ht="45" customHeight="1" x14ac:dyDescent="0.3">
      <c r="A92" s="103"/>
      <c r="B92" s="22" t="s">
        <v>44</v>
      </c>
      <c r="C92" s="5" t="s">
        <v>382</v>
      </c>
      <c r="D92" s="9">
        <f>F92</f>
        <v>8172</v>
      </c>
      <c r="E92" s="9"/>
      <c r="F92" s="9">
        <v>8172</v>
      </c>
      <c r="G92" s="9">
        <f>I92</f>
        <v>8172</v>
      </c>
      <c r="H92" s="18"/>
      <c r="I92" s="9">
        <v>8172</v>
      </c>
      <c r="J92" s="9">
        <f>L92</f>
        <v>8143.8</v>
      </c>
      <c r="K92" s="18"/>
      <c r="L92" s="9">
        <v>8143.8</v>
      </c>
    </row>
    <row r="93" spans="1:12" ht="134.25" customHeight="1" x14ac:dyDescent="0.3">
      <c r="A93" s="5" t="s">
        <v>370</v>
      </c>
      <c r="B93" s="22" t="s">
        <v>45</v>
      </c>
      <c r="C93" s="5" t="s">
        <v>304</v>
      </c>
      <c r="D93" s="9">
        <f>F93</f>
        <v>107.2</v>
      </c>
      <c r="E93" s="9"/>
      <c r="F93" s="9">
        <v>107.2</v>
      </c>
      <c r="G93" s="9">
        <f>I93</f>
        <v>107.2</v>
      </c>
      <c r="H93" s="18"/>
      <c r="I93" s="9">
        <v>107.2</v>
      </c>
      <c r="J93" s="9">
        <f>L93</f>
        <v>107.2</v>
      </c>
      <c r="K93" s="18"/>
      <c r="L93" s="9">
        <v>107.2</v>
      </c>
    </row>
    <row r="94" spans="1:12" ht="117" customHeight="1" x14ac:dyDescent="0.3">
      <c r="A94" s="5" t="s">
        <v>371</v>
      </c>
      <c r="B94" s="22" t="s">
        <v>25</v>
      </c>
      <c r="C94" s="5" t="s">
        <v>305</v>
      </c>
      <c r="D94" s="9">
        <f>F94</f>
        <v>1194.9000000000001</v>
      </c>
      <c r="E94" s="9"/>
      <c r="F94" s="9">
        <v>1194.9000000000001</v>
      </c>
      <c r="G94" s="9">
        <f t="shared" ref="G94:G99" si="20">I94</f>
        <v>1194.7</v>
      </c>
      <c r="H94" s="18"/>
      <c r="I94" s="9">
        <f>590.1+604.6</f>
        <v>1194.7</v>
      </c>
      <c r="J94" s="36">
        <f>L94</f>
        <v>990.90000000000009</v>
      </c>
      <c r="K94" s="18"/>
      <c r="L94" s="9">
        <v>990.90000000000009</v>
      </c>
    </row>
    <row r="95" spans="1:12" ht="46.8" hidden="1" x14ac:dyDescent="0.3">
      <c r="A95" s="5" t="s">
        <v>46</v>
      </c>
      <c r="B95" s="3"/>
      <c r="C95" s="11"/>
      <c r="D95" s="9"/>
      <c r="E95" s="9"/>
      <c r="F95" s="9"/>
      <c r="G95" s="9"/>
      <c r="H95" s="18"/>
      <c r="I95" s="18"/>
      <c r="J95" s="18"/>
      <c r="K95" s="18"/>
      <c r="L95" s="18"/>
    </row>
    <row r="96" spans="1:12" ht="125.25" customHeight="1" x14ac:dyDescent="0.3">
      <c r="A96" s="102" t="s">
        <v>372</v>
      </c>
      <c r="B96" s="22" t="s">
        <v>25</v>
      </c>
      <c r="C96" s="5" t="s">
        <v>381</v>
      </c>
      <c r="D96" s="9">
        <f>F96</f>
        <v>43650.7</v>
      </c>
      <c r="E96" s="9"/>
      <c r="F96" s="9">
        <v>43650.7</v>
      </c>
      <c r="G96" s="9">
        <f t="shared" si="20"/>
        <v>43650.1</v>
      </c>
      <c r="H96" s="18"/>
      <c r="I96" s="9">
        <f>13167+9101.2+9354.2+6562.1+5090.6+375</f>
        <v>43650.1</v>
      </c>
      <c r="J96" s="9">
        <f>L96</f>
        <v>39871.199999999997</v>
      </c>
      <c r="K96" s="9"/>
      <c r="L96" s="9">
        <v>39871.199999999997</v>
      </c>
    </row>
    <row r="97" spans="1:17" ht="46.8" x14ac:dyDescent="0.3">
      <c r="A97" s="107"/>
      <c r="B97" s="22" t="s">
        <v>22</v>
      </c>
      <c r="C97" s="5" t="s">
        <v>283</v>
      </c>
      <c r="D97" s="9">
        <f t="shared" ref="D97:D99" si="21">F97</f>
        <v>8841.2999999999993</v>
      </c>
      <c r="E97" s="9"/>
      <c r="F97" s="9">
        <v>8841.2999999999993</v>
      </c>
      <c r="G97" s="9">
        <f t="shared" si="20"/>
        <v>8841.2999999999993</v>
      </c>
      <c r="H97" s="18"/>
      <c r="I97" s="9">
        <v>8841.2999999999993</v>
      </c>
      <c r="J97" s="9">
        <f>L97</f>
        <v>8811</v>
      </c>
      <c r="K97" s="9"/>
      <c r="L97" s="9">
        <v>8811</v>
      </c>
    </row>
    <row r="98" spans="1:17" ht="116.25" customHeight="1" x14ac:dyDescent="0.3">
      <c r="A98" s="107"/>
      <c r="B98" s="22" t="s">
        <v>38</v>
      </c>
      <c r="C98" s="5" t="s">
        <v>328</v>
      </c>
      <c r="D98" s="9">
        <f t="shared" si="21"/>
        <v>200</v>
      </c>
      <c r="E98" s="9"/>
      <c r="F98" s="9">
        <v>200</v>
      </c>
      <c r="G98" s="9">
        <f t="shared" si="20"/>
        <v>200</v>
      </c>
      <c r="H98" s="18"/>
      <c r="I98" s="9">
        <v>200</v>
      </c>
      <c r="J98" s="9">
        <f>L98</f>
        <v>200</v>
      </c>
      <c r="K98" s="9"/>
      <c r="L98" s="9">
        <v>200</v>
      </c>
    </row>
    <row r="99" spans="1:17" ht="64.2" customHeight="1" x14ac:dyDescent="0.3">
      <c r="A99" s="103"/>
      <c r="B99" s="22" t="s">
        <v>44</v>
      </c>
      <c r="C99" s="5" t="s">
        <v>383</v>
      </c>
      <c r="D99" s="9">
        <f t="shared" si="21"/>
        <v>900</v>
      </c>
      <c r="E99" s="9"/>
      <c r="F99" s="9">
        <v>900</v>
      </c>
      <c r="G99" s="9">
        <f t="shared" si="20"/>
        <v>900</v>
      </c>
      <c r="H99" s="18"/>
      <c r="I99" s="9">
        <v>900</v>
      </c>
      <c r="J99" s="9">
        <f>L99</f>
        <v>260.7</v>
      </c>
      <c r="K99" s="9"/>
      <c r="L99" s="9">
        <v>260.7</v>
      </c>
    </row>
    <row r="100" spans="1:17" ht="6.6" customHeight="1" x14ac:dyDescent="0.3"/>
    <row r="101" spans="1:17" ht="21" x14ac:dyDescent="0.4">
      <c r="A101" s="42" t="s">
        <v>406</v>
      </c>
      <c r="B101" s="1"/>
      <c r="C101" s="1"/>
      <c r="D101" s="1"/>
      <c r="E101" s="1"/>
      <c r="F101" s="1"/>
      <c r="G101" s="1"/>
      <c r="H101" s="39"/>
      <c r="I101" s="96" t="s">
        <v>407</v>
      </c>
      <c r="J101" s="96"/>
      <c r="K101" s="96"/>
      <c r="L101" s="96"/>
    </row>
    <row r="102" spans="1:17" ht="6" customHeight="1" x14ac:dyDescent="0.35">
      <c r="A102" s="1"/>
      <c r="B102" s="1"/>
      <c r="C102" s="1"/>
      <c r="D102" s="1"/>
      <c r="E102" s="1"/>
      <c r="F102" s="1"/>
      <c r="G102" s="1"/>
      <c r="H102" s="39"/>
      <c r="I102" s="40"/>
      <c r="J102" s="40"/>
      <c r="K102" s="40"/>
      <c r="L102" s="40"/>
    </row>
    <row r="103" spans="1:17" ht="18" x14ac:dyDescent="0.35">
      <c r="A103" s="1" t="s">
        <v>408</v>
      </c>
      <c r="B103" s="1"/>
      <c r="C103" s="1"/>
      <c r="D103" s="1"/>
      <c r="E103" s="1"/>
      <c r="F103" s="1"/>
      <c r="G103" s="1"/>
      <c r="H103" s="39"/>
      <c r="I103" s="39"/>
      <c r="J103" s="1"/>
      <c r="K103" s="1"/>
      <c r="L103" s="1"/>
    </row>
    <row r="104" spans="1:17" ht="18.75" hidden="1" customHeight="1" x14ac:dyDescent="0.3">
      <c r="B104" s="3"/>
      <c r="C104" s="11"/>
      <c r="D104" s="11"/>
      <c r="E104" s="11"/>
      <c r="F104" s="11"/>
      <c r="G104" s="11"/>
      <c r="H104" s="15"/>
      <c r="I104" s="15" t="s">
        <v>294</v>
      </c>
      <c r="K104" s="15" t="s">
        <v>293</v>
      </c>
      <c r="L104" s="15" t="s">
        <v>294</v>
      </c>
    </row>
    <row r="105" spans="1:17" hidden="1" x14ac:dyDescent="0.3">
      <c r="B105" s="3">
        <v>2010</v>
      </c>
      <c r="C105" s="11"/>
      <c r="D105" s="11"/>
      <c r="E105" s="11"/>
      <c r="F105" s="11"/>
      <c r="G105" s="11"/>
      <c r="H105" s="18">
        <f>H33+H34+H37+H41+H42+H45+H50+H53+H54+H75</f>
        <v>68044.899999999994</v>
      </c>
      <c r="I105" s="11">
        <f>I89+I91+I94+I96</f>
        <v>125693.4</v>
      </c>
      <c r="K105" s="11">
        <f>K33+K34+K37+K41+K42+K45+K50+K53+K54+K75</f>
        <v>65061.400000000009</v>
      </c>
      <c r="L105" s="11">
        <f>L89+L91+L94+L96</f>
        <v>111220.69999999998</v>
      </c>
      <c r="N105" s="23">
        <f>68321.161</f>
        <v>68321.160999999993</v>
      </c>
      <c r="O105" s="24">
        <f>H105-N105</f>
        <v>-276.2609999999986</v>
      </c>
      <c r="P105" s="25">
        <f>65234.712</f>
        <v>65234.712</v>
      </c>
      <c r="Q105" s="24">
        <f>K105-P105</f>
        <v>-173.3119999999908</v>
      </c>
    </row>
    <row r="106" spans="1:17" hidden="1" x14ac:dyDescent="0.3">
      <c r="B106" s="3"/>
      <c r="C106" s="11"/>
      <c r="D106" s="11"/>
      <c r="E106" s="11"/>
      <c r="F106" s="11"/>
      <c r="G106" s="11"/>
      <c r="H106" s="11">
        <f>H51</f>
        <v>252.6</v>
      </c>
      <c r="I106" s="11"/>
      <c r="K106" s="11">
        <f>K51</f>
        <v>149.80000000000001</v>
      </c>
      <c r="L106" s="11"/>
    </row>
    <row r="107" spans="1:17" hidden="1" x14ac:dyDescent="0.3">
      <c r="B107" s="3">
        <v>2152</v>
      </c>
      <c r="C107" s="11"/>
      <c r="D107" s="11"/>
      <c r="E107" s="11"/>
      <c r="F107" s="11"/>
      <c r="G107" s="11"/>
      <c r="H107" s="18">
        <f>H25+H26+H27+H28+H29+H36+H40+H69+H71+H73</f>
        <v>22762.5</v>
      </c>
      <c r="I107" s="18">
        <f>I88</f>
        <v>111446.6</v>
      </c>
      <c r="K107" s="11">
        <f>K25+K26+K27+K28+K29+K36+K40+K69+K71+K73</f>
        <v>22181.9</v>
      </c>
      <c r="L107" s="18">
        <f>L88</f>
        <v>61118.7</v>
      </c>
      <c r="N107" s="13">
        <f>22762.4</f>
        <v>22762.400000000001</v>
      </c>
      <c r="O107" s="24">
        <f>H107-N107</f>
        <v>9.9999999998544808E-2</v>
      </c>
      <c r="P107" s="13">
        <f>22181.856</f>
        <v>22181.856</v>
      </c>
      <c r="Q107" s="26">
        <f>K107-P107</f>
        <v>4.4000000001688022E-2</v>
      </c>
    </row>
    <row r="108" spans="1:17" hidden="1" x14ac:dyDescent="0.3">
      <c r="B108" s="3"/>
      <c r="C108" s="11"/>
      <c r="D108" s="11"/>
      <c r="E108" s="11"/>
      <c r="F108" s="11"/>
      <c r="G108" s="11"/>
      <c r="H108" s="18"/>
      <c r="I108" s="18">
        <f>I83</f>
        <v>3060.9</v>
      </c>
      <c r="K108" s="11"/>
      <c r="L108" s="11">
        <f>L83</f>
        <v>3060.9</v>
      </c>
    </row>
    <row r="109" spans="1:17" hidden="1" x14ac:dyDescent="0.3">
      <c r="B109" s="3">
        <v>2151</v>
      </c>
      <c r="C109" s="11"/>
      <c r="D109" s="11"/>
      <c r="E109" s="11"/>
      <c r="F109" s="11"/>
      <c r="G109" s="11"/>
      <c r="H109" s="27">
        <f>H81</f>
        <v>3789.2</v>
      </c>
      <c r="I109" s="11">
        <f>I81</f>
        <v>0.1</v>
      </c>
      <c r="K109" s="28">
        <f>K81</f>
        <v>3635.8</v>
      </c>
      <c r="L109" s="11">
        <f>L81</f>
        <v>0.125</v>
      </c>
      <c r="N109" s="13">
        <v>3789.1660000000002</v>
      </c>
      <c r="O109" s="29">
        <f>H109-N109</f>
        <v>3.3999999999650754E-2</v>
      </c>
      <c r="P109" s="13">
        <v>3635.817</v>
      </c>
      <c r="Q109" s="26">
        <f>K109-P109</f>
        <v>-1.6999999999825377E-2</v>
      </c>
    </row>
    <row r="110" spans="1:17" hidden="1" x14ac:dyDescent="0.3">
      <c r="B110" s="3">
        <v>2111</v>
      </c>
      <c r="C110" s="11"/>
      <c r="D110" s="11"/>
      <c r="E110" s="11"/>
      <c r="F110" s="11"/>
      <c r="G110" s="11"/>
      <c r="H110" s="18">
        <f>H24</f>
        <v>4555</v>
      </c>
      <c r="I110" s="18">
        <f>I97</f>
        <v>8841.2999999999993</v>
      </c>
      <c r="K110" s="27">
        <f>K24</f>
        <v>4378.5</v>
      </c>
      <c r="L110" s="27">
        <f>L97</f>
        <v>8811</v>
      </c>
      <c r="N110" s="13">
        <v>4555</v>
      </c>
      <c r="O110" s="24">
        <f>H110-N110</f>
        <v>0</v>
      </c>
      <c r="P110" s="13">
        <v>4378.4769999999999</v>
      </c>
      <c r="Q110" s="29">
        <f>K110-P110</f>
        <v>2.3000000000138243E-2</v>
      </c>
    </row>
    <row r="111" spans="1:17" hidden="1" x14ac:dyDescent="0.3">
      <c r="B111" s="3">
        <v>2100</v>
      </c>
      <c r="C111" s="11"/>
      <c r="D111" s="11"/>
      <c r="E111" s="11"/>
      <c r="F111" s="11"/>
      <c r="G111" s="11"/>
      <c r="H111" s="11">
        <f>H61+H62</f>
        <v>12696.4</v>
      </c>
      <c r="I111" s="11">
        <f>I98</f>
        <v>200</v>
      </c>
      <c r="K111" s="11">
        <f>K61+K62</f>
        <v>12696.2</v>
      </c>
      <c r="L111" s="11">
        <f>L98</f>
        <v>200</v>
      </c>
      <c r="N111" s="13">
        <v>12756.4</v>
      </c>
      <c r="O111" s="30">
        <f>H111-N111</f>
        <v>-60</v>
      </c>
      <c r="P111" s="13">
        <v>12756.313</v>
      </c>
      <c r="Q111" s="31">
        <f>K111-P111</f>
        <v>-60.112999999999374</v>
      </c>
    </row>
    <row r="112" spans="1:17" hidden="1" x14ac:dyDescent="0.3">
      <c r="B112" s="3">
        <v>2030</v>
      </c>
      <c r="C112" s="11"/>
      <c r="D112" s="11"/>
      <c r="E112" s="11"/>
      <c r="F112" s="11"/>
      <c r="G112" s="11"/>
      <c r="H112" s="11">
        <f>H57</f>
        <v>4309.8999999999996</v>
      </c>
      <c r="I112" s="11"/>
      <c r="K112" s="28">
        <f>K57</f>
        <v>4132.7</v>
      </c>
      <c r="L112" s="11"/>
      <c r="N112" s="13">
        <v>4309.8999999999996</v>
      </c>
      <c r="O112" s="30">
        <f>H112-N112</f>
        <v>0</v>
      </c>
      <c r="P112" s="13">
        <v>4132.6809999999996</v>
      </c>
      <c r="Q112" s="26">
        <f>K112-P112</f>
        <v>1.9000000000232831E-2</v>
      </c>
    </row>
    <row r="113" spans="2:14" hidden="1" x14ac:dyDescent="0.3">
      <c r="B113" s="22" t="s">
        <v>45</v>
      </c>
      <c r="C113" s="11"/>
      <c r="D113" s="11"/>
      <c r="E113" s="11"/>
      <c r="F113" s="11"/>
      <c r="G113" s="11"/>
      <c r="H113" s="11"/>
      <c r="I113" s="11">
        <f>I93</f>
        <v>107.2</v>
      </c>
      <c r="K113" s="11"/>
      <c r="L113" s="11">
        <f>L93</f>
        <v>107.2</v>
      </c>
    </row>
    <row r="114" spans="2:14" hidden="1" x14ac:dyDescent="0.3">
      <c r="B114" s="22" t="s">
        <v>44</v>
      </c>
      <c r="C114" s="11"/>
      <c r="D114" s="11"/>
      <c r="E114" s="11"/>
      <c r="F114" s="11"/>
      <c r="G114" s="11"/>
      <c r="H114" s="11"/>
      <c r="I114" s="18">
        <f>I92+I99</f>
        <v>9072</v>
      </c>
      <c r="K114" s="11"/>
      <c r="L114" s="11">
        <f>L92+L99</f>
        <v>8404.5</v>
      </c>
    </row>
    <row r="115" spans="2:14" hidden="1" x14ac:dyDescent="0.3">
      <c r="G115" s="32"/>
      <c r="H115" s="32"/>
      <c r="I115" s="32"/>
      <c r="J115" s="32"/>
      <c r="K115" s="32"/>
      <c r="L115" s="32"/>
      <c r="M115" s="32"/>
      <c r="N115" s="32"/>
    </row>
    <row r="116" spans="2:14" hidden="1" x14ac:dyDescent="0.3">
      <c r="G116" s="32"/>
      <c r="H116" s="33">
        <f>H105+H106+H107+H109+H110+H111+H112+H113+H114</f>
        <v>116410.49999999999</v>
      </c>
      <c r="I116" s="33">
        <f>I105+I106+I107+I109+I110+I111+I112+I113+I114</f>
        <v>255360.6</v>
      </c>
      <c r="J116" s="34"/>
      <c r="K116" s="33">
        <f>K105+K106+K107+K109+K110+K111+K112+K113+K114</f>
        <v>112236.3</v>
      </c>
      <c r="L116" s="33">
        <f t="shared" ref="L116" si="22">L105+L106+L107+L109+L110+L111+L112+L113+L114</f>
        <v>189862.22499999998</v>
      </c>
      <c r="M116" s="32"/>
      <c r="N116" s="32"/>
    </row>
    <row r="117" spans="2:14" hidden="1" x14ac:dyDescent="0.3"/>
    <row r="118" spans="2:14" hidden="1" x14ac:dyDescent="0.3"/>
    <row r="119" spans="2:14" hidden="1" x14ac:dyDescent="0.3">
      <c r="H119" s="35">
        <f>117087.427-593</f>
        <v>116494.427</v>
      </c>
      <c r="K119" s="2">
        <f>112912.434-592.576</f>
        <v>112319.85799999999</v>
      </c>
    </row>
    <row r="120" spans="2:14" hidden="1" x14ac:dyDescent="0.3">
      <c r="H120" s="29">
        <f>H116-H119</f>
        <v>-83.927000000010594</v>
      </c>
      <c r="I120" s="30"/>
      <c r="J120" s="30"/>
      <c r="K120" s="29">
        <f>K116-K119</f>
        <v>-83.557999999989988</v>
      </c>
    </row>
    <row r="121" spans="2:14" hidden="1" x14ac:dyDescent="0.3"/>
    <row r="122" spans="2:14" hidden="1" x14ac:dyDescent="0.3"/>
    <row r="123" spans="2:14" hidden="1" x14ac:dyDescent="0.3"/>
    <row r="124" spans="2:14" hidden="1" x14ac:dyDescent="0.3"/>
    <row r="127" spans="2:14" x14ac:dyDescent="0.3">
      <c r="H127" s="20"/>
      <c r="J127" s="41"/>
    </row>
    <row r="128" spans="2:14" x14ac:dyDescent="0.3">
      <c r="H128" s="20"/>
      <c r="J128" s="20"/>
    </row>
    <row r="129" spans="8:10" x14ac:dyDescent="0.3">
      <c r="H129" s="20"/>
      <c r="J129" s="20"/>
    </row>
    <row r="130" spans="8:10" x14ac:dyDescent="0.3">
      <c r="H130" s="20"/>
      <c r="J130" s="20"/>
    </row>
    <row r="131" spans="8:10" x14ac:dyDescent="0.3">
      <c r="H131" s="20"/>
      <c r="J131" s="20"/>
    </row>
    <row r="132" spans="8:10" x14ac:dyDescent="0.3">
      <c r="H132" s="20"/>
      <c r="J132" s="20"/>
    </row>
  </sheetData>
  <autoFilter ref="A13:L99"/>
  <mergeCells count="26">
    <mergeCell ref="A96:A99"/>
    <mergeCell ref="C5:F5"/>
    <mergeCell ref="A7:L8"/>
    <mergeCell ref="A9:L9"/>
    <mergeCell ref="A76:L76"/>
    <mergeCell ref="A84:L84"/>
    <mergeCell ref="J11:L11"/>
    <mergeCell ref="A18:L18"/>
    <mergeCell ref="A38:A39"/>
    <mergeCell ref="A40:A41"/>
    <mergeCell ref="A50:A51"/>
    <mergeCell ref="A63:L63"/>
    <mergeCell ref="A11:A12"/>
    <mergeCell ref="A91:A92"/>
    <mergeCell ref="B11:B12"/>
    <mergeCell ref="C11:C12"/>
    <mergeCell ref="I1:L1"/>
    <mergeCell ref="C6:F6"/>
    <mergeCell ref="A88:A89"/>
    <mergeCell ref="C40:C41"/>
    <mergeCell ref="C42:C44"/>
    <mergeCell ref="I101:L101"/>
    <mergeCell ref="D11:F11"/>
    <mergeCell ref="G11:I11"/>
    <mergeCell ref="I2:L2"/>
    <mergeCell ref="I3:L3"/>
  </mergeCells>
  <pageMargins left="0.78740157480314965" right="0.78740157480314965" top="1.1811023622047245" bottom="0.39370078740157483" header="0.31496062992125984" footer="0.31496062992125984"/>
  <pageSetup paperSize="9" scale="66" orientation="landscape" r:id="rId1"/>
  <rowBreaks count="3" manualBreakCount="3">
    <brk id="24" max="11" man="1"/>
    <brk id="33" max="11" man="1"/>
    <brk id="80"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BJ272"/>
  <sheetViews>
    <sheetView view="pageBreakPreview" zoomScale="70" zoomScaleNormal="80" zoomScaleSheetLayoutView="70" workbookViewId="0">
      <pane xSplit="1" ySplit="17" topLeftCell="B69" activePane="bottomRight" state="frozen"/>
      <selection pane="topRight" activeCell="B1" sqref="B1"/>
      <selection pane="bottomLeft" activeCell="A7" sqref="A7"/>
      <selection pane="bottomRight" activeCell="A12" sqref="A12:H12"/>
    </sheetView>
  </sheetViews>
  <sheetFormatPr defaultColWidth="9.109375" defaultRowHeight="33" customHeight="1" x14ac:dyDescent="0.3"/>
  <cols>
    <col min="1" max="1" width="35.44140625" style="13" customWidth="1"/>
    <col min="2" max="2" width="14.6640625" style="13" customWidth="1"/>
    <col min="3" max="3" width="34.33203125" style="13" customWidth="1"/>
    <col min="4" max="4" width="9.33203125" style="13" bestFit="1" customWidth="1"/>
    <col min="5" max="6" width="12.6640625" style="13" customWidth="1"/>
    <col min="7" max="7" width="10.109375" style="20" customWidth="1"/>
    <col min="8" max="8" width="41.33203125" style="13" customWidth="1"/>
    <col min="9" max="9" width="13.109375" style="13" customWidth="1"/>
    <col min="10" max="10" width="11.33203125" style="13" customWidth="1"/>
    <col min="11" max="16384" width="9.109375" style="13"/>
  </cols>
  <sheetData>
    <row r="1" spans="1:8" ht="13.5" hidden="1" customHeight="1" x14ac:dyDescent="0.3">
      <c r="G1" s="129" t="s">
        <v>338</v>
      </c>
      <c r="H1" s="129"/>
    </row>
    <row r="2" spans="1:8" ht="13.5" hidden="1" customHeight="1" x14ac:dyDescent="0.3">
      <c r="G2" s="52"/>
      <c r="H2" s="52"/>
    </row>
    <row r="3" spans="1:8" ht="13.5" hidden="1" customHeight="1" x14ac:dyDescent="0.3">
      <c r="F3" s="100" t="s">
        <v>226</v>
      </c>
      <c r="G3" s="100"/>
      <c r="H3" s="100"/>
    </row>
    <row r="4" spans="1:8" ht="13.5" hidden="1" customHeight="1" x14ac:dyDescent="0.3">
      <c r="F4" s="100" t="s">
        <v>245</v>
      </c>
      <c r="G4" s="100"/>
      <c r="H4" s="100"/>
    </row>
    <row r="5" spans="1:8" ht="13.5" hidden="1" customHeight="1" x14ac:dyDescent="0.3">
      <c r="F5" s="46" t="s">
        <v>333</v>
      </c>
      <c r="G5" s="46"/>
      <c r="H5" s="46"/>
    </row>
    <row r="6" spans="1:8" ht="13.5" hidden="1" customHeight="1" x14ac:dyDescent="0.3">
      <c r="F6" s="46"/>
      <c r="G6" s="46"/>
      <c r="H6" s="46"/>
    </row>
    <row r="7" spans="1:8" ht="18" hidden="1" customHeight="1" x14ac:dyDescent="0.3">
      <c r="B7" s="133" t="s">
        <v>334</v>
      </c>
      <c r="C7" s="133"/>
      <c r="D7" s="133"/>
      <c r="E7" s="133"/>
      <c r="F7" s="133"/>
      <c r="G7" s="46"/>
      <c r="H7" s="46"/>
    </row>
    <row r="8" spans="1:8" ht="18" hidden="1" customHeight="1" x14ac:dyDescent="0.3">
      <c r="C8" s="133" t="s">
        <v>335</v>
      </c>
      <c r="D8" s="133"/>
      <c r="E8" s="133"/>
      <c r="F8" s="46"/>
      <c r="G8" s="46"/>
      <c r="H8" s="46"/>
    </row>
    <row r="9" spans="1:8" ht="13.5" customHeight="1" x14ac:dyDescent="0.3">
      <c r="F9" s="46"/>
      <c r="G9" s="46"/>
      <c r="H9" s="46" t="s">
        <v>390</v>
      </c>
    </row>
    <row r="10" spans="1:8" ht="131.4" customHeight="1" x14ac:dyDescent="0.3">
      <c r="F10" s="46"/>
      <c r="G10" s="46"/>
      <c r="H10" s="95" t="s">
        <v>409</v>
      </c>
    </row>
    <row r="11" spans="1:8" ht="12.75" customHeight="1" x14ac:dyDescent="0.3">
      <c r="F11" s="46"/>
      <c r="G11" s="46"/>
      <c r="H11" s="46" t="s">
        <v>405</v>
      </c>
    </row>
    <row r="12" spans="1:8" ht="27" customHeight="1" x14ac:dyDescent="0.35">
      <c r="A12" s="130" t="s">
        <v>269</v>
      </c>
      <c r="B12" s="130"/>
      <c r="C12" s="130"/>
      <c r="D12" s="130"/>
      <c r="E12" s="130"/>
      <c r="F12" s="130"/>
      <c r="G12" s="130"/>
      <c r="H12" s="130"/>
    </row>
    <row r="13" spans="1:8" ht="21.75" customHeight="1" x14ac:dyDescent="0.35">
      <c r="A13" s="131" t="s">
        <v>13</v>
      </c>
      <c r="B13" s="131"/>
      <c r="C13" s="131"/>
      <c r="D13" s="131"/>
      <c r="E13" s="131"/>
      <c r="F13" s="131"/>
      <c r="G13" s="131"/>
      <c r="H13" s="131"/>
    </row>
    <row r="14" spans="1:8" ht="21.75" customHeight="1" x14ac:dyDescent="0.3">
      <c r="A14" s="53"/>
      <c r="B14" s="53"/>
      <c r="C14" s="53"/>
      <c r="D14" s="53"/>
      <c r="E14" s="53"/>
      <c r="F14" s="53"/>
      <c r="G14" s="53"/>
      <c r="H14" s="54" t="s">
        <v>51</v>
      </c>
    </row>
    <row r="15" spans="1:8" ht="27.75" customHeight="1" x14ac:dyDescent="0.3">
      <c r="A15" s="118" t="s">
        <v>5</v>
      </c>
      <c r="B15" s="118" t="s">
        <v>6</v>
      </c>
      <c r="C15" s="118" t="s">
        <v>7</v>
      </c>
      <c r="D15" s="118" t="s">
        <v>8</v>
      </c>
      <c r="E15" s="118" t="s">
        <v>270</v>
      </c>
      <c r="F15" s="118"/>
      <c r="G15" s="132" t="s">
        <v>271</v>
      </c>
      <c r="H15" s="118" t="s">
        <v>272</v>
      </c>
    </row>
    <row r="16" spans="1:8" ht="65.25" customHeight="1" x14ac:dyDescent="0.3">
      <c r="A16" s="118"/>
      <c r="B16" s="118"/>
      <c r="C16" s="118"/>
      <c r="D16" s="118"/>
      <c r="E16" s="55" t="s">
        <v>273</v>
      </c>
      <c r="F16" s="55" t="s">
        <v>274</v>
      </c>
      <c r="G16" s="132"/>
      <c r="H16" s="118"/>
    </row>
    <row r="17" spans="1:9" ht="15" customHeight="1" x14ac:dyDescent="0.3">
      <c r="A17" s="15">
        <v>1</v>
      </c>
      <c r="B17" s="15">
        <v>2</v>
      </c>
      <c r="C17" s="15">
        <v>3</v>
      </c>
      <c r="D17" s="15">
        <v>4</v>
      </c>
      <c r="E17" s="15">
        <v>5</v>
      </c>
      <c r="F17" s="15">
        <v>6</v>
      </c>
      <c r="G17" s="56">
        <v>7</v>
      </c>
      <c r="H17" s="15">
        <v>8</v>
      </c>
    </row>
    <row r="18" spans="1:9" ht="32.25" customHeight="1" x14ac:dyDescent="0.3">
      <c r="A18" s="118" t="s">
        <v>13</v>
      </c>
      <c r="B18" s="5" t="s">
        <v>9</v>
      </c>
      <c r="C18" s="5" t="s">
        <v>235</v>
      </c>
      <c r="D18" s="5" t="s">
        <v>77</v>
      </c>
      <c r="E18" s="5">
        <v>63300</v>
      </c>
      <c r="F18" s="5">
        <v>63877</v>
      </c>
      <c r="G18" s="9">
        <f>F18/E18*100</f>
        <v>100.91153238546605</v>
      </c>
      <c r="H18" s="11"/>
    </row>
    <row r="19" spans="1:9" ht="30" customHeight="1" x14ac:dyDescent="0.3">
      <c r="A19" s="118"/>
      <c r="B19" s="43" t="s">
        <v>231</v>
      </c>
      <c r="C19" s="5" t="s">
        <v>236</v>
      </c>
      <c r="D19" s="5" t="s">
        <v>55</v>
      </c>
      <c r="E19" s="57">
        <v>33</v>
      </c>
      <c r="F19" s="57">
        <f>63877/42986*100-100</f>
        <v>48.599544037593631</v>
      </c>
      <c r="G19" s="9"/>
      <c r="H19" s="5" t="s">
        <v>330</v>
      </c>
    </row>
    <row r="20" spans="1:9" ht="30.75" customHeight="1" x14ac:dyDescent="0.3">
      <c r="A20" s="118"/>
      <c r="B20" s="5" t="s">
        <v>9</v>
      </c>
      <c r="C20" s="5" t="s">
        <v>237</v>
      </c>
      <c r="D20" s="5" t="s">
        <v>77</v>
      </c>
      <c r="E20" s="5">
        <v>1446287</v>
      </c>
      <c r="F20" s="5">
        <v>1444618</v>
      </c>
      <c r="G20" s="9">
        <f t="shared" ref="G20" si="0">F20/E20*100</f>
        <v>99.884601050828778</v>
      </c>
      <c r="H20" s="11"/>
    </row>
    <row r="21" spans="1:9" ht="38.25" customHeight="1" x14ac:dyDescent="0.3">
      <c r="A21" s="118"/>
      <c r="B21" s="43" t="s">
        <v>231</v>
      </c>
      <c r="C21" s="5" t="s">
        <v>238</v>
      </c>
      <c r="D21" s="5" t="s">
        <v>55</v>
      </c>
      <c r="E21" s="57">
        <v>9</v>
      </c>
      <c r="F21" s="57">
        <f>1444618/1217358*100-100</f>
        <v>18.668296425537932</v>
      </c>
      <c r="G21" s="9"/>
      <c r="H21" s="5" t="s">
        <v>331</v>
      </c>
    </row>
    <row r="22" spans="1:9" ht="27" customHeight="1" x14ac:dyDescent="0.3">
      <c r="A22" s="58" t="s">
        <v>216</v>
      </c>
      <c r="B22" s="58"/>
      <c r="C22" s="58"/>
      <c r="D22" s="58" t="s">
        <v>51</v>
      </c>
      <c r="E22" s="58">
        <f>E26+E157+E208+E231</f>
        <v>375309700</v>
      </c>
      <c r="F22" s="58">
        <f>F26+F157+F208+F231</f>
        <v>305182925</v>
      </c>
      <c r="G22" s="59"/>
      <c r="H22" s="11"/>
    </row>
    <row r="23" spans="1:9" ht="27" customHeight="1" x14ac:dyDescent="0.3">
      <c r="A23" s="117" t="s">
        <v>48</v>
      </c>
      <c r="B23" s="117"/>
      <c r="C23" s="117"/>
      <c r="D23" s="117"/>
      <c r="E23" s="117"/>
      <c r="F23" s="117"/>
      <c r="G23" s="117"/>
      <c r="H23" s="117"/>
    </row>
    <row r="24" spans="1:9" ht="19.5" customHeight="1" x14ac:dyDescent="0.3">
      <c r="A24" s="110"/>
      <c r="B24" s="5" t="s">
        <v>9</v>
      </c>
      <c r="C24" s="5" t="s">
        <v>52</v>
      </c>
      <c r="D24" s="60" t="s">
        <v>50</v>
      </c>
      <c r="E24" s="61">
        <v>9</v>
      </c>
      <c r="F24" s="61">
        <v>9</v>
      </c>
      <c r="G24" s="62">
        <f>F24/E24*100</f>
        <v>100</v>
      </c>
      <c r="H24" s="11"/>
    </row>
    <row r="25" spans="1:9" ht="33.75" customHeight="1" x14ac:dyDescent="0.3">
      <c r="A25" s="110"/>
      <c r="B25" s="43" t="s">
        <v>231</v>
      </c>
      <c r="C25" s="43" t="s">
        <v>234</v>
      </c>
      <c r="D25" s="5" t="s">
        <v>55</v>
      </c>
      <c r="E25" s="63">
        <f>E26/80227900*100</f>
        <v>115.30066223844821</v>
      </c>
      <c r="F25" s="63">
        <f>F26/68416200*100</f>
        <v>129.73184713561992</v>
      </c>
      <c r="G25" s="64"/>
      <c r="H25" s="11"/>
      <c r="I25" s="65"/>
    </row>
    <row r="26" spans="1:9" ht="21" customHeight="1" x14ac:dyDescent="0.3">
      <c r="A26" s="117" t="s">
        <v>57</v>
      </c>
      <c r="B26" s="117"/>
      <c r="C26" s="117"/>
      <c r="D26" s="117"/>
      <c r="E26" s="66">
        <f>E28+E33+E37+E52+E57+E64+E68+E82+E91+E99+E115+E119+E129+E138+E147+E110+E114</f>
        <v>92503300</v>
      </c>
      <c r="F26" s="66">
        <f>F28+F33+F37+F52+F57+F64+F68+F82+F91+F99+F115+F119+F129+F138+F147+F110+F114</f>
        <v>88757600</v>
      </c>
      <c r="G26" s="64"/>
      <c r="H26" s="11"/>
    </row>
    <row r="27" spans="1:9" ht="21.75" customHeight="1" x14ac:dyDescent="0.3">
      <c r="A27" s="117" t="s">
        <v>219</v>
      </c>
      <c r="B27" s="117"/>
      <c r="C27" s="117"/>
      <c r="D27" s="117"/>
      <c r="E27" s="117"/>
      <c r="F27" s="117"/>
      <c r="G27" s="117"/>
      <c r="H27" s="117"/>
    </row>
    <row r="28" spans="1:9" ht="33" customHeight="1" x14ac:dyDescent="0.3">
      <c r="A28" s="119" t="s">
        <v>56</v>
      </c>
      <c r="B28" s="5" t="s">
        <v>11</v>
      </c>
      <c r="C28" s="5" t="s">
        <v>49</v>
      </c>
      <c r="D28" s="5" t="s">
        <v>51</v>
      </c>
      <c r="E28" s="19">
        <f>Хід1!E24*1000</f>
        <v>4555000</v>
      </c>
      <c r="F28" s="19">
        <f>Хід1!K24*1000</f>
        <v>4378500</v>
      </c>
      <c r="G28" s="21">
        <f>F28/E28*100</f>
        <v>96.125137211855105</v>
      </c>
      <c r="H28" s="5" t="s">
        <v>320</v>
      </c>
    </row>
    <row r="29" spans="1:9" ht="21.75" customHeight="1" x14ac:dyDescent="0.3">
      <c r="A29" s="120"/>
      <c r="B29" s="5" t="s">
        <v>9</v>
      </c>
      <c r="C29" s="5" t="s">
        <v>52</v>
      </c>
      <c r="D29" s="5" t="s">
        <v>50</v>
      </c>
      <c r="E29" s="5">
        <v>2</v>
      </c>
      <c r="F29" s="5">
        <v>2</v>
      </c>
      <c r="G29" s="21">
        <f t="shared" ref="G29:G32" si="1">F29/E29*100</f>
        <v>100</v>
      </c>
      <c r="H29" s="5"/>
    </row>
    <row r="30" spans="1:9" ht="61.5" customHeight="1" x14ac:dyDescent="0.3">
      <c r="A30" s="120"/>
      <c r="B30" s="5" t="s">
        <v>12</v>
      </c>
      <c r="C30" s="5" t="s">
        <v>53</v>
      </c>
      <c r="D30" s="5" t="s">
        <v>51</v>
      </c>
      <c r="E30" s="5">
        <f>E28/E29</f>
        <v>2277500</v>
      </c>
      <c r="F30" s="5">
        <f>F28/F29</f>
        <v>2189250</v>
      </c>
      <c r="G30" s="21">
        <f t="shared" si="1"/>
        <v>96.125137211855105</v>
      </c>
      <c r="H30" s="5" t="s">
        <v>401</v>
      </c>
    </row>
    <row r="31" spans="1:9" ht="24.75" customHeight="1" x14ac:dyDescent="0.3">
      <c r="A31" s="120"/>
      <c r="B31" s="102" t="s">
        <v>10</v>
      </c>
      <c r="C31" s="5" t="s">
        <v>54</v>
      </c>
      <c r="D31" s="5" t="s">
        <v>55</v>
      </c>
      <c r="E31" s="5">
        <v>100</v>
      </c>
      <c r="F31" s="5">
        <v>100</v>
      </c>
      <c r="G31" s="21">
        <f t="shared" si="1"/>
        <v>100</v>
      </c>
      <c r="H31" s="5"/>
    </row>
    <row r="32" spans="1:9" ht="64.5" customHeight="1" x14ac:dyDescent="0.3">
      <c r="A32" s="121"/>
      <c r="B32" s="103"/>
      <c r="C32" s="5" t="s">
        <v>339</v>
      </c>
      <c r="D32" s="5" t="s">
        <v>55</v>
      </c>
      <c r="E32" s="5">
        <v>86</v>
      </c>
      <c r="F32" s="67">
        <f>F28/5307100*100</f>
        <v>82.502685082248306</v>
      </c>
      <c r="G32" s="21">
        <f t="shared" si="1"/>
        <v>95.933354746800362</v>
      </c>
      <c r="H32" s="43"/>
    </row>
    <row r="33" spans="1:62" ht="36.75" customHeight="1" x14ac:dyDescent="0.3">
      <c r="A33" s="118" t="s">
        <v>58</v>
      </c>
      <c r="B33" s="5" t="s">
        <v>11</v>
      </c>
      <c r="C33" s="5" t="s">
        <v>49</v>
      </c>
      <c r="D33" s="5" t="s">
        <v>51</v>
      </c>
      <c r="E33" s="19">
        <f>Хід1!E25*1000</f>
        <v>76200</v>
      </c>
      <c r="F33" s="19">
        <f>Хід1!K25*1000</f>
        <v>72800</v>
      </c>
      <c r="G33" s="21">
        <f>F33/E33*100</f>
        <v>95.538057742782158</v>
      </c>
      <c r="H33" s="5" t="s">
        <v>326</v>
      </c>
    </row>
    <row r="34" spans="1:62" ht="33" customHeight="1" x14ac:dyDescent="0.3">
      <c r="A34" s="118"/>
      <c r="B34" s="5" t="s">
        <v>9</v>
      </c>
      <c r="C34" s="5" t="s">
        <v>76</v>
      </c>
      <c r="D34" s="5" t="s">
        <v>77</v>
      </c>
      <c r="E34" s="5">
        <v>1200</v>
      </c>
      <c r="F34" s="5">
        <v>1200</v>
      </c>
      <c r="G34" s="21">
        <f t="shared" ref="G34:G36" si="2">F34/E34*100</f>
        <v>100</v>
      </c>
      <c r="H34" s="5"/>
    </row>
    <row r="35" spans="1:62" ht="30.75" customHeight="1" x14ac:dyDescent="0.3">
      <c r="A35" s="118"/>
      <c r="B35" s="5" t="s">
        <v>12</v>
      </c>
      <c r="C35" s="5" t="s">
        <v>78</v>
      </c>
      <c r="D35" s="5" t="s">
        <v>51</v>
      </c>
      <c r="E35" s="5">
        <v>64</v>
      </c>
      <c r="F35" s="9">
        <v>60.69</v>
      </c>
      <c r="G35" s="21">
        <f t="shared" si="2"/>
        <v>94.828125</v>
      </c>
      <c r="H35" s="5" t="s">
        <v>326</v>
      </c>
    </row>
    <row r="36" spans="1:62" ht="65.25" customHeight="1" x14ac:dyDescent="0.3">
      <c r="A36" s="118"/>
      <c r="B36" s="5" t="s">
        <v>231</v>
      </c>
      <c r="C36" s="5" t="s">
        <v>340</v>
      </c>
      <c r="D36" s="5" t="s">
        <v>55</v>
      </c>
      <c r="E36" s="57">
        <f>76200/535600*100</f>
        <v>14.227035100821508</v>
      </c>
      <c r="F36" s="57">
        <f>72832/535600*100</f>
        <v>13.598207617625095</v>
      </c>
      <c r="G36" s="21">
        <f t="shared" si="2"/>
        <v>95.58005249343833</v>
      </c>
      <c r="H36" s="43"/>
    </row>
    <row r="37" spans="1:62" ht="18.75" customHeight="1" x14ac:dyDescent="0.3">
      <c r="A37" s="118" t="s">
        <v>222</v>
      </c>
      <c r="B37" s="114" t="s">
        <v>11</v>
      </c>
      <c r="C37" s="5" t="s">
        <v>49</v>
      </c>
      <c r="D37" s="5" t="s">
        <v>51</v>
      </c>
      <c r="E37" s="19">
        <f>(Хід1!E26+Хід1!E27+Хід1!E28+Хід1!E29)*1000</f>
        <v>566300</v>
      </c>
      <c r="F37" s="19">
        <f>(Хід1!K26+Хід1!K27+Хід1!K28+Хід1!K29)*1000</f>
        <v>557500</v>
      </c>
      <c r="G37" s="21">
        <f>F37/E37*100</f>
        <v>98.446053328624402</v>
      </c>
      <c r="H37" s="5" t="s">
        <v>324</v>
      </c>
    </row>
    <row r="38" spans="1:62" ht="51.75" customHeight="1" x14ac:dyDescent="0.3">
      <c r="A38" s="118"/>
      <c r="B38" s="114"/>
      <c r="C38" s="5" t="s">
        <v>79</v>
      </c>
      <c r="D38" s="5" t="s">
        <v>51</v>
      </c>
      <c r="E38" s="5">
        <f>Хід1!H26*1000</f>
        <v>339700</v>
      </c>
      <c r="F38" s="5">
        <f>Хід1!K26*1000</f>
        <v>331000</v>
      </c>
      <c r="G38" s="9">
        <f>F38/E38*100</f>
        <v>97.438916691198116</v>
      </c>
      <c r="H38" s="5" t="s">
        <v>324</v>
      </c>
    </row>
    <row r="39" spans="1:62" ht="46.5" customHeight="1" x14ac:dyDescent="0.3">
      <c r="A39" s="118"/>
      <c r="B39" s="114"/>
      <c r="C39" s="5" t="s">
        <v>80</v>
      </c>
      <c r="D39" s="5" t="s">
        <v>51</v>
      </c>
      <c r="E39" s="5">
        <f>Хід1!H27*1000</f>
        <v>139500</v>
      </c>
      <c r="F39" s="5">
        <f>Хід1!K27*1000</f>
        <v>139400</v>
      </c>
      <c r="G39" s="9">
        <f>F39/E39*100</f>
        <v>99.928315412186379</v>
      </c>
      <c r="H39" s="5" t="s">
        <v>350</v>
      </c>
    </row>
    <row r="40" spans="1:62" ht="49.5" customHeight="1" x14ac:dyDescent="0.3">
      <c r="A40" s="118"/>
      <c r="B40" s="114"/>
      <c r="C40" s="5" t="s">
        <v>81</v>
      </c>
      <c r="D40" s="5" t="s">
        <v>51</v>
      </c>
      <c r="E40" s="5">
        <f>Хід1!H28*1000</f>
        <v>23100</v>
      </c>
      <c r="F40" s="5">
        <f>Хід1!K28*1000</f>
        <v>23100</v>
      </c>
      <c r="G40" s="9">
        <f t="shared" ref="G40:G50" si="3">F40/E40*100</f>
        <v>100</v>
      </c>
      <c r="H40" s="5"/>
    </row>
    <row r="41" spans="1:62" ht="51" customHeight="1" x14ac:dyDescent="0.3">
      <c r="A41" s="118"/>
      <c r="B41" s="114"/>
      <c r="C41" s="5" t="s">
        <v>224</v>
      </c>
      <c r="D41" s="5"/>
      <c r="E41" s="5">
        <f>Хід1!H29*1000</f>
        <v>64000</v>
      </c>
      <c r="F41" s="5">
        <f>Хід1!K29*1000</f>
        <v>64000</v>
      </c>
      <c r="G41" s="9">
        <f t="shared" si="3"/>
        <v>100</v>
      </c>
      <c r="H41" s="5"/>
    </row>
    <row r="42" spans="1:62" ht="36.75" customHeight="1" x14ac:dyDescent="0.3">
      <c r="A42" s="118"/>
      <c r="B42" s="114" t="s">
        <v>9</v>
      </c>
      <c r="C42" s="5" t="s">
        <v>82</v>
      </c>
      <c r="D42" s="5" t="s">
        <v>77</v>
      </c>
      <c r="E42" s="5">
        <v>2</v>
      </c>
      <c r="F42" s="5">
        <v>2</v>
      </c>
      <c r="G42" s="9">
        <f t="shared" si="3"/>
        <v>100</v>
      </c>
      <c r="H42" s="5"/>
    </row>
    <row r="43" spans="1:62" ht="33" customHeight="1" x14ac:dyDescent="0.3">
      <c r="A43" s="118"/>
      <c r="B43" s="114"/>
      <c r="C43" s="5" t="s">
        <v>83</v>
      </c>
      <c r="D43" s="5" t="s">
        <v>77</v>
      </c>
      <c r="E43" s="5">
        <v>18</v>
      </c>
      <c r="F43" s="5">
        <v>18</v>
      </c>
      <c r="G43" s="9">
        <f t="shared" si="3"/>
        <v>100</v>
      </c>
      <c r="H43" s="5"/>
    </row>
    <row r="44" spans="1:62" ht="33" customHeight="1" x14ac:dyDescent="0.3">
      <c r="A44" s="118"/>
      <c r="B44" s="114"/>
      <c r="C44" s="5" t="s">
        <v>84</v>
      </c>
      <c r="D44" s="5" t="s">
        <v>77</v>
      </c>
      <c r="E44" s="5">
        <v>2</v>
      </c>
      <c r="F44" s="5">
        <v>2</v>
      </c>
      <c r="G44" s="9">
        <f t="shared" si="3"/>
        <v>100</v>
      </c>
      <c r="H44" s="5"/>
    </row>
    <row r="45" spans="1:62" ht="24.75" customHeight="1" x14ac:dyDescent="0.3">
      <c r="A45" s="118"/>
      <c r="B45" s="114"/>
      <c r="C45" s="5" t="s">
        <v>223</v>
      </c>
      <c r="D45" s="5" t="s">
        <v>77</v>
      </c>
      <c r="E45" s="5">
        <v>1</v>
      </c>
      <c r="F45" s="5">
        <v>1</v>
      </c>
      <c r="G45" s="9">
        <f t="shared" si="3"/>
        <v>100</v>
      </c>
      <c r="H45" s="5"/>
    </row>
    <row r="46" spans="1:62" ht="39.75" customHeight="1" x14ac:dyDescent="0.3">
      <c r="A46" s="118"/>
      <c r="B46" s="114" t="s">
        <v>12</v>
      </c>
      <c r="C46" s="5" t="s">
        <v>402</v>
      </c>
      <c r="D46" s="5" t="s">
        <v>51</v>
      </c>
      <c r="E46" s="5">
        <f>E38/E42</f>
        <v>169850</v>
      </c>
      <c r="F46" s="57">
        <f>F38/F42</f>
        <v>165500</v>
      </c>
      <c r="G46" s="9">
        <f t="shared" si="3"/>
        <v>97.438916691198116</v>
      </c>
      <c r="H46" s="5" t="s">
        <v>351</v>
      </c>
    </row>
    <row r="47" spans="1:62" ht="47.25" customHeight="1" x14ac:dyDescent="0.3">
      <c r="A47" s="118"/>
      <c r="B47" s="114"/>
      <c r="C47" s="5" t="s">
        <v>85</v>
      </c>
      <c r="D47" s="5" t="s">
        <v>51</v>
      </c>
      <c r="E47" s="9">
        <f t="shared" ref="E47:F48" si="4">E39/E43</f>
        <v>7750</v>
      </c>
      <c r="F47" s="9">
        <f>F39/F43</f>
        <v>7744.4444444444443</v>
      </c>
      <c r="G47" s="68">
        <f t="shared" si="3"/>
        <v>99.928315412186379</v>
      </c>
      <c r="H47" s="125" t="s">
        <v>350</v>
      </c>
      <c r="I47" s="126"/>
      <c r="J47" s="126"/>
      <c r="K47" s="126"/>
      <c r="L47" s="126"/>
      <c r="M47" s="126"/>
      <c r="N47" s="126"/>
      <c r="O47" s="126"/>
      <c r="P47" s="126"/>
      <c r="Q47" s="126"/>
      <c r="R47" s="127"/>
      <c r="S47" s="127"/>
      <c r="T47" s="127"/>
      <c r="U47" s="127"/>
      <c r="V47" s="127"/>
      <c r="W47" s="127"/>
      <c r="X47" s="127"/>
      <c r="Y47" s="127"/>
      <c r="Z47" s="127"/>
      <c r="AA47" s="127"/>
      <c r="AB47" s="127"/>
      <c r="AC47" s="127"/>
      <c r="AD47" s="127"/>
      <c r="AE47" s="127"/>
      <c r="AF47" s="127"/>
      <c r="AG47" s="127"/>
      <c r="AH47" s="127"/>
      <c r="AI47" s="127"/>
      <c r="AJ47" s="127"/>
      <c r="AK47" s="127"/>
      <c r="AL47" s="127"/>
      <c r="AM47" s="127"/>
      <c r="AN47" s="127"/>
      <c r="AO47" s="127"/>
      <c r="AP47" s="127"/>
      <c r="AQ47" s="127"/>
      <c r="AR47" s="127"/>
      <c r="AS47" s="127"/>
      <c r="AT47" s="127"/>
      <c r="AU47" s="127"/>
      <c r="AV47" s="127"/>
      <c r="AW47" s="127"/>
      <c r="AX47" s="127"/>
      <c r="AY47" s="127"/>
      <c r="AZ47" s="127"/>
      <c r="BA47" s="127"/>
      <c r="BB47" s="127"/>
      <c r="BC47" s="127"/>
      <c r="BD47" s="127"/>
      <c r="BE47" s="127"/>
      <c r="BF47" s="127"/>
      <c r="BG47" s="127"/>
      <c r="BH47" s="127"/>
      <c r="BI47" s="127"/>
      <c r="BJ47" s="128"/>
    </row>
    <row r="48" spans="1:62" ht="33" customHeight="1" x14ac:dyDescent="0.3">
      <c r="A48" s="118"/>
      <c r="B48" s="114"/>
      <c r="C48" s="5" t="s">
        <v>86</v>
      </c>
      <c r="D48" s="5" t="s">
        <v>51</v>
      </c>
      <c r="E48" s="5">
        <f t="shared" si="4"/>
        <v>11550</v>
      </c>
      <c r="F48" s="57">
        <f t="shared" si="4"/>
        <v>11550</v>
      </c>
      <c r="G48" s="9">
        <f t="shared" si="3"/>
        <v>100</v>
      </c>
      <c r="H48" s="125"/>
      <c r="I48" s="126"/>
      <c r="J48" s="126"/>
      <c r="K48" s="126"/>
      <c r="L48" s="126"/>
      <c r="M48" s="126"/>
      <c r="N48" s="126"/>
      <c r="O48" s="126"/>
      <c r="P48" s="126"/>
      <c r="Q48" s="126"/>
      <c r="R48" s="127"/>
      <c r="S48" s="127"/>
      <c r="T48" s="127"/>
      <c r="U48" s="127"/>
      <c r="V48" s="127"/>
      <c r="W48" s="127"/>
      <c r="X48" s="127"/>
      <c r="Y48" s="127"/>
      <c r="Z48" s="127"/>
      <c r="AA48" s="127"/>
      <c r="AB48" s="127"/>
      <c r="AC48" s="127"/>
      <c r="AD48" s="127"/>
      <c r="AE48" s="127"/>
      <c r="AF48" s="127"/>
      <c r="AG48" s="127"/>
      <c r="AH48" s="127"/>
      <c r="AI48" s="127"/>
      <c r="AJ48" s="127"/>
      <c r="AK48" s="127"/>
      <c r="AL48" s="127"/>
      <c r="AM48" s="127"/>
      <c r="AN48" s="127"/>
      <c r="AO48" s="127"/>
      <c r="AP48" s="127"/>
      <c r="AQ48" s="127"/>
      <c r="AR48" s="127"/>
      <c r="AS48" s="127"/>
      <c r="AT48" s="127"/>
      <c r="AU48" s="127"/>
      <c r="AV48" s="127"/>
      <c r="AW48" s="127"/>
      <c r="AX48" s="127"/>
      <c r="AY48" s="127"/>
      <c r="AZ48" s="127"/>
      <c r="BA48" s="127"/>
      <c r="BB48" s="127"/>
      <c r="BC48" s="127"/>
      <c r="BD48" s="127"/>
      <c r="BE48" s="127"/>
      <c r="BF48" s="127"/>
      <c r="BG48" s="127"/>
      <c r="BH48" s="127"/>
      <c r="BI48" s="127"/>
      <c r="BJ48" s="128"/>
    </row>
    <row r="49" spans="1:62" ht="33" customHeight="1" x14ac:dyDescent="0.3">
      <c r="A49" s="118"/>
      <c r="B49" s="114"/>
      <c r="C49" s="5" t="s">
        <v>225</v>
      </c>
      <c r="D49" s="5" t="s">
        <v>51</v>
      </c>
      <c r="E49" s="5">
        <f>E41/E45</f>
        <v>64000</v>
      </c>
      <c r="F49" s="5">
        <f t="shared" ref="F49" si="5">F41/F45</f>
        <v>64000</v>
      </c>
      <c r="G49" s="9">
        <f t="shared" si="3"/>
        <v>100</v>
      </c>
      <c r="H49" s="125"/>
      <c r="I49" s="126"/>
      <c r="J49" s="126"/>
      <c r="K49" s="126"/>
      <c r="L49" s="126"/>
      <c r="M49" s="126"/>
      <c r="N49" s="126"/>
      <c r="O49" s="126"/>
      <c r="P49" s="126"/>
      <c r="Q49" s="126"/>
      <c r="R49" s="127"/>
      <c r="S49" s="127"/>
      <c r="T49" s="127"/>
      <c r="U49" s="127"/>
      <c r="V49" s="127"/>
      <c r="W49" s="127"/>
      <c r="X49" s="127"/>
      <c r="Y49" s="127"/>
      <c r="Z49" s="127"/>
      <c r="AA49" s="127"/>
      <c r="AB49" s="127"/>
      <c r="AC49" s="127"/>
      <c r="AD49" s="127"/>
      <c r="AE49" s="127"/>
      <c r="AF49" s="127"/>
      <c r="AG49" s="127"/>
      <c r="AH49" s="127"/>
      <c r="AI49" s="127"/>
      <c r="AJ49" s="127"/>
      <c r="AK49" s="127"/>
      <c r="AL49" s="127"/>
      <c r="AM49" s="127"/>
      <c r="AN49" s="127"/>
      <c r="AO49" s="127"/>
      <c r="AP49" s="127"/>
      <c r="AQ49" s="127"/>
      <c r="AR49" s="127"/>
      <c r="AS49" s="127"/>
      <c r="AT49" s="127"/>
      <c r="AU49" s="127"/>
      <c r="AV49" s="127"/>
      <c r="AW49" s="127"/>
      <c r="AX49" s="127"/>
      <c r="AY49" s="127"/>
      <c r="AZ49" s="127"/>
      <c r="BA49" s="127"/>
      <c r="BB49" s="127"/>
      <c r="BC49" s="127"/>
      <c r="BD49" s="127"/>
      <c r="BE49" s="127"/>
      <c r="BF49" s="127"/>
      <c r="BG49" s="127"/>
      <c r="BH49" s="127"/>
      <c r="BI49" s="127"/>
      <c r="BJ49" s="128"/>
    </row>
    <row r="50" spans="1:62" ht="166.5" customHeight="1" x14ac:dyDescent="0.3">
      <c r="A50" s="118"/>
      <c r="B50" s="5" t="s">
        <v>10</v>
      </c>
      <c r="C50" s="5" t="s">
        <v>87</v>
      </c>
      <c r="D50" s="5" t="s">
        <v>55</v>
      </c>
      <c r="E50" s="5">
        <v>59</v>
      </c>
      <c r="F50" s="5">
        <v>100</v>
      </c>
      <c r="G50" s="9">
        <f t="shared" si="3"/>
        <v>169.4915254237288</v>
      </c>
      <c r="H50" s="5"/>
    </row>
    <row r="51" spans="1:62" ht="21" customHeight="1" x14ac:dyDescent="0.3">
      <c r="A51" s="124" t="s">
        <v>227</v>
      </c>
      <c r="B51" s="124"/>
      <c r="C51" s="124"/>
      <c r="D51" s="124"/>
      <c r="E51" s="124"/>
      <c r="F51" s="124"/>
      <c r="G51" s="124"/>
      <c r="H51" s="124"/>
    </row>
    <row r="52" spans="1:62" ht="18" customHeight="1" x14ac:dyDescent="0.3">
      <c r="A52" s="119" t="s">
        <v>59</v>
      </c>
      <c r="B52" s="5" t="s">
        <v>11</v>
      </c>
      <c r="C52" s="5" t="s">
        <v>49</v>
      </c>
      <c r="D52" s="5" t="s">
        <v>51</v>
      </c>
      <c r="E52" s="19">
        <f>Хід1!E33*1000</f>
        <v>43179600</v>
      </c>
      <c r="F52" s="19">
        <f>Хід1!K33*1000</f>
        <v>42351300</v>
      </c>
      <c r="G52" s="21">
        <f>F52/E52*100</f>
        <v>98.081733040602501</v>
      </c>
      <c r="H52" s="5" t="s">
        <v>320</v>
      </c>
    </row>
    <row r="53" spans="1:62" ht="16.5" customHeight="1" x14ac:dyDescent="0.3">
      <c r="A53" s="120"/>
      <c r="B53" s="5" t="s">
        <v>9</v>
      </c>
      <c r="C53" s="11" t="s">
        <v>52</v>
      </c>
      <c r="D53" s="11" t="s">
        <v>50</v>
      </c>
      <c r="E53" s="11">
        <v>5</v>
      </c>
      <c r="F53" s="11">
        <v>5</v>
      </c>
      <c r="G53" s="21"/>
      <c r="H53" s="5"/>
    </row>
    <row r="54" spans="1:62" ht="18.75" customHeight="1" x14ac:dyDescent="0.3">
      <c r="A54" s="120"/>
      <c r="B54" s="5" t="s">
        <v>12</v>
      </c>
      <c r="C54" s="43" t="s">
        <v>88</v>
      </c>
      <c r="D54" s="5" t="s">
        <v>51</v>
      </c>
      <c r="E54" s="5">
        <f>E52/E53</f>
        <v>8635920</v>
      </c>
      <c r="F54" s="5">
        <f>F52/F53</f>
        <v>8470260</v>
      </c>
      <c r="G54" s="21">
        <f t="shared" ref="G54:G56" si="6">F54/E54*100</f>
        <v>98.081733040602501</v>
      </c>
      <c r="H54" s="5" t="s">
        <v>320</v>
      </c>
    </row>
    <row r="55" spans="1:62" ht="20.25" customHeight="1" x14ac:dyDescent="0.3">
      <c r="A55" s="120"/>
      <c r="B55" s="102" t="s">
        <v>10</v>
      </c>
      <c r="C55" s="69" t="s">
        <v>89</v>
      </c>
      <c r="D55" s="5" t="s">
        <v>55</v>
      </c>
      <c r="E55" s="5">
        <v>100</v>
      </c>
      <c r="F55" s="5">
        <v>100</v>
      </c>
      <c r="G55" s="21">
        <f t="shared" si="6"/>
        <v>100</v>
      </c>
      <c r="H55" s="5"/>
    </row>
    <row r="56" spans="1:62" ht="68.25" customHeight="1" x14ac:dyDescent="0.3">
      <c r="A56" s="121"/>
      <c r="B56" s="103"/>
      <c r="C56" s="5" t="s">
        <v>339</v>
      </c>
      <c r="D56" s="5" t="s">
        <v>55</v>
      </c>
      <c r="E56" s="57">
        <f>43179600/42367700*100</f>
        <v>101.91631832740507</v>
      </c>
      <c r="F56" s="57">
        <f>42351300/43179600*100</f>
        <v>98.081733040602501</v>
      </c>
      <c r="G56" s="21">
        <f t="shared" si="6"/>
        <v>96.23751588584274</v>
      </c>
      <c r="H56" s="43"/>
    </row>
    <row r="57" spans="1:62" ht="18" customHeight="1" x14ac:dyDescent="0.3">
      <c r="A57" s="118" t="s">
        <v>60</v>
      </c>
      <c r="B57" s="5" t="s">
        <v>11</v>
      </c>
      <c r="C57" s="5" t="s">
        <v>49</v>
      </c>
      <c r="D57" s="5" t="s">
        <v>51</v>
      </c>
      <c r="E57" s="19">
        <f>Хід1!E34*1000</f>
        <v>318700</v>
      </c>
      <c r="F57" s="19">
        <f>Хід1!K34*1000</f>
        <v>0</v>
      </c>
      <c r="G57" s="21">
        <f>F57/E57*100</f>
        <v>0</v>
      </c>
      <c r="H57" s="114" t="s">
        <v>319</v>
      </c>
    </row>
    <row r="58" spans="1:62" ht="47.25" customHeight="1" x14ac:dyDescent="0.3">
      <c r="A58" s="118"/>
      <c r="B58" s="5" t="s">
        <v>9</v>
      </c>
      <c r="C58" s="5" t="s">
        <v>90</v>
      </c>
      <c r="D58" s="5" t="s">
        <v>77</v>
      </c>
      <c r="E58" s="5">
        <v>200</v>
      </c>
      <c r="F58" s="5"/>
      <c r="G58" s="9"/>
      <c r="H58" s="114"/>
    </row>
    <row r="59" spans="1:62" ht="18.75" customHeight="1" x14ac:dyDescent="0.3">
      <c r="A59" s="118"/>
      <c r="B59" s="5" t="s">
        <v>12</v>
      </c>
      <c r="C59" s="5" t="s">
        <v>91</v>
      </c>
      <c r="D59" s="5" t="s">
        <v>51</v>
      </c>
      <c r="E59" s="57">
        <f>E57/E58</f>
        <v>1593.5</v>
      </c>
      <c r="F59" s="5"/>
      <c r="G59" s="9"/>
      <c r="H59" s="114"/>
    </row>
    <row r="60" spans="1:62" ht="53.25" customHeight="1" x14ac:dyDescent="0.3">
      <c r="A60" s="118"/>
      <c r="B60" s="5" t="s">
        <v>10</v>
      </c>
      <c r="C60" s="5" t="s">
        <v>92</v>
      </c>
      <c r="D60" s="5" t="s">
        <v>55</v>
      </c>
      <c r="E60" s="5">
        <v>100</v>
      </c>
      <c r="F60" s="5"/>
      <c r="G60" s="9"/>
      <c r="H60" s="114"/>
    </row>
    <row r="61" spans="1:62" ht="47.25" hidden="1" customHeight="1" x14ac:dyDescent="0.3">
      <c r="A61" s="118" t="s">
        <v>61</v>
      </c>
      <c r="B61" s="5" t="s">
        <v>11</v>
      </c>
      <c r="C61" s="5" t="s">
        <v>49</v>
      </c>
      <c r="D61" s="5" t="s">
        <v>51</v>
      </c>
      <c r="E61" s="5"/>
      <c r="F61" s="5"/>
      <c r="G61" s="9"/>
      <c r="H61" s="11"/>
    </row>
    <row r="62" spans="1:62" ht="47.25" hidden="1" customHeight="1" x14ac:dyDescent="0.3">
      <c r="A62" s="118"/>
      <c r="B62" s="5" t="s">
        <v>9</v>
      </c>
      <c r="C62" s="5" t="s">
        <v>93</v>
      </c>
      <c r="D62" s="5" t="s">
        <v>50</v>
      </c>
      <c r="E62" s="5"/>
      <c r="F62" s="5"/>
      <c r="G62" s="9"/>
      <c r="H62" s="11"/>
    </row>
    <row r="63" spans="1:62" ht="47.25" hidden="1" customHeight="1" x14ac:dyDescent="0.3">
      <c r="A63" s="118"/>
      <c r="B63" s="5" t="s">
        <v>12</v>
      </c>
      <c r="C63" s="5" t="s">
        <v>94</v>
      </c>
      <c r="D63" s="5" t="s">
        <v>51</v>
      </c>
      <c r="E63" s="5"/>
      <c r="F63" s="5"/>
      <c r="G63" s="9"/>
      <c r="H63" s="11"/>
    </row>
    <row r="64" spans="1:62" ht="48.75" customHeight="1" x14ac:dyDescent="0.3">
      <c r="A64" s="118" t="s">
        <v>62</v>
      </c>
      <c r="B64" s="5" t="s">
        <v>11</v>
      </c>
      <c r="C64" s="5" t="s">
        <v>49</v>
      </c>
      <c r="D64" s="5" t="s">
        <v>51</v>
      </c>
      <c r="E64" s="19">
        <f>Хід1!E36*1000</f>
        <v>2124000</v>
      </c>
      <c r="F64" s="19">
        <f>Хід1!K36*1000</f>
        <v>1874300</v>
      </c>
      <c r="G64" s="21">
        <f>F64/E64*100</f>
        <v>88.243879472693038</v>
      </c>
      <c r="H64" s="5" t="s">
        <v>387</v>
      </c>
    </row>
    <row r="65" spans="1:8" ht="79.5" customHeight="1" x14ac:dyDescent="0.3">
      <c r="A65" s="118"/>
      <c r="B65" s="5" t="s">
        <v>9</v>
      </c>
      <c r="C65" s="5" t="s">
        <v>96</v>
      </c>
      <c r="D65" s="5" t="s">
        <v>77</v>
      </c>
      <c r="E65" s="5">
        <v>6375</v>
      </c>
      <c r="F65" s="5">
        <v>7356</v>
      </c>
      <c r="G65" s="21">
        <f t="shared" ref="G65:G67" si="7">F65/E65*100</f>
        <v>115.38823529411766</v>
      </c>
      <c r="H65" s="5" t="s">
        <v>386</v>
      </c>
    </row>
    <row r="66" spans="1:8" ht="33" customHeight="1" x14ac:dyDescent="0.3">
      <c r="A66" s="118"/>
      <c r="B66" s="5" t="s">
        <v>12</v>
      </c>
      <c r="C66" s="5" t="s">
        <v>97</v>
      </c>
      <c r="D66" s="5" t="s">
        <v>95</v>
      </c>
      <c r="E66" s="57">
        <v>333.18</v>
      </c>
      <c r="F66" s="9">
        <v>254.8</v>
      </c>
      <c r="G66" s="21">
        <f t="shared" si="7"/>
        <v>76.475178582147791</v>
      </c>
      <c r="H66" s="5"/>
    </row>
    <row r="67" spans="1:8" ht="19.5" customHeight="1" x14ac:dyDescent="0.3">
      <c r="A67" s="118"/>
      <c r="B67" s="5" t="s">
        <v>10</v>
      </c>
      <c r="C67" s="5" t="s">
        <v>98</v>
      </c>
      <c r="D67" s="5" t="s">
        <v>55</v>
      </c>
      <c r="E67" s="5">
        <v>100</v>
      </c>
      <c r="F67" s="5">
        <v>88.25</v>
      </c>
      <c r="G67" s="21">
        <f t="shared" si="7"/>
        <v>88.25</v>
      </c>
      <c r="H67" s="5"/>
    </row>
    <row r="68" spans="1:8" ht="49.5" customHeight="1" x14ac:dyDescent="0.3">
      <c r="A68" s="118" t="s">
        <v>63</v>
      </c>
      <c r="B68" s="114" t="s">
        <v>11</v>
      </c>
      <c r="C68" s="69" t="s">
        <v>49</v>
      </c>
      <c r="D68" s="5" t="s">
        <v>95</v>
      </c>
      <c r="E68" s="19">
        <f>Хід1!E37*1000</f>
        <v>2390500</v>
      </c>
      <c r="F68" s="19">
        <f>Хід1!K37*1000</f>
        <v>2379800</v>
      </c>
      <c r="G68" s="21">
        <f>F68/E68*100</f>
        <v>99.552394896465174</v>
      </c>
      <c r="H68" s="5" t="s">
        <v>388</v>
      </c>
    </row>
    <row r="69" spans="1:8" ht="21.75" customHeight="1" x14ac:dyDescent="0.3">
      <c r="A69" s="118"/>
      <c r="B69" s="114"/>
      <c r="C69" s="70" t="s">
        <v>100</v>
      </c>
      <c r="D69" s="5" t="s">
        <v>99</v>
      </c>
      <c r="E69" s="5">
        <v>11.25</v>
      </c>
      <c r="F69" s="5">
        <v>11.25</v>
      </c>
      <c r="G69" s="21">
        <f t="shared" ref="G69:G75" si="8">F69/E69*100</f>
        <v>100</v>
      </c>
      <c r="H69" s="5"/>
    </row>
    <row r="70" spans="1:8" ht="19.5" customHeight="1" x14ac:dyDescent="0.3">
      <c r="A70" s="118"/>
      <c r="B70" s="114"/>
      <c r="C70" s="70" t="s">
        <v>101</v>
      </c>
      <c r="D70" s="5" t="s">
        <v>50</v>
      </c>
      <c r="E70" s="5">
        <v>3.25</v>
      </c>
      <c r="F70" s="5">
        <v>3.25</v>
      </c>
      <c r="G70" s="21">
        <f t="shared" si="8"/>
        <v>100</v>
      </c>
      <c r="H70" s="5"/>
    </row>
    <row r="71" spans="1:8" ht="23.25" customHeight="1" x14ac:dyDescent="0.3">
      <c r="A71" s="118"/>
      <c r="B71" s="114" t="s">
        <v>9</v>
      </c>
      <c r="C71" s="71" t="s">
        <v>102</v>
      </c>
      <c r="D71" s="5" t="s">
        <v>77</v>
      </c>
      <c r="E71" s="5">
        <v>2099</v>
      </c>
      <c r="F71" s="5">
        <v>2382</v>
      </c>
      <c r="G71" s="21">
        <f t="shared" si="8"/>
        <v>113.48261076703193</v>
      </c>
      <c r="H71" s="5" t="s">
        <v>389</v>
      </c>
    </row>
    <row r="72" spans="1:8" ht="33" customHeight="1" x14ac:dyDescent="0.3">
      <c r="A72" s="118"/>
      <c r="B72" s="114"/>
      <c r="C72" s="71" t="s">
        <v>103</v>
      </c>
      <c r="D72" s="5" t="s">
        <v>50</v>
      </c>
      <c r="E72" s="5">
        <v>190</v>
      </c>
      <c r="F72" s="5">
        <v>52</v>
      </c>
      <c r="G72" s="21">
        <f t="shared" si="8"/>
        <v>27.368421052631582</v>
      </c>
      <c r="H72" s="5" t="s">
        <v>389</v>
      </c>
    </row>
    <row r="73" spans="1:8" ht="33" customHeight="1" x14ac:dyDescent="0.3">
      <c r="A73" s="118"/>
      <c r="B73" s="114" t="s">
        <v>12</v>
      </c>
      <c r="C73" s="70" t="s">
        <v>104</v>
      </c>
      <c r="D73" s="5" t="s">
        <v>77</v>
      </c>
      <c r="E73" s="57">
        <v>700</v>
      </c>
      <c r="F73" s="5">
        <v>733</v>
      </c>
      <c r="G73" s="21">
        <f t="shared" si="8"/>
        <v>104.71428571428572</v>
      </c>
      <c r="H73" s="5"/>
    </row>
    <row r="74" spans="1:8" ht="33" customHeight="1" x14ac:dyDescent="0.3">
      <c r="A74" s="118"/>
      <c r="B74" s="114"/>
      <c r="C74" s="70" t="s">
        <v>105</v>
      </c>
      <c r="D74" s="5" t="s">
        <v>50</v>
      </c>
      <c r="E74" s="57">
        <v>63</v>
      </c>
      <c r="F74" s="5">
        <v>16</v>
      </c>
      <c r="G74" s="21">
        <f t="shared" si="8"/>
        <v>25.396825396825395</v>
      </c>
      <c r="H74" s="5"/>
    </row>
    <row r="75" spans="1:8" ht="33" customHeight="1" x14ac:dyDescent="0.3">
      <c r="A75" s="118"/>
      <c r="B75" s="5" t="s">
        <v>10</v>
      </c>
      <c r="C75" s="5" t="s">
        <v>106</v>
      </c>
      <c r="D75" s="5" t="s">
        <v>55</v>
      </c>
      <c r="E75" s="5">
        <v>10</v>
      </c>
      <c r="F75" s="5">
        <v>10</v>
      </c>
      <c r="G75" s="21">
        <f t="shared" si="8"/>
        <v>100</v>
      </c>
      <c r="H75" s="5"/>
    </row>
    <row r="76" spans="1:8" ht="47.25" hidden="1" customHeight="1" x14ac:dyDescent="0.3">
      <c r="A76" s="118" t="s">
        <v>64</v>
      </c>
      <c r="B76" s="43" t="s">
        <v>11</v>
      </c>
      <c r="C76" s="5" t="s">
        <v>49</v>
      </c>
      <c r="D76" s="11" t="s">
        <v>51</v>
      </c>
      <c r="E76" s="11"/>
      <c r="F76" s="11"/>
      <c r="G76" s="18"/>
      <c r="H76" s="11"/>
    </row>
    <row r="77" spans="1:8" ht="47.25" hidden="1" customHeight="1" x14ac:dyDescent="0.3">
      <c r="A77" s="118"/>
      <c r="B77" s="114" t="s">
        <v>9</v>
      </c>
      <c r="C77" s="71" t="s">
        <v>111</v>
      </c>
      <c r="D77" s="11" t="s">
        <v>77</v>
      </c>
      <c r="E77" s="11"/>
      <c r="F77" s="11"/>
      <c r="G77" s="18"/>
      <c r="H77" s="11"/>
    </row>
    <row r="78" spans="1:8" ht="47.25" hidden="1" customHeight="1" x14ac:dyDescent="0.3">
      <c r="A78" s="118"/>
      <c r="B78" s="114"/>
      <c r="C78" s="71" t="s">
        <v>107</v>
      </c>
      <c r="D78" s="11" t="s">
        <v>77</v>
      </c>
      <c r="E78" s="11"/>
      <c r="F78" s="11"/>
      <c r="G78" s="18"/>
      <c r="H78" s="11"/>
    </row>
    <row r="79" spans="1:8" ht="47.25" hidden="1" customHeight="1" x14ac:dyDescent="0.3">
      <c r="A79" s="118"/>
      <c r="B79" s="114" t="s">
        <v>12</v>
      </c>
      <c r="C79" s="69" t="s">
        <v>108</v>
      </c>
      <c r="D79" s="11" t="s">
        <v>51</v>
      </c>
      <c r="E79" s="11"/>
      <c r="F79" s="11"/>
      <c r="G79" s="18"/>
      <c r="H79" s="11"/>
    </row>
    <row r="80" spans="1:8" ht="47.25" hidden="1" customHeight="1" x14ac:dyDescent="0.3">
      <c r="A80" s="118"/>
      <c r="B80" s="114"/>
      <c r="C80" s="69" t="s">
        <v>109</v>
      </c>
      <c r="D80" s="11" t="s">
        <v>51</v>
      </c>
      <c r="E80" s="11"/>
      <c r="F80" s="11"/>
      <c r="G80" s="18"/>
      <c r="H80" s="11"/>
    </row>
    <row r="81" spans="1:8" ht="47.25" hidden="1" customHeight="1" x14ac:dyDescent="0.3">
      <c r="A81" s="118"/>
      <c r="B81" s="5" t="s">
        <v>10</v>
      </c>
      <c r="C81" s="5" t="s">
        <v>110</v>
      </c>
      <c r="D81" s="11" t="s">
        <v>55</v>
      </c>
      <c r="E81" s="11"/>
      <c r="F81" s="11"/>
      <c r="G81" s="18"/>
      <c r="H81" s="11"/>
    </row>
    <row r="82" spans="1:8" ht="18.75" customHeight="1" x14ac:dyDescent="0.3">
      <c r="A82" s="118" t="s">
        <v>65</v>
      </c>
      <c r="B82" s="114" t="s">
        <v>11</v>
      </c>
      <c r="C82" s="69" t="s">
        <v>49</v>
      </c>
      <c r="D82" s="11" t="s">
        <v>51</v>
      </c>
      <c r="E82" s="14">
        <f>(Хід1!E40+Хід1!E41)*1000</f>
        <v>4305200</v>
      </c>
      <c r="F82" s="14">
        <f>(Хід1!K40+Хід1!K41)*1000</f>
        <v>4305200</v>
      </c>
      <c r="G82" s="72">
        <f>F82/E82*100</f>
        <v>100</v>
      </c>
      <c r="H82" s="73"/>
    </row>
    <row r="83" spans="1:8" ht="60.75" customHeight="1" x14ac:dyDescent="0.3">
      <c r="A83" s="118"/>
      <c r="B83" s="114"/>
      <c r="C83" s="69" t="s">
        <v>313</v>
      </c>
      <c r="D83" s="11" t="s">
        <v>51</v>
      </c>
      <c r="E83" s="11">
        <v>4205200</v>
      </c>
      <c r="F83" s="11">
        <v>4205191</v>
      </c>
      <c r="G83" s="72">
        <f>F83/E83*100</f>
        <v>99.999785979263763</v>
      </c>
      <c r="H83" s="73"/>
    </row>
    <row r="84" spans="1:8" ht="46.5" customHeight="1" x14ac:dyDescent="0.3">
      <c r="A84" s="118"/>
      <c r="B84" s="114"/>
      <c r="C84" s="69" t="s">
        <v>314</v>
      </c>
      <c r="D84" s="11" t="s">
        <v>51</v>
      </c>
      <c r="E84" s="11">
        <v>100000</v>
      </c>
      <c r="F84" s="11">
        <v>100000</v>
      </c>
      <c r="G84" s="72">
        <f t="shared" ref="G84:G90" si="9">F84/E84*100</f>
        <v>100</v>
      </c>
      <c r="H84" s="73"/>
    </row>
    <row r="85" spans="1:8" ht="54" customHeight="1" x14ac:dyDescent="0.3">
      <c r="A85" s="118"/>
      <c r="B85" s="114" t="s">
        <v>9</v>
      </c>
      <c r="C85" s="71" t="s">
        <v>311</v>
      </c>
      <c r="D85" s="11" t="s">
        <v>50</v>
      </c>
      <c r="E85" s="11">
        <v>16.5</v>
      </c>
      <c r="F85" s="11">
        <v>16.75</v>
      </c>
      <c r="G85" s="72">
        <f t="shared" si="9"/>
        <v>101.51515151515152</v>
      </c>
      <c r="H85" s="73"/>
    </row>
    <row r="86" spans="1:8" ht="42.75" customHeight="1" x14ac:dyDescent="0.3">
      <c r="A86" s="118"/>
      <c r="B86" s="114"/>
      <c r="C86" s="71" t="s">
        <v>352</v>
      </c>
      <c r="D86" s="11" t="s">
        <v>77</v>
      </c>
      <c r="E86" s="11">
        <v>10000</v>
      </c>
      <c r="F86" s="11">
        <v>13870</v>
      </c>
      <c r="G86" s="72">
        <f t="shared" si="9"/>
        <v>138.69999999999999</v>
      </c>
      <c r="H86" s="5" t="s">
        <v>353</v>
      </c>
    </row>
    <row r="87" spans="1:8" ht="33" customHeight="1" x14ac:dyDescent="0.3">
      <c r="A87" s="118"/>
      <c r="B87" s="114"/>
      <c r="C87" s="71" t="s">
        <v>111</v>
      </c>
      <c r="D87" s="11" t="s">
        <v>50</v>
      </c>
      <c r="E87" s="11">
        <v>950</v>
      </c>
      <c r="F87" s="11">
        <v>180</v>
      </c>
      <c r="G87" s="72">
        <f t="shared" si="9"/>
        <v>18.947368421052634</v>
      </c>
      <c r="H87" s="73"/>
    </row>
    <row r="88" spans="1:8" ht="21.75" customHeight="1" x14ac:dyDescent="0.3">
      <c r="A88" s="118"/>
      <c r="B88" s="119" t="s">
        <v>12</v>
      </c>
      <c r="C88" s="69" t="s">
        <v>108</v>
      </c>
      <c r="D88" s="11" t="s">
        <v>51</v>
      </c>
      <c r="E88" s="18">
        <f>E82/E86</f>
        <v>430.52</v>
      </c>
      <c r="F88" s="18">
        <f>F82/F86</f>
        <v>310.3965392934391</v>
      </c>
      <c r="G88" s="72">
        <f t="shared" si="9"/>
        <v>72.098053352559489</v>
      </c>
      <c r="H88" s="73"/>
    </row>
    <row r="89" spans="1:8" ht="33" customHeight="1" x14ac:dyDescent="0.3">
      <c r="A89" s="118"/>
      <c r="B89" s="120"/>
      <c r="C89" s="69" t="s">
        <v>312</v>
      </c>
      <c r="D89" s="11" t="s">
        <v>51</v>
      </c>
      <c r="E89" s="74">
        <v>260921</v>
      </c>
      <c r="F89" s="74">
        <f>F83/F85</f>
        <v>251056.1791044776</v>
      </c>
      <c r="G89" s="72">
        <f t="shared" si="9"/>
        <v>96.219230765050568</v>
      </c>
      <c r="H89" s="73"/>
    </row>
    <row r="90" spans="1:8" ht="33" customHeight="1" x14ac:dyDescent="0.3">
      <c r="A90" s="118"/>
      <c r="B90" s="5" t="s">
        <v>10</v>
      </c>
      <c r="C90" s="5" t="s">
        <v>112</v>
      </c>
      <c r="D90" s="11" t="s">
        <v>55</v>
      </c>
      <c r="E90" s="18">
        <v>100</v>
      </c>
      <c r="F90" s="18">
        <v>100</v>
      </c>
      <c r="G90" s="72">
        <f t="shared" si="9"/>
        <v>100</v>
      </c>
      <c r="H90" s="73"/>
    </row>
    <row r="91" spans="1:8" ht="32.25" customHeight="1" x14ac:dyDescent="0.3">
      <c r="A91" s="118" t="s">
        <v>66</v>
      </c>
      <c r="B91" s="114" t="s">
        <v>11</v>
      </c>
      <c r="C91" s="75" t="s">
        <v>49</v>
      </c>
      <c r="D91" s="19" t="s">
        <v>51</v>
      </c>
      <c r="E91" s="19">
        <f>Хід1!E42*1000</f>
        <v>2300000</v>
      </c>
      <c r="F91" s="19">
        <f>Хід1!K42*1000</f>
        <v>2271799.9999999995</v>
      </c>
      <c r="G91" s="21">
        <f>F91/E91*100</f>
        <v>98.773913043478245</v>
      </c>
      <c r="H91" s="5" t="s">
        <v>318</v>
      </c>
    </row>
    <row r="92" spans="1:8" ht="17.25" customHeight="1" x14ac:dyDescent="0.3">
      <c r="A92" s="118"/>
      <c r="B92" s="114"/>
      <c r="C92" s="5" t="s">
        <v>113</v>
      </c>
      <c r="D92" s="5"/>
      <c r="E92" s="5"/>
      <c r="F92" s="5"/>
      <c r="G92" s="21"/>
      <c r="H92" s="5"/>
    </row>
    <row r="93" spans="1:8" ht="49.5" customHeight="1" x14ac:dyDescent="0.3">
      <c r="A93" s="118"/>
      <c r="B93" s="114"/>
      <c r="C93" s="69" t="s">
        <v>114</v>
      </c>
      <c r="D93" s="5" t="s">
        <v>50</v>
      </c>
      <c r="E93" s="5">
        <f>Хід1!H43*1000</f>
        <v>2100000</v>
      </c>
      <c r="F93" s="5">
        <f>Хід1!K43*1000</f>
        <v>2072699.9999999998</v>
      </c>
      <c r="G93" s="21">
        <f t="shared" ref="G93:G98" si="10">F93/E93*100</f>
        <v>98.699999999999989</v>
      </c>
      <c r="H93" s="5" t="s">
        <v>318</v>
      </c>
    </row>
    <row r="94" spans="1:8" ht="33" customHeight="1" x14ac:dyDescent="0.3">
      <c r="A94" s="118"/>
      <c r="B94" s="114"/>
      <c r="C94" s="69" t="s">
        <v>115</v>
      </c>
      <c r="D94" s="5" t="s">
        <v>50</v>
      </c>
      <c r="E94" s="5">
        <f>Хід1!H44*1000</f>
        <v>200000</v>
      </c>
      <c r="F94" s="5">
        <f>Хід1!K44*1000</f>
        <v>199100</v>
      </c>
      <c r="G94" s="21">
        <f t="shared" si="10"/>
        <v>99.550000000000011</v>
      </c>
      <c r="H94" s="5" t="s">
        <v>318</v>
      </c>
    </row>
    <row r="95" spans="1:8" ht="48.75" customHeight="1" x14ac:dyDescent="0.3">
      <c r="A95" s="118"/>
      <c r="B95" s="114" t="s">
        <v>9</v>
      </c>
      <c r="C95" s="7" t="s">
        <v>116</v>
      </c>
      <c r="D95" s="5" t="s">
        <v>77</v>
      </c>
      <c r="E95" s="5">
        <v>40</v>
      </c>
      <c r="F95" s="5">
        <f>15+18</f>
        <v>33</v>
      </c>
      <c r="G95" s="21">
        <f t="shared" si="10"/>
        <v>82.5</v>
      </c>
      <c r="H95" s="5" t="s">
        <v>349</v>
      </c>
    </row>
    <row r="96" spans="1:8" ht="55.5" customHeight="1" x14ac:dyDescent="0.3">
      <c r="A96" s="118"/>
      <c r="B96" s="114"/>
      <c r="C96" s="7" t="s">
        <v>117</v>
      </c>
      <c r="D96" s="5" t="s">
        <v>77</v>
      </c>
      <c r="E96" s="5">
        <v>20</v>
      </c>
      <c r="F96" s="5">
        <v>11</v>
      </c>
      <c r="G96" s="21">
        <f t="shared" si="10"/>
        <v>55.000000000000007</v>
      </c>
      <c r="H96" s="5" t="s">
        <v>349</v>
      </c>
    </row>
    <row r="97" spans="1:8" ht="55.5" customHeight="1" x14ac:dyDescent="0.3">
      <c r="A97" s="118"/>
      <c r="B97" s="114" t="s">
        <v>12</v>
      </c>
      <c r="C97" s="7" t="s">
        <v>118</v>
      </c>
      <c r="D97" s="5" t="s">
        <v>51</v>
      </c>
      <c r="E97" s="57">
        <f>E93/E95</f>
        <v>52500</v>
      </c>
      <c r="F97" s="57">
        <f>F93/F95</f>
        <v>62809.090909090904</v>
      </c>
      <c r="G97" s="21">
        <f t="shared" si="10"/>
        <v>119.63636363636363</v>
      </c>
      <c r="H97" s="5"/>
    </row>
    <row r="98" spans="1:8" ht="51.75" customHeight="1" x14ac:dyDescent="0.3">
      <c r="A98" s="118"/>
      <c r="B98" s="114"/>
      <c r="C98" s="7" t="s">
        <v>119</v>
      </c>
      <c r="D98" s="5" t="s">
        <v>51</v>
      </c>
      <c r="E98" s="57">
        <f>E94/E96</f>
        <v>10000</v>
      </c>
      <c r="F98" s="57">
        <f>F94/F96</f>
        <v>18100</v>
      </c>
      <c r="G98" s="21">
        <f t="shared" si="10"/>
        <v>181</v>
      </c>
      <c r="H98" s="5"/>
    </row>
    <row r="99" spans="1:8" ht="19.5" customHeight="1" x14ac:dyDescent="0.3">
      <c r="A99" s="118" t="s">
        <v>67</v>
      </c>
      <c r="B99" s="114" t="s">
        <v>11</v>
      </c>
      <c r="C99" s="69" t="s">
        <v>49</v>
      </c>
      <c r="D99" s="5" t="s">
        <v>51</v>
      </c>
      <c r="E99" s="14">
        <f>Хід1!E45*1000</f>
        <v>584500</v>
      </c>
      <c r="F99" s="14">
        <f>Хід1!K45*1000</f>
        <v>584500</v>
      </c>
      <c r="G99" s="17">
        <f>F99/E99*100</f>
        <v>100</v>
      </c>
      <c r="H99" s="73"/>
    </row>
    <row r="100" spans="1:8" ht="12.75" customHeight="1" x14ac:dyDescent="0.3">
      <c r="A100" s="118"/>
      <c r="B100" s="114"/>
      <c r="C100" s="11" t="s">
        <v>113</v>
      </c>
      <c r="D100" s="11"/>
      <c r="E100" s="11"/>
      <c r="F100" s="11"/>
      <c r="G100" s="17"/>
      <c r="H100" s="73"/>
    </row>
    <row r="101" spans="1:8" ht="57.75" customHeight="1" x14ac:dyDescent="0.3">
      <c r="A101" s="118"/>
      <c r="B101" s="114"/>
      <c r="C101" s="69" t="s">
        <v>122</v>
      </c>
      <c r="D101" s="5" t="s">
        <v>51</v>
      </c>
      <c r="E101" s="5">
        <f>Хід1!H46*1000</f>
        <v>108800</v>
      </c>
      <c r="F101" s="5">
        <f>Хід1!K46*1000</f>
        <v>108800</v>
      </c>
      <c r="G101" s="21">
        <f t="shared" ref="G101:G109" si="11">F101/E101*100</f>
        <v>100</v>
      </c>
      <c r="H101" s="73"/>
    </row>
    <row r="102" spans="1:8" ht="22.5" hidden="1" customHeight="1" x14ac:dyDescent="0.3">
      <c r="A102" s="118"/>
      <c r="B102" s="114"/>
      <c r="C102" s="69" t="s">
        <v>120</v>
      </c>
      <c r="D102" s="5" t="s">
        <v>51</v>
      </c>
      <c r="E102" s="5"/>
      <c r="F102" s="5"/>
      <c r="G102" s="17" t="e">
        <f t="shared" si="11"/>
        <v>#DIV/0!</v>
      </c>
      <c r="H102" s="73"/>
    </row>
    <row r="103" spans="1:8" ht="86.25" customHeight="1" x14ac:dyDescent="0.3">
      <c r="A103" s="118"/>
      <c r="B103" s="114"/>
      <c r="C103" s="69" t="s">
        <v>121</v>
      </c>
      <c r="D103" s="5" t="s">
        <v>51</v>
      </c>
      <c r="E103" s="5">
        <f>Хід1!H49*1000</f>
        <v>475700</v>
      </c>
      <c r="F103" s="5">
        <f>Хід1!K49*1000</f>
        <v>475700</v>
      </c>
      <c r="G103" s="21">
        <f t="shared" si="11"/>
        <v>100</v>
      </c>
      <c r="H103" s="73"/>
    </row>
    <row r="104" spans="1:8" ht="39.75" customHeight="1" x14ac:dyDescent="0.3">
      <c r="A104" s="118"/>
      <c r="B104" s="114" t="s">
        <v>9</v>
      </c>
      <c r="C104" s="69" t="s">
        <v>123</v>
      </c>
      <c r="D104" s="5" t="s">
        <v>77</v>
      </c>
      <c r="E104" s="5">
        <v>68</v>
      </c>
      <c r="F104" s="5">
        <v>68</v>
      </c>
      <c r="G104" s="21">
        <f t="shared" si="11"/>
        <v>100</v>
      </c>
      <c r="H104" s="73"/>
    </row>
    <row r="105" spans="1:8" ht="47.25" hidden="1" customHeight="1" x14ac:dyDescent="0.3">
      <c r="A105" s="118"/>
      <c r="B105" s="114"/>
      <c r="C105" s="69" t="s">
        <v>124</v>
      </c>
      <c r="D105" s="5" t="s">
        <v>77</v>
      </c>
      <c r="E105" s="5"/>
      <c r="F105" s="5"/>
      <c r="G105" s="21" t="e">
        <f t="shared" si="11"/>
        <v>#DIV/0!</v>
      </c>
      <c r="H105" s="73"/>
    </row>
    <row r="106" spans="1:8" ht="69.75" customHeight="1" x14ac:dyDescent="0.3">
      <c r="A106" s="118"/>
      <c r="B106" s="114"/>
      <c r="C106" s="69" t="s">
        <v>403</v>
      </c>
      <c r="D106" s="5" t="s">
        <v>77</v>
      </c>
      <c r="E106" s="5">
        <v>6</v>
      </c>
      <c r="F106" s="5">
        <v>6</v>
      </c>
      <c r="G106" s="21">
        <f t="shared" si="11"/>
        <v>100</v>
      </c>
      <c r="H106" s="73"/>
    </row>
    <row r="107" spans="1:8" ht="33" customHeight="1" x14ac:dyDescent="0.3">
      <c r="A107" s="118"/>
      <c r="B107" s="114" t="s">
        <v>12</v>
      </c>
      <c r="C107" s="69" t="s">
        <v>127</v>
      </c>
      <c r="D107" s="5" t="s">
        <v>51</v>
      </c>
      <c r="E107" s="57">
        <f>E101/E104</f>
        <v>1600</v>
      </c>
      <c r="F107" s="57">
        <f>F101/F104</f>
        <v>1600</v>
      </c>
      <c r="G107" s="21">
        <f t="shared" si="11"/>
        <v>100</v>
      </c>
      <c r="H107" s="73"/>
    </row>
    <row r="108" spans="1:8" ht="47.25" hidden="1" customHeight="1" x14ac:dyDescent="0.3">
      <c r="A108" s="118"/>
      <c r="B108" s="114"/>
      <c r="C108" s="7" t="s">
        <v>126</v>
      </c>
      <c r="D108" s="11" t="s">
        <v>51</v>
      </c>
      <c r="E108" s="57"/>
      <c r="F108" s="57"/>
      <c r="G108" s="21" t="e">
        <f t="shared" si="11"/>
        <v>#DIV/0!</v>
      </c>
      <c r="H108" s="73"/>
    </row>
    <row r="109" spans="1:8" ht="37.799999999999997" customHeight="1" x14ac:dyDescent="0.3">
      <c r="A109" s="118"/>
      <c r="B109" s="114"/>
      <c r="C109" s="7" t="s">
        <v>125</v>
      </c>
      <c r="D109" s="5" t="s">
        <v>51</v>
      </c>
      <c r="E109" s="57">
        <f>E103/E106</f>
        <v>79283.333333333328</v>
      </c>
      <c r="F109" s="57">
        <f>F103/F106</f>
        <v>79283.333333333328</v>
      </c>
      <c r="G109" s="21">
        <f t="shared" si="11"/>
        <v>100</v>
      </c>
      <c r="H109" s="73"/>
    </row>
    <row r="110" spans="1:8" ht="33" customHeight="1" x14ac:dyDescent="0.3">
      <c r="A110" s="118" t="s">
        <v>68</v>
      </c>
      <c r="B110" s="5" t="s">
        <v>11</v>
      </c>
      <c r="C110" s="69" t="s">
        <v>128</v>
      </c>
      <c r="D110" s="5" t="s">
        <v>51</v>
      </c>
      <c r="E110" s="19">
        <f>(Хід1!E50+Хід1!E51)*1000</f>
        <v>5273900</v>
      </c>
      <c r="F110" s="19">
        <f>(Хід1!K50+Хід1!K51)*1000</f>
        <v>3880600.0000000005</v>
      </c>
      <c r="G110" s="21">
        <f>F110/E110*100</f>
        <v>73.58122072849315</v>
      </c>
      <c r="H110" s="5" t="s">
        <v>323</v>
      </c>
    </row>
    <row r="111" spans="1:8" ht="18.75" customHeight="1" x14ac:dyDescent="0.3">
      <c r="A111" s="118"/>
      <c r="B111" s="5" t="s">
        <v>9</v>
      </c>
      <c r="C111" s="69" t="s">
        <v>52</v>
      </c>
      <c r="D111" s="5" t="s">
        <v>50</v>
      </c>
      <c r="E111" s="5">
        <v>2</v>
      </c>
      <c r="F111" s="5">
        <v>2</v>
      </c>
      <c r="G111" s="21">
        <f>F111/E111*100</f>
        <v>100</v>
      </c>
      <c r="H111" s="5"/>
    </row>
    <row r="112" spans="1:8" ht="18.75" customHeight="1" x14ac:dyDescent="0.3">
      <c r="A112" s="118"/>
      <c r="B112" s="5" t="s">
        <v>12</v>
      </c>
      <c r="C112" s="69" t="s">
        <v>145</v>
      </c>
      <c r="D112" s="5" t="s">
        <v>51</v>
      </c>
      <c r="E112" s="5">
        <f>E110/E111</f>
        <v>2636950</v>
      </c>
      <c r="F112" s="5">
        <f>F110/F111</f>
        <v>1940300.0000000002</v>
      </c>
      <c r="G112" s="21">
        <f t="shared" ref="G112:G114" si="12">F112/E112*100</f>
        <v>73.58122072849315</v>
      </c>
      <c r="H112" s="5"/>
    </row>
    <row r="113" spans="1:8" ht="24" customHeight="1" x14ac:dyDescent="0.3">
      <c r="A113" s="118"/>
      <c r="B113" s="5" t="s">
        <v>10</v>
      </c>
      <c r="C113" s="69" t="s">
        <v>89</v>
      </c>
      <c r="D113" s="5" t="s">
        <v>55</v>
      </c>
      <c r="E113" s="5">
        <v>100</v>
      </c>
      <c r="F113" s="5">
        <v>100</v>
      </c>
      <c r="G113" s="21">
        <f t="shared" si="12"/>
        <v>100</v>
      </c>
      <c r="H113" s="5"/>
    </row>
    <row r="114" spans="1:8" ht="71.25" customHeight="1" x14ac:dyDescent="0.3">
      <c r="A114" s="76" t="s">
        <v>376</v>
      </c>
      <c r="B114" s="5" t="s">
        <v>11</v>
      </c>
      <c r="C114" s="5" t="s">
        <v>49</v>
      </c>
      <c r="D114" s="5" t="s">
        <v>51</v>
      </c>
      <c r="E114" s="5">
        <f>Хід1!E52*1000</f>
        <v>23500</v>
      </c>
      <c r="F114" s="5">
        <f>Хід1!K52*1000</f>
        <v>23500</v>
      </c>
      <c r="G114" s="21">
        <f t="shared" si="12"/>
        <v>100</v>
      </c>
      <c r="H114" s="5"/>
    </row>
    <row r="115" spans="1:8" ht="17.25" customHeight="1" x14ac:dyDescent="0.3">
      <c r="A115" s="118" t="s">
        <v>377</v>
      </c>
      <c r="B115" s="5" t="s">
        <v>11</v>
      </c>
      <c r="C115" s="5" t="s">
        <v>49</v>
      </c>
      <c r="D115" s="5" t="s">
        <v>51</v>
      </c>
      <c r="E115" s="19">
        <f>Хід1!E53*1000</f>
        <v>1000000</v>
      </c>
      <c r="F115" s="19">
        <f>Хід1!K53*1000</f>
        <v>1000000</v>
      </c>
      <c r="G115" s="21">
        <f>F115/E115*100</f>
        <v>100</v>
      </c>
      <c r="H115" s="5" t="s">
        <v>320</v>
      </c>
    </row>
    <row r="116" spans="1:8" ht="19.5" customHeight="1" x14ac:dyDescent="0.3">
      <c r="A116" s="118"/>
      <c r="B116" s="114" t="s">
        <v>9</v>
      </c>
      <c r="C116" s="69" t="s">
        <v>52</v>
      </c>
      <c r="D116" s="5" t="s">
        <v>50</v>
      </c>
      <c r="E116" s="5">
        <v>2</v>
      </c>
      <c r="F116" s="5">
        <v>2</v>
      </c>
      <c r="G116" s="77">
        <f t="shared" ref="G116:G118" si="13">F116/E116*100</f>
        <v>100</v>
      </c>
      <c r="H116" s="5"/>
    </row>
    <row r="117" spans="1:8" ht="54.75" customHeight="1" x14ac:dyDescent="0.3">
      <c r="A117" s="118"/>
      <c r="B117" s="114"/>
      <c r="C117" s="69" t="s">
        <v>129</v>
      </c>
      <c r="D117" s="5" t="s">
        <v>77</v>
      </c>
      <c r="E117" s="5">
        <v>60</v>
      </c>
      <c r="F117" s="5">
        <f>125+14</f>
        <v>139</v>
      </c>
      <c r="G117" s="21">
        <f t="shared" si="13"/>
        <v>231.66666666666669</v>
      </c>
      <c r="H117" s="5" t="s">
        <v>349</v>
      </c>
    </row>
    <row r="118" spans="1:8" ht="37.5" customHeight="1" x14ac:dyDescent="0.3">
      <c r="A118" s="118"/>
      <c r="B118" s="5" t="s">
        <v>12</v>
      </c>
      <c r="C118" s="5" t="s">
        <v>130</v>
      </c>
      <c r="D118" s="5" t="s">
        <v>51</v>
      </c>
      <c r="E118" s="57">
        <f>E115/E117</f>
        <v>16666.666666666668</v>
      </c>
      <c r="F118" s="57">
        <f>F115/F117</f>
        <v>7194.2446043165464</v>
      </c>
      <c r="G118" s="21">
        <f t="shared" si="13"/>
        <v>43.165467625899275</v>
      </c>
      <c r="H118" s="5"/>
    </row>
    <row r="119" spans="1:8" ht="213.75" customHeight="1" x14ac:dyDescent="0.3">
      <c r="A119" s="119" t="s">
        <v>378</v>
      </c>
      <c r="B119" s="114" t="s">
        <v>11</v>
      </c>
      <c r="C119" s="69" t="s">
        <v>49</v>
      </c>
      <c r="D119" s="5" t="s">
        <v>51</v>
      </c>
      <c r="E119" s="19">
        <f>Хід1!E54*1000</f>
        <v>8745500</v>
      </c>
      <c r="F119" s="19">
        <f>Хід1!K54*1000</f>
        <v>8248900</v>
      </c>
      <c r="G119" s="21">
        <f>F119/E119*100</f>
        <v>94.32165113486937</v>
      </c>
      <c r="H119" s="5" t="s">
        <v>321</v>
      </c>
    </row>
    <row r="120" spans="1:8" ht="130.5" customHeight="1" x14ac:dyDescent="0.3">
      <c r="A120" s="120"/>
      <c r="B120" s="114"/>
      <c r="C120" s="69" t="s">
        <v>131</v>
      </c>
      <c r="D120" s="69" t="s">
        <v>50</v>
      </c>
      <c r="E120" s="78">
        <v>27.25</v>
      </c>
      <c r="F120" s="78">
        <v>26.25</v>
      </c>
      <c r="G120" s="21">
        <f>F120/E120*100</f>
        <v>96.330275229357795</v>
      </c>
      <c r="H120" s="5" t="s">
        <v>347</v>
      </c>
    </row>
    <row r="121" spans="1:8" ht="14.25" customHeight="1" x14ac:dyDescent="0.3">
      <c r="A121" s="120"/>
      <c r="B121" s="114"/>
      <c r="C121" s="69" t="s">
        <v>132</v>
      </c>
      <c r="D121" s="11" t="s">
        <v>77</v>
      </c>
      <c r="E121" s="5"/>
      <c r="F121" s="5"/>
      <c r="G121" s="21"/>
      <c r="H121" s="5"/>
    </row>
    <row r="122" spans="1:8" ht="16.5" customHeight="1" x14ac:dyDescent="0.3">
      <c r="A122" s="120"/>
      <c r="B122" s="114"/>
      <c r="C122" s="69" t="s">
        <v>133</v>
      </c>
      <c r="D122" s="11" t="s">
        <v>77</v>
      </c>
      <c r="E122" s="68">
        <v>5.25</v>
      </c>
      <c r="F122" s="68">
        <v>3.25</v>
      </c>
      <c r="G122" s="21">
        <f t="shared" ref="G122:G123" si="14">F122/E122*100</f>
        <v>61.904761904761905</v>
      </c>
      <c r="H122" s="5"/>
    </row>
    <row r="123" spans="1:8" ht="15.75" customHeight="1" x14ac:dyDescent="0.3">
      <c r="A123" s="120"/>
      <c r="B123" s="114"/>
      <c r="C123" s="69" t="s">
        <v>134</v>
      </c>
      <c r="D123" s="11" t="s">
        <v>77</v>
      </c>
      <c r="E123" s="5">
        <v>26</v>
      </c>
      <c r="F123" s="5">
        <v>24</v>
      </c>
      <c r="G123" s="21">
        <f t="shared" si="14"/>
        <v>92.307692307692307</v>
      </c>
      <c r="H123" s="5"/>
    </row>
    <row r="124" spans="1:8" ht="18" customHeight="1" x14ac:dyDescent="0.3">
      <c r="A124" s="120"/>
      <c r="B124" s="114"/>
      <c r="C124" s="69" t="s">
        <v>135</v>
      </c>
      <c r="D124" s="5" t="s">
        <v>77</v>
      </c>
      <c r="E124" s="5"/>
      <c r="F124" s="5"/>
      <c r="G124" s="21"/>
      <c r="H124" s="5"/>
    </row>
    <row r="125" spans="1:8" ht="27" customHeight="1" x14ac:dyDescent="0.3">
      <c r="A125" s="120"/>
      <c r="B125" s="5" t="s">
        <v>9</v>
      </c>
      <c r="C125" s="69" t="s">
        <v>136</v>
      </c>
      <c r="D125" s="5" t="s">
        <v>50</v>
      </c>
      <c r="E125" s="5">
        <v>1200</v>
      </c>
      <c r="F125" s="5">
        <v>1699</v>
      </c>
      <c r="G125" s="21">
        <f t="shared" ref="G125:G127" si="15">F125/E125*100</f>
        <v>141.58333333333331</v>
      </c>
      <c r="H125" s="5" t="s">
        <v>389</v>
      </c>
    </row>
    <row r="126" spans="1:8" ht="33" customHeight="1" x14ac:dyDescent="0.3">
      <c r="A126" s="120"/>
      <c r="B126" s="5" t="s">
        <v>12</v>
      </c>
      <c r="C126" s="69" t="s">
        <v>137</v>
      </c>
      <c r="D126" s="5" t="s">
        <v>50</v>
      </c>
      <c r="E126" s="5">
        <v>229</v>
      </c>
      <c r="F126" s="57">
        <v>522.77</v>
      </c>
      <c r="G126" s="21">
        <f t="shared" si="15"/>
        <v>228.28384279475981</v>
      </c>
      <c r="H126" s="5"/>
    </row>
    <row r="127" spans="1:8" ht="33" customHeight="1" x14ac:dyDescent="0.3">
      <c r="A127" s="121"/>
      <c r="B127" s="5" t="s">
        <v>10</v>
      </c>
      <c r="C127" s="69" t="s">
        <v>341</v>
      </c>
      <c r="D127" s="5" t="s">
        <v>55</v>
      </c>
      <c r="E127" s="5">
        <v>100</v>
      </c>
      <c r="F127" s="5">
        <v>100</v>
      </c>
      <c r="G127" s="21">
        <f t="shared" si="15"/>
        <v>100</v>
      </c>
      <c r="H127" s="43"/>
    </row>
    <row r="128" spans="1:8" ht="22.5" customHeight="1" x14ac:dyDescent="0.3">
      <c r="A128" s="117" t="s">
        <v>228</v>
      </c>
      <c r="B128" s="117"/>
      <c r="C128" s="117"/>
      <c r="D128" s="117"/>
      <c r="E128" s="117"/>
      <c r="F128" s="117"/>
      <c r="G128" s="117"/>
      <c r="H128" s="117"/>
    </row>
    <row r="129" spans="1:62" ht="21" customHeight="1" x14ac:dyDescent="0.3">
      <c r="A129" s="119" t="s">
        <v>69</v>
      </c>
      <c r="B129" s="5" t="s">
        <v>11</v>
      </c>
      <c r="C129" s="5" t="s">
        <v>49</v>
      </c>
      <c r="D129" s="5" t="s">
        <v>138</v>
      </c>
      <c r="E129" s="48">
        <f>Хід1!E57*1000</f>
        <v>4304000</v>
      </c>
      <c r="F129" s="48">
        <f>Хід1!K57*1000</f>
        <v>4132700</v>
      </c>
      <c r="G129" s="79">
        <f>F129/E129*100</f>
        <v>96.01998141263941</v>
      </c>
      <c r="H129" s="5" t="s">
        <v>323</v>
      </c>
    </row>
    <row r="130" spans="1:62" ht="23.25" customHeight="1" x14ac:dyDescent="0.3">
      <c r="A130" s="120"/>
      <c r="B130" s="5" t="s">
        <v>9</v>
      </c>
      <c r="C130" s="69" t="s">
        <v>52</v>
      </c>
      <c r="D130" s="5" t="s">
        <v>50</v>
      </c>
      <c r="E130" s="76">
        <v>1</v>
      </c>
      <c r="F130" s="76">
        <v>1</v>
      </c>
      <c r="G130" s="79">
        <f t="shared" ref="G130:G133" si="16">F130/E130*100</f>
        <v>100</v>
      </c>
      <c r="H130" s="5"/>
    </row>
    <row r="131" spans="1:62" ht="23.25" customHeight="1" x14ac:dyDescent="0.3">
      <c r="A131" s="120"/>
      <c r="B131" s="5" t="s">
        <v>12</v>
      </c>
      <c r="C131" s="69" t="s">
        <v>53</v>
      </c>
      <c r="D131" s="5" t="s">
        <v>51</v>
      </c>
      <c r="E131" s="76">
        <f>E129/E130</f>
        <v>4304000</v>
      </c>
      <c r="F131" s="76">
        <f>F129/F130</f>
        <v>4132700</v>
      </c>
      <c r="G131" s="79">
        <f t="shared" si="16"/>
        <v>96.01998141263941</v>
      </c>
      <c r="H131" s="5"/>
    </row>
    <row r="132" spans="1:62" ht="24.75" customHeight="1" x14ac:dyDescent="0.3">
      <c r="A132" s="120"/>
      <c r="B132" s="102" t="s">
        <v>10</v>
      </c>
      <c r="C132" s="69" t="s">
        <v>89</v>
      </c>
      <c r="D132" s="5" t="s">
        <v>55</v>
      </c>
      <c r="E132" s="76">
        <v>100</v>
      </c>
      <c r="F132" s="76">
        <v>100</v>
      </c>
      <c r="G132" s="79">
        <f t="shared" si="16"/>
        <v>100</v>
      </c>
      <c r="H132" s="5"/>
    </row>
    <row r="133" spans="1:62" ht="65.25" customHeight="1" x14ac:dyDescent="0.3">
      <c r="A133" s="121"/>
      <c r="B133" s="103"/>
      <c r="C133" s="5" t="s">
        <v>339</v>
      </c>
      <c r="D133" s="5" t="s">
        <v>55</v>
      </c>
      <c r="E133" s="80">
        <f>4304000/5058300*100</f>
        <v>85.087875373149075</v>
      </c>
      <c r="F133" s="80">
        <f>4132681/4304000*100</f>
        <v>96.019539962825277</v>
      </c>
      <c r="G133" s="79">
        <f t="shared" si="16"/>
        <v>112.84749976625446</v>
      </c>
      <c r="H133" s="5"/>
    </row>
    <row r="134" spans="1:62" ht="47.25" hidden="1" customHeight="1" x14ac:dyDescent="0.3">
      <c r="A134" s="118" t="s">
        <v>139</v>
      </c>
      <c r="B134" s="11" t="s">
        <v>11</v>
      </c>
      <c r="C134" s="69" t="s">
        <v>49</v>
      </c>
      <c r="D134" s="11" t="s">
        <v>51</v>
      </c>
      <c r="E134" s="11"/>
      <c r="F134" s="11"/>
      <c r="G134" s="18"/>
      <c r="H134" s="11"/>
    </row>
    <row r="135" spans="1:62" ht="47.25" hidden="1" customHeight="1" x14ac:dyDescent="0.3">
      <c r="A135" s="118"/>
      <c r="B135" s="11" t="s">
        <v>9</v>
      </c>
      <c r="C135" s="69" t="s">
        <v>93</v>
      </c>
      <c r="D135" s="11" t="s">
        <v>50</v>
      </c>
      <c r="E135" s="11"/>
      <c r="F135" s="11"/>
      <c r="G135" s="18"/>
      <c r="H135" s="11"/>
    </row>
    <row r="136" spans="1:62" ht="47.25" hidden="1" customHeight="1" x14ac:dyDescent="0.3">
      <c r="A136" s="118"/>
      <c r="B136" s="11" t="s">
        <v>12</v>
      </c>
      <c r="C136" s="69" t="s">
        <v>94</v>
      </c>
      <c r="D136" s="11" t="s">
        <v>51</v>
      </c>
      <c r="E136" s="11"/>
      <c r="F136" s="11"/>
      <c r="G136" s="18"/>
      <c r="H136" s="11"/>
    </row>
    <row r="137" spans="1:62" ht="21.75" customHeight="1" x14ac:dyDescent="0.3">
      <c r="A137" s="117" t="s">
        <v>229</v>
      </c>
      <c r="B137" s="117"/>
      <c r="C137" s="117"/>
      <c r="D137" s="117"/>
      <c r="E137" s="117"/>
      <c r="F137" s="117"/>
      <c r="G137" s="117"/>
      <c r="H137" s="117"/>
    </row>
    <row r="138" spans="1:62" ht="69" customHeight="1" x14ac:dyDescent="0.3">
      <c r="A138" s="118" t="s">
        <v>70</v>
      </c>
      <c r="B138" s="114" t="s">
        <v>11</v>
      </c>
      <c r="C138" s="69" t="s">
        <v>49</v>
      </c>
      <c r="D138" s="5" t="s">
        <v>140</v>
      </c>
      <c r="E138" s="19">
        <f>Хід1!E61*1000</f>
        <v>11836100</v>
      </c>
      <c r="F138" s="19">
        <f>Хід1!K61*1000</f>
        <v>11776000</v>
      </c>
      <c r="G138" s="21">
        <f>F138/E138*100</f>
        <v>99.492231393786795</v>
      </c>
      <c r="H138" s="5" t="s">
        <v>391</v>
      </c>
    </row>
    <row r="139" spans="1:62" ht="24.75" customHeight="1" x14ac:dyDescent="0.3">
      <c r="A139" s="118"/>
      <c r="B139" s="114"/>
      <c r="C139" s="69" t="s">
        <v>52</v>
      </c>
      <c r="D139" s="5" t="s">
        <v>50</v>
      </c>
      <c r="E139" s="5">
        <v>1</v>
      </c>
      <c r="F139" s="5">
        <v>1</v>
      </c>
      <c r="G139" s="21">
        <f t="shared" ref="G139:G146" si="17">F139/E139*100</f>
        <v>100</v>
      </c>
      <c r="H139" s="5"/>
    </row>
    <row r="140" spans="1:62" ht="24.75" customHeight="1" x14ac:dyDescent="0.3">
      <c r="A140" s="118"/>
      <c r="B140" s="114"/>
      <c r="C140" s="69" t="s">
        <v>100</v>
      </c>
      <c r="D140" s="5" t="s">
        <v>50</v>
      </c>
      <c r="E140" s="5">
        <v>63.5</v>
      </c>
      <c r="F140" s="5">
        <v>63.5</v>
      </c>
      <c r="G140" s="21">
        <f t="shared" si="17"/>
        <v>100</v>
      </c>
      <c r="H140" s="5"/>
    </row>
    <row r="141" spans="1:62" ht="17.25" customHeight="1" x14ac:dyDescent="0.3">
      <c r="A141" s="118"/>
      <c r="B141" s="114"/>
      <c r="C141" s="69" t="s">
        <v>101</v>
      </c>
      <c r="D141" s="5" t="s">
        <v>50</v>
      </c>
      <c r="E141" s="5">
        <v>21</v>
      </c>
      <c r="F141" s="5">
        <v>21</v>
      </c>
      <c r="G141" s="21">
        <f t="shared" si="17"/>
        <v>100</v>
      </c>
      <c r="H141" s="5"/>
    </row>
    <row r="142" spans="1:62" ht="134.25" customHeight="1" x14ac:dyDescent="0.3">
      <c r="A142" s="118"/>
      <c r="B142" s="114" t="s">
        <v>9</v>
      </c>
      <c r="C142" s="69" t="s">
        <v>102</v>
      </c>
      <c r="D142" s="5"/>
      <c r="E142" s="5">
        <v>23274</v>
      </c>
      <c r="F142" s="5">
        <v>18698</v>
      </c>
      <c r="G142" s="21">
        <f t="shared" si="17"/>
        <v>80.338575234166882</v>
      </c>
      <c r="H142" s="81" t="s">
        <v>392</v>
      </c>
      <c r="I142" s="82"/>
      <c r="J142" s="82"/>
      <c r="K142" s="82"/>
      <c r="L142" s="82"/>
      <c r="M142" s="82"/>
      <c r="N142" s="82"/>
      <c r="O142" s="82"/>
      <c r="P142" s="82"/>
      <c r="Q142" s="82"/>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c r="BI142" s="83"/>
      <c r="BJ142" s="84"/>
    </row>
    <row r="143" spans="1:62" ht="67.5" customHeight="1" x14ac:dyDescent="0.3">
      <c r="A143" s="118"/>
      <c r="B143" s="114"/>
      <c r="C143" s="69" t="s">
        <v>144</v>
      </c>
      <c r="D143" s="5"/>
      <c r="E143" s="5">
        <v>8700</v>
      </c>
      <c r="F143" s="5">
        <v>7145</v>
      </c>
      <c r="G143" s="21">
        <f t="shared" si="17"/>
        <v>82.126436781609186</v>
      </c>
      <c r="H143" s="81" t="s">
        <v>348</v>
      </c>
      <c r="I143" s="82"/>
      <c r="J143" s="82"/>
      <c r="K143" s="82"/>
      <c r="L143" s="82"/>
      <c r="M143" s="82"/>
      <c r="N143" s="82"/>
      <c r="O143" s="82"/>
      <c r="P143" s="82"/>
      <c r="Q143" s="82"/>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c r="BI143" s="83"/>
      <c r="BJ143" s="84"/>
    </row>
    <row r="144" spans="1:62" ht="69" customHeight="1" x14ac:dyDescent="0.3">
      <c r="A144" s="118"/>
      <c r="B144" s="114" t="s">
        <v>12</v>
      </c>
      <c r="C144" s="69" t="s">
        <v>143</v>
      </c>
      <c r="D144" s="5" t="s">
        <v>77</v>
      </c>
      <c r="E144" s="57">
        <f>E143/E141</f>
        <v>414.28571428571428</v>
      </c>
      <c r="F144" s="5">
        <v>340</v>
      </c>
      <c r="G144" s="21">
        <f t="shared" si="17"/>
        <v>82.068965517241381</v>
      </c>
      <c r="H144" s="81" t="s">
        <v>354</v>
      </c>
      <c r="I144" s="82"/>
      <c r="J144" s="82"/>
      <c r="K144" s="82"/>
      <c r="L144" s="82"/>
      <c r="M144" s="82"/>
      <c r="N144" s="82"/>
      <c r="O144" s="82"/>
      <c r="P144" s="82"/>
      <c r="Q144" s="82"/>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c r="BI144" s="83"/>
      <c r="BJ144" s="84"/>
    </row>
    <row r="145" spans="1:62" ht="63.75" customHeight="1" x14ac:dyDescent="0.3">
      <c r="A145" s="118"/>
      <c r="B145" s="114"/>
      <c r="C145" s="69" t="s">
        <v>142</v>
      </c>
      <c r="D145" s="5" t="s">
        <v>77</v>
      </c>
      <c r="E145" s="57">
        <f>E142/E141</f>
        <v>1108.2857142857142</v>
      </c>
      <c r="F145" s="5">
        <v>890</v>
      </c>
      <c r="G145" s="21">
        <f t="shared" si="17"/>
        <v>80.3042021139469</v>
      </c>
      <c r="H145" s="81" t="s">
        <v>393</v>
      </c>
      <c r="I145" s="82"/>
      <c r="J145" s="82"/>
      <c r="K145" s="82"/>
      <c r="L145" s="82"/>
      <c r="M145" s="82"/>
      <c r="N145" s="82"/>
      <c r="O145" s="82"/>
      <c r="P145" s="82"/>
      <c r="Q145" s="82"/>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c r="BI145" s="83"/>
      <c r="BJ145" s="84"/>
    </row>
    <row r="146" spans="1:62" ht="65.25" customHeight="1" x14ac:dyDescent="0.3">
      <c r="A146" s="118"/>
      <c r="B146" s="114"/>
      <c r="C146" s="69" t="s">
        <v>141</v>
      </c>
      <c r="D146" s="5" t="s">
        <v>51</v>
      </c>
      <c r="E146" s="57">
        <v>509</v>
      </c>
      <c r="F146" s="68">
        <v>682.23</v>
      </c>
      <c r="G146" s="21">
        <f t="shared" si="17"/>
        <v>134.03339882121807</v>
      </c>
      <c r="H146" s="5"/>
    </row>
    <row r="147" spans="1:62" ht="52.5" customHeight="1" x14ac:dyDescent="0.3">
      <c r="A147" s="119" t="s">
        <v>241</v>
      </c>
      <c r="B147" s="5" t="s">
        <v>11</v>
      </c>
      <c r="C147" s="69" t="s">
        <v>49</v>
      </c>
      <c r="D147" s="5" t="s">
        <v>51</v>
      </c>
      <c r="E147" s="19">
        <f>Хід1!E62*1000</f>
        <v>920300</v>
      </c>
      <c r="F147" s="19">
        <f>Хід1!K62*1000</f>
        <v>920200</v>
      </c>
      <c r="G147" s="77">
        <f>F147/E147*100</f>
        <v>99.989133978050631</v>
      </c>
      <c r="H147" s="81" t="s">
        <v>404</v>
      </c>
      <c r="I147" s="82"/>
      <c r="J147" s="82"/>
      <c r="K147" s="82"/>
      <c r="L147" s="82"/>
      <c r="M147" s="82"/>
      <c r="N147" s="82"/>
      <c r="O147" s="82"/>
      <c r="P147" s="82"/>
      <c r="Q147" s="82"/>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c r="BI147" s="83"/>
      <c r="BJ147" s="84"/>
    </row>
    <row r="148" spans="1:62" ht="22.5" customHeight="1" x14ac:dyDescent="0.3">
      <c r="A148" s="120"/>
      <c r="B148" s="5" t="s">
        <v>9</v>
      </c>
      <c r="C148" s="69" t="s">
        <v>52</v>
      </c>
      <c r="D148" s="5" t="s">
        <v>50</v>
      </c>
      <c r="E148" s="5">
        <v>1</v>
      </c>
      <c r="F148" s="5">
        <v>1</v>
      </c>
      <c r="G148" s="21">
        <f t="shared" ref="G148:G151" si="18">F148/E148*100</f>
        <v>100</v>
      </c>
      <c r="H148" s="5"/>
    </row>
    <row r="149" spans="1:62" ht="82.5" customHeight="1" x14ac:dyDescent="0.3">
      <c r="A149" s="120"/>
      <c r="B149" s="5" t="s">
        <v>12</v>
      </c>
      <c r="C149" s="5" t="s">
        <v>281</v>
      </c>
      <c r="D149" s="5" t="s">
        <v>51</v>
      </c>
      <c r="E149" s="5">
        <f>E147/E148</f>
        <v>920300</v>
      </c>
      <c r="F149" s="5">
        <f>F147/F148</f>
        <v>920200</v>
      </c>
      <c r="G149" s="77">
        <f t="shared" si="18"/>
        <v>99.989133978050631</v>
      </c>
      <c r="H149" s="81" t="s">
        <v>394</v>
      </c>
      <c r="I149" s="82"/>
      <c r="J149" s="82"/>
      <c r="K149" s="82"/>
      <c r="L149" s="82"/>
      <c r="M149" s="82"/>
      <c r="N149" s="82"/>
      <c r="O149" s="82"/>
      <c r="P149" s="82"/>
      <c r="Q149" s="82"/>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c r="BI149" s="83"/>
      <c r="BJ149" s="84"/>
    </row>
    <row r="150" spans="1:62" ht="29.25" customHeight="1" x14ac:dyDescent="0.3">
      <c r="A150" s="120"/>
      <c r="B150" s="102" t="s">
        <v>10</v>
      </c>
      <c r="C150" s="69" t="s">
        <v>89</v>
      </c>
      <c r="D150" s="5" t="s">
        <v>55</v>
      </c>
      <c r="E150" s="5">
        <v>100</v>
      </c>
      <c r="F150" s="5">
        <v>100</v>
      </c>
      <c r="G150" s="21">
        <f t="shared" si="18"/>
        <v>100</v>
      </c>
      <c r="H150" s="5"/>
    </row>
    <row r="151" spans="1:62" ht="73.5" customHeight="1" x14ac:dyDescent="0.3">
      <c r="A151" s="121"/>
      <c r="B151" s="103"/>
      <c r="C151" s="5" t="s">
        <v>339</v>
      </c>
      <c r="D151" s="5" t="s">
        <v>55</v>
      </c>
      <c r="E151" s="57">
        <f>920300/895600*100</f>
        <v>102.75792764627066</v>
      </c>
      <c r="F151" s="57">
        <f>920200/920300*100</f>
        <v>99.989133978050631</v>
      </c>
      <c r="G151" s="21">
        <f t="shared" si="18"/>
        <v>97.305518190527167</v>
      </c>
      <c r="H151" s="43"/>
    </row>
    <row r="152" spans="1:62" ht="20.25" customHeight="1" x14ac:dyDescent="0.3">
      <c r="A152" s="117" t="s">
        <v>71</v>
      </c>
      <c r="B152" s="117"/>
      <c r="C152" s="117"/>
      <c r="D152" s="117"/>
      <c r="E152" s="117"/>
      <c r="F152" s="117"/>
      <c r="G152" s="117"/>
      <c r="H152" s="117"/>
    </row>
    <row r="153" spans="1:62" ht="33" customHeight="1" x14ac:dyDescent="0.3">
      <c r="A153" s="110"/>
      <c r="B153" s="5" t="s">
        <v>9</v>
      </c>
      <c r="C153" s="43" t="s">
        <v>232</v>
      </c>
      <c r="D153" s="43" t="s">
        <v>77</v>
      </c>
      <c r="E153" s="61">
        <f>E163+E189</f>
        <v>31994</v>
      </c>
      <c r="F153" s="61">
        <f>F163+F189</f>
        <v>30194</v>
      </c>
      <c r="G153" s="85">
        <f>F153/E153*100</f>
        <v>94.373945114709016</v>
      </c>
      <c r="H153" s="11"/>
    </row>
    <row r="154" spans="1:62" ht="33" customHeight="1" x14ac:dyDescent="0.3">
      <c r="A154" s="110"/>
      <c r="B154" s="43" t="s">
        <v>10</v>
      </c>
      <c r="C154" s="5" t="s">
        <v>234</v>
      </c>
      <c r="D154" s="43" t="s">
        <v>55</v>
      </c>
      <c r="E154" s="63">
        <f>14071600/14603800*100</f>
        <v>96.355743025787817</v>
      </c>
      <c r="F154" s="63">
        <f>14048349/12299400*100</f>
        <v>114.21979120932728</v>
      </c>
      <c r="G154" s="85"/>
      <c r="H154" s="5"/>
    </row>
    <row r="155" spans="1:62" ht="33" customHeight="1" x14ac:dyDescent="0.3">
      <c r="A155" s="110"/>
      <c r="B155" s="5" t="s">
        <v>9</v>
      </c>
      <c r="C155" s="43" t="s">
        <v>233</v>
      </c>
      <c r="D155" s="43" t="s">
        <v>77</v>
      </c>
      <c r="E155" s="61">
        <f>E181+E202</f>
        <v>592</v>
      </c>
      <c r="F155" s="61">
        <f>F181+F202</f>
        <v>582</v>
      </c>
      <c r="G155" s="85">
        <f t="shared" ref="G155" si="19">F155/E155*100</f>
        <v>98.310810810810807</v>
      </c>
      <c r="H155" s="11"/>
    </row>
    <row r="156" spans="1:62" ht="33" customHeight="1" x14ac:dyDescent="0.3">
      <c r="A156" s="110"/>
      <c r="B156" s="43" t="s">
        <v>10</v>
      </c>
      <c r="C156" s="5" t="s">
        <v>234</v>
      </c>
      <c r="D156" s="43" t="s">
        <v>55</v>
      </c>
      <c r="E156" s="63">
        <v>193</v>
      </c>
      <c r="F156" s="63">
        <f>5818065/3092500*100</f>
        <v>188.13468067906226</v>
      </c>
      <c r="G156" s="85"/>
      <c r="H156" s="11"/>
    </row>
    <row r="157" spans="1:62" ht="21.75" customHeight="1" x14ac:dyDescent="0.3">
      <c r="A157" s="117" t="s">
        <v>146</v>
      </c>
      <c r="B157" s="117"/>
      <c r="C157" s="117"/>
      <c r="D157" s="117"/>
      <c r="E157" s="86">
        <f>E162+E177+E188+E200</f>
        <v>20196000</v>
      </c>
      <c r="F157" s="86">
        <f>F162+F177+F188+F200</f>
        <v>19866400</v>
      </c>
      <c r="G157" s="64"/>
      <c r="H157" s="11"/>
    </row>
    <row r="158" spans="1:62" ht="21.75" customHeight="1" x14ac:dyDescent="0.3">
      <c r="A158" s="117" t="s">
        <v>220</v>
      </c>
      <c r="B158" s="117"/>
      <c r="C158" s="117"/>
      <c r="D158" s="117"/>
      <c r="E158" s="117"/>
      <c r="F158" s="117"/>
      <c r="G158" s="117"/>
      <c r="H158" s="117"/>
    </row>
    <row r="159" spans="1:62" ht="47.25" hidden="1" customHeight="1" x14ac:dyDescent="0.3">
      <c r="A159" s="118" t="s">
        <v>72</v>
      </c>
      <c r="B159" s="5" t="s">
        <v>11</v>
      </c>
      <c r="C159" s="69" t="s">
        <v>49</v>
      </c>
      <c r="D159" s="5" t="s">
        <v>51</v>
      </c>
      <c r="E159" s="5"/>
      <c r="F159" s="5"/>
      <c r="G159" s="9"/>
      <c r="H159" s="11"/>
    </row>
    <row r="160" spans="1:62" ht="47.25" hidden="1" customHeight="1" x14ac:dyDescent="0.3">
      <c r="A160" s="118"/>
      <c r="B160" s="5" t="s">
        <v>9</v>
      </c>
      <c r="C160" s="69" t="s">
        <v>147</v>
      </c>
      <c r="D160" s="5" t="s">
        <v>77</v>
      </c>
      <c r="E160" s="5"/>
      <c r="F160" s="5"/>
      <c r="G160" s="9"/>
      <c r="H160" s="11"/>
    </row>
    <row r="161" spans="1:8" ht="47.25" hidden="1" customHeight="1" x14ac:dyDescent="0.3">
      <c r="A161" s="118"/>
      <c r="B161" s="5" t="s">
        <v>12</v>
      </c>
      <c r="C161" s="70" t="s">
        <v>91</v>
      </c>
      <c r="D161" s="5" t="s">
        <v>51</v>
      </c>
      <c r="E161" s="5"/>
      <c r="F161" s="5"/>
      <c r="G161" s="9"/>
      <c r="H161" s="11"/>
    </row>
    <row r="162" spans="1:8" ht="57.75" customHeight="1" x14ac:dyDescent="0.3">
      <c r="A162" s="118" t="s">
        <v>359</v>
      </c>
      <c r="B162" s="5" t="s">
        <v>11</v>
      </c>
      <c r="C162" s="69" t="s">
        <v>49</v>
      </c>
      <c r="D162" s="5"/>
      <c r="E162" s="19">
        <f>Хід1!E69*1000</f>
        <v>11875000</v>
      </c>
      <c r="F162" s="19">
        <f>Хід1!K69*1000</f>
        <v>11851800</v>
      </c>
      <c r="G162" s="21">
        <f>F162/E162*100</f>
        <v>99.804631578947365</v>
      </c>
      <c r="H162" s="114" t="s">
        <v>327</v>
      </c>
    </row>
    <row r="163" spans="1:8" ht="59.25" customHeight="1" x14ac:dyDescent="0.3">
      <c r="A163" s="118"/>
      <c r="B163" s="5" t="s">
        <v>9</v>
      </c>
      <c r="C163" s="69" t="s">
        <v>147</v>
      </c>
      <c r="D163" s="5" t="s">
        <v>77</v>
      </c>
      <c r="E163" s="5">
        <v>31340</v>
      </c>
      <c r="F163" s="5">
        <v>29703</v>
      </c>
      <c r="G163" s="21">
        <f t="shared" ref="G163:G164" si="20">F163/E163*100</f>
        <v>94.776643267389915</v>
      </c>
      <c r="H163" s="114"/>
    </row>
    <row r="164" spans="1:8" ht="42" customHeight="1" x14ac:dyDescent="0.3">
      <c r="A164" s="118"/>
      <c r="B164" s="5" t="s">
        <v>12</v>
      </c>
      <c r="C164" s="70" t="s">
        <v>91</v>
      </c>
      <c r="D164" s="5" t="s">
        <v>51</v>
      </c>
      <c r="E164" s="57">
        <f>E162/E163</f>
        <v>378.90874282067648</v>
      </c>
      <c r="F164" s="57">
        <f>F162/F163</f>
        <v>399.01020098979899</v>
      </c>
      <c r="G164" s="21">
        <f t="shared" si="20"/>
        <v>105.3050922022762</v>
      </c>
      <c r="H164" s="114"/>
    </row>
    <row r="165" spans="1:8" ht="79.5" customHeight="1" x14ac:dyDescent="0.3">
      <c r="A165" s="118"/>
      <c r="B165" s="5" t="s">
        <v>10</v>
      </c>
      <c r="C165" s="69" t="s">
        <v>148</v>
      </c>
      <c r="D165" s="5" t="s">
        <v>55</v>
      </c>
      <c r="E165" s="57">
        <v>94.68</v>
      </c>
      <c r="F165" s="57">
        <v>115.77</v>
      </c>
      <c r="G165" s="21">
        <f>F165/E165*100</f>
        <v>122.27503168567806</v>
      </c>
      <c r="H165" s="114"/>
    </row>
    <row r="166" spans="1:8" ht="47.25" hidden="1" customHeight="1" x14ac:dyDescent="0.3">
      <c r="A166" s="118" t="s">
        <v>73</v>
      </c>
      <c r="B166" s="114" t="s">
        <v>11</v>
      </c>
      <c r="C166" s="69" t="s">
        <v>49</v>
      </c>
      <c r="D166" s="5" t="s">
        <v>51</v>
      </c>
      <c r="E166" s="5"/>
      <c r="F166" s="5"/>
      <c r="G166" s="9"/>
      <c r="H166" s="11"/>
    </row>
    <row r="167" spans="1:8" ht="47.25" hidden="1" customHeight="1" x14ac:dyDescent="0.3">
      <c r="A167" s="118"/>
      <c r="B167" s="114"/>
      <c r="C167" s="69" t="s">
        <v>149</v>
      </c>
      <c r="D167" s="5" t="s">
        <v>51</v>
      </c>
      <c r="E167" s="5"/>
      <c r="F167" s="5"/>
      <c r="G167" s="9"/>
      <c r="H167" s="11"/>
    </row>
    <row r="168" spans="1:8" ht="47.25" hidden="1" customHeight="1" x14ac:dyDescent="0.3">
      <c r="A168" s="118"/>
      <c r="B168" s="114"/>
      <c r="C168" s="69" t="s">
        <v>150</v>
      </c>
      <c r="D168" s="5" t="s">
        <v>51</v>
      </c>
      <c r="E168" s="5"/>
      <c r="F168" s="5"/>
      <c r="G168" s="9"/>
      <c r="H168" s="11"/>
    </row>
    <row r="169" spans="1:8" ht="47.25" hidden="1" customHeight="1" x14ac:dyDescent="0.3">
      <c r="A169" s="118"/>
      <c r="B169" s="114"/>
      <c r="C169" s="69" t="s">
        <v>151</v>
      </c>
      <c r="D169" s="5" t="s">
        <v>51</v>
      </c>
      <c r="E169" s="5"/>
      <c r="F169" s="5"/>
      <c r="G169" s="9"/>
      <c r="H169" s="11"/>
    </row>
    <row r="170" spans="1:8" ht="47.25" hidden="1" customHeight="1" x14ac:dyDescent="0.3">
      <c r="A170" s="118"/>
      <c r="B170" s="114" t="s">
        <v>9</v>
      </c>
      <c r="C170" s="69" t="s">
        <v>154</v>
      </c>
      <c r="D170" s="5" t="s">
        <v>77</v>
      </c>
      <c r="E170" s="5"/>
      <c r="F170" s="5"/>
      <c r="G170" s="9"/>
      <c r="H170" s="11"/>
    </row>
    <row r="171" spans="1:8" ht="47.25" hidden="1" customHeight="1" x14ac:dyDescent="0.3">
      <c r="A171" s="118"/>
      <c r="B171" s="114"/>
      <c r="C171" s="69" t="s">
        <v>152</v>
      </c>
      <c r="D171" s="5" t="s">
        <v>77</v>
      </c>
      <c r="E171" s="5"/>
      <c r="F171" s="5"/>
      <c r="G171" s="9"/>
      <c r="H171" s="11"/>
    </row>
    <row r="172" spans="1:8" ht="47.25" hidden="1" customHeight="1" x14ac:dyDescent="0.3">
      <c r="A172" s="118"/>
      <c r="B172" s="114"/>
      <c r="C172" s="69" t="s">
        <v>153</v>
      </c>
      <c r="D172" s="5" t="s">
        <v>77</v>
      </c>
      <c r="E172" s="5"/>
      <c r="F172" s="5"/>
      <c r="G172" s="9"/>
      <c r="H172" s="11"/>
    </row>
    <row r="173" spans="1:8" ht="47.25" hidden="1" customHeight="1" x14ac:dyDescent="0.3">
      <c r="A173" s="118"/>
      <c r="B173" s="114" t="s">
        <v>12</v>
      </c>
      <c r="C173" s="70" t="s">
        <v>155</v>
      </c>
      <c r="D173" s="5" t="s">
        <v>51</v>
      </c>
      <c r="E173" s="5"/>
      <c r="F173" s="5"/>
      <c r="G173" s="9"/>
      <c r="H173" s="11"/>
    </row>
    <row r="174" spans="1:8" ht="47.25" hidden="1" customHeight="1" x14ac:dyDescent="0.3">
      <c r="A174" s="118"/>
      <c r="B174" s="114"/>
      <c r="C174" s="70" t="s">
        <v>156</v>
      </c>
      <c r="D174" s="5" t="s">
        <v>51</v>
      </c>
      <c r="E174" s="5"/>
      <c r="F174" s="5"/>
      <c r="G174" s="9"/>
      <c r="H174" s="11"/>
    </row>
    <row r="175" spans="1:8" ht="47.25" hidden="1" customHeight="1" x14ac:dyDescent="0.3">
      <c r="A175" s="118"/>
      <c r="B175" s="114"/>
      <c r="C175" s="70" t="s">
        <v>157</v>
      </c>
      <c r="D175" s="5" t="s">
        <v>51</v>
      </c>
      <c r="E175" s="5"/>
      <c r="F175" s="5"/>
      <c r="G175" s="9"/>
      <c r="H175" s="11"/>
    </row>
    <row r="176" spans="1:8" ht="47.25" hidden="1" customHeight="1" x14ac:dyDescent="0.3">
      <c r="A176" s="118"/>
      <c r="B176" s="11" t="s">
        <v>10</v>
      </c>
      <c r="C176" s="5" t="s">
        <v>158</v>
      </c>
      <c r="D176" s="5" t="s">
        <v>55</v>
      </c>
      <c r="E176" s="5"/>
      <c r="F176" s="5"/>
      <c r="G176" s="9"/>
      <c r="H176" s="11"/>
    </row>
    <row r="177" spans="1:8" ht="89.25" customHeight="1" x14ac:dyDescent="0.3">
      <c r="A177" s="118" t="s">
        <v>360</v>
      </c>
      <c r="B177" s="114" t="s">
        <v>11</v>
      </c>
      <c r="C177" s="69" t="s">
        <v>49</v>
      </c>
      <c r="D177" s="5" t="s">
        <v>51</v>
      </c>
      <c r="E177" s="19">
        <f>Хід1!E71*1000</f>
        <v>5824400</v>
      </c>
      <c r="F177" s="19">
        <f>Хід1!K71*1000</f>
        <v>5529000</v>
      </c>
      <c r="G177" s="21">
        <f>F177/E177*100</f>
        <v>94.928232951033593</v>
      </c>
      <c r="H177" s="5" t="s">
        <v>395</v>
      </c>
    </row>
    <row r="178" spans="1:8" ht="25.5" customHeight="1" x14ac:dyDescent="0.3">
      <c r="A178" s="118"/>
      <c r="B178" s="114"/>
      <c r="C178" s="69" t="s">
        <v>149</v>
      </c>
      <c r="D178" s="5" t="s">
        <v>51</v>
      </c>
      <c r="E178" s="5">
        <f>3319.4*1000</f>
        <v>3319400</v>
      </c>
      <c r="F178" s="57">
        <f>3319.4*1000</f>
        <v>3319400</v>
      </c>
      <c r="G178" s="21">
        <f t="shared" ref="G178:G183" si="21">F178/E178*100</f>
        <v>100</v>
      </c>
      <c r="H178" s="5"/>
    </row>
    <row r="179" spans="1:8" ht="49.5" customHeight="1" x14ac:dyDescent="0.3">
      <c r="A179" s="118"/>
      <c r="B179" s="114"/>
      <c r="C179" s="69" t="s">
        <v>150</v>
      </c>
      <c r="D179" s="5" t="s">
        <v>51</v>
      </c>
      <c r="E179" s="5">
        <f>2415*1000</f>
        <v>2415000</v>
      </c>
      <c r="F179" s="57">
        <f>2129.9*1000</f>
        <v>2129900</v>
      </c>
      <c r="G179" s="21">
        <f t="shared" si="21"/>
        <v>88.194616977225664</v>
      </c>
      <c r="H179" s="5" t="s">
        <v>385</v>
      </c>
    </row>
    <row r="180" spans="1:8" ht="33" customHeight="1" x14ac:dyDescent="0.3">
      <c r="A180" s="118"/>
      <c r="B180" s="114"/>
      <c r="C180" s="69" t="s">
        <v>151</v>
      </c>
      <c r="D180" s="5" t="s">
        <v>51</v>
      </c>
      <c r="E180" s="5">
        <f>90*1000</f>
        <v>90000</v>
      </c>
      <c r="F180" s="5">
        <f>79.7*1000</f>
        <v>79700</v>
      </c>
      <c r="G180" s="21">
        <f t="shared" si="21"/>
        <v>88.555555555555557</v>
      </c>
      <c r="H180" s="5" t="s">
        <v>323</v>
      </c>
    </row>
    <row r="181" spans="1:8" ht="24.75" customHeight="1" x14ac:dyDescent="0.3">
      <c r="A181" s="118"/>
      <c r="B181" s="43" t="s">
        <v>9</v>
      </c>
      <c r="C181" s="69" t="s">
        <v>315</v>
      </c>
      <c r="D181" s="5" t="s">
        <v>77</v>
      </c>
      <c r="E181" s="5">
        <v>507</v>
      </c>
      <c r="F181" s="5">
        <v>507</v>
      </c>
      <c r="G181" s="21">
        <f t="shared" si="21"/>
        <v>100</v>
      </c>
      <c r="H181" s="5"/>
    </row>
    <row r="182" spans="1:8" ht="69.75" customHeight="1" x14ac:dyDescent="0.3">
      <c r="A182" s="118"/>
      <c r="B182" s="43" t="s">
        <v>12</v>
      </c>
      <c r="C182" s="70" t="s">
        <v>316</v>
      </c>
      <c r="D182" s="5" t="s">
        <v>51</v>
      </c>
      <c r="E182" s="57">
        <f>E177/E181</f>
        <v>11487.968441814595</v>
      </c>
      <c r="F182" s="57">
        <f>F177/F181</f>
        <v>10905.325443786982</v>
      </c>
      <c r="G182" s="21">
        <f t="shared" si="21"/>
        <v>94.928232951033593</v>
      </c>
      <c r="H182" s="5"/>
    </row>
    <row r="183" spans="1:8" ht="100.5" customHeight="1" x14ac:dyDescent="0.3">
      <c r="A183" s="118"/>
      <c r="B183" s="11" t="s">
        <v>10</v>
      </c>
      <c r="C183" s="69" t="s">
        <v>317</v>
      </c>
      <c r="D183" s="5" t="s">
        <v>55</v>
      </c>
      <c r="E183" s="57">
        <f>5824400/2806300*100</f>
        <v>207.54730427965652</v>
      </c>
      <c r="F183" s="57">
        <f>5528965/2806300*100</f>
        <v>197.01974129636886</v>
      </c>
      <c r="G183" s="21">
        <f t="shared" si="21"/>
        <v>94.9276320307671</v>
      </c>
      <c r="H183" s="5"/>
    </row>
    <row r="184" spans="1:8" ht="47.25" hidden="1" customHeight="1" x14ac:dyDescent="0.3">
      <c r="A184" s="118" t="s">
        <v>74</v>
      </c>
      <c r="B184" s="11" t="s">
        <v>11</v>
      </c>
      <c r="C184" s="69" t="s">
        <v>49</v>
      </c>
      <c r="D184" s="5" t="s">
        <v>51</v>
      </c>
      <c r="E184" s="5"/>
      <c r="F184" s="5"/>
      <c r="G184" s="9"/>
      <c r="H184" s="11"/>
    </row>
    <row r="185" spans="1:8" ht="47.25" hidden="1" customHeight="1" x14ac:dyDescent="0.3">
      <c r="A185" s="118"/>
      <c r="B185" s="11" t="s">
        <v>9</v>
      </c>
      <c r="C185" s="69" t="s">
        <v>159</v>
      </c>
      <c r="D185" s="5" t="s">
        <v>77</v>
      </c>
      <c r="E185" s="5"/>
      <c r="F185" s="5"/>
      <c r="G185" s="9"/>
      <c r="H185" s="11"/>
    </row>
    <row r="186" spans="1:8" ht="47.25" hidden="1" customHeight="1" x14ac:dyDescent="0.3">
      <c r="A186" s="118"/>
      <c r="B186" s="11" t="s">
        <v>12</v>
      </c>
      <c r="C186" s="70" t="s">
        <v>160</v>
      </c>
      <c r="D186" s="5" t="s">
        <v>51</v>
      </c>
      <c r="E186" s="5"/>
      <c r="F186" s="5"/>
      <c r="G186" s="9"/>
      <c r="H186" s="11"/>
    </row>
    <row r="187" spans="1:8" ht="47.25" hidden="1" customHeight="1" x14ac:dyDescent="0.3">
      <c r="A187" s="118"/>
      <c r="B187" s="11" t="s">
        <v>10</v>
      </c>
      <c r="C187" s="69" t="s">
        <v>161</v>
      </c>
      <c r="D187" s="5" t="s">
        <v>55</v>
      </c>
      <c r="E187" s="5"/>
      <c r="F187" s="5"/>
      <c r="G187" s="9"/>
      <c r="H187" s="11"/>
    </row>
    <row r="188" spans="1:8" ht="18" customHeight="1" x14ac:dyDescent="0.3">
      <c r="A188" s="118" t="s">
        <v>361</v>
      </c>
      <c r="B188" s="5" t="s">
        <v>11</v>
      </c>
      <c r="C188" s="69" t="s">
        <v>49</v>
      </c>
      <c r="D188" s="5" t="s">
        <v>51</v>
      </c>
      <c r="E188" s="19">
        <f>Хід1!E73*1000</f>
        <v>2196600</v>
      </c>
      <c r="F188" s="19">
        <f>Хід1!K73*1000</f>
        <v>2196500</v>
      </c>
      <c r="G188" s="77">
        <f>F188/E188*100</f>
        <v>99.995447509787851</v>
      </c>
      <c r="H188" s="5"/>
    </row>
    <row r="189" spans="1:8" ht="33" customHeight="1" x14ac:dyDescent="0.3">
      <c r="A189" s="118"/>
      <c r="B189" s="5" t="s">
        <v>9</v>
      </c>
      <c r="C189" s="69" t="s">
        <v>159</v>
      </c>
      <c r="D189" s="5" t="s">
        <v>77</v>
      </c>
      <c r="E189" s="5">
        <v>654</v>
      </c>
      <c r="F189" s="5">
        <v>491</v>
      </c>
      <c r="G189" s="9"/>
      <c r="H189" s="5"/>
    </row>
    <row r="190" spans="1:8" ht="49.5" customHeight="1" x14ac:dyDescent="0.3">
      <c r="A190" s="118"/>
      <c r="B190" s="5" t="s">
        <v>12</v>
      </c>
      <c r="C190" s="70" t="s">
        <v>160</v>
      </c>
      <c r="D190" s="5" t="s">
        <v>51</v>
      </c>
      <c r="E190" s="9">
        <f>E188/E189</f>
        <v>3358.7155963302753</v>
      </c>
      <c r="F190" s="9">
        <f>F188/F189</f>
        <v>4473.5234215885948</v>
      </c>
      <c r="G190" s="9"/>
      <c r="H190" s="5"/>
    </row>
    <row r="191" spans="1:8" ht="33" customHeight="1" x14ac:dyDescent="0.3">
      <c r="A191" s="118"/>
      <c r="B191" s="5" t="s">
        <v>10</v>
      </c>
      <c r="C191" s="69" t="s">
        <v>161</v>
      </c>
      <c r="D191" s="5" t="s">
        <v>55</v>
      </c>
      <c r="E191" s="57">
        <v>105.8</v>
      </c>
      <c r="F191" s="57">
        <v>105.05</v>
      </c>
      <c r="G191" s="9"/>
      <c r="H191" s="5"/>
    </row>
    <row r="192" spans="1:8" ht="47.25" hidden="1" customHeight="1" x14ac:dyDescent="0.3">
      <c r="A192" s="118" t="s">
        <v>75</v>
      </c>
      <c r="B192" s="11" t="s">
        <v>11</v>
      </c>
      <c r="C192" s="69" t="s">
        <v>49</v>
      </c>
      <c r="D192" s="5" t="s">
        <v>51</v>
      </c>
      <c r="E192" s="5"/>
      <c r="F192" s="5"/>
      <c r="G192" s="9"/>
      <c r="H192" s="11"/>
    </row>
    <row r="193" spans="1:8" ht="47.25" hidden="1" customHeight="1" x14ac:dyDescent="0.3">
      <c r="A193" s="118"/>
      <c r="B193" s="114" t="s">
        <v>9</v>
      </c>
      <c r="C193" s="69" t="s">
        <v>166</v>
      </c>
      <c r="D193" s="11" t="s">
        <v>50</v>
      </c>
      <c r="E193" s="11"/>
      <c r="F193" s="11"/>
      <c r="G193" s="18"/>
      <c r="H193" s="11"/>
    </row>
    <row r="194" spans="1:8" ht="47.25" hidden="1" customHeight="1" x14ac:dyDescent="0.3">
      <c r="A194" s="118"/>
      <c r="B194" s="114"/>
      <c r="C194" s="69" t="s">
        <v>162</v>
      </c>
      <c r="D194" s="11" t="s">
        <v>77</v>
      </c>
      <c r="E194" s="11"/>
      <c r="F194" s="11"/>
      <c r="G194" s="18"/>
      <c r="H194" s="11"/>
    </row>
    <row r="195" spans="1:8" ht="47.25" hidden="1" customHeight="1" x14ac:dyDescent="0.3">
      <c r="A195" s="118"/>
      <c r="B195" s="114"/>
      <c r="C195" s="69" t="s">
        <v>163</v>
      </c>
      <c r="D195" s="11" t="s">
        <v>77</v>
      </c>
      <c r="E195" s="11"/>
      <c r="F195" s="11"/>
      <c r="G195" s="18"/>
      <c r="H195" s="11"/>
    </row>
    <row r="196" spans="1:8" ht="47.25" hidden="1" customHeight="1" x14ac:dyDescent="0.3">
      <c r="A196" s="118"/>
      <c r="B196" s="118" t="s">
        <v>12</v>
      </c>
      <c r="C196" s="70" t="s">
        <v>164</v>
      </c>
      <c r="D196" s="11" t="s">
        <v>77</v>
      </c>
      <c r="E196" s="11"/>
      <c r="F196" s="11"/>
      <c r="G196" s="18"/>
      <c r="H196" s="11"/>
    </row>
    <row r="197" spans="1:8" ht="47.25" hidden="1" customHeight="1" x14ac:dyDescent="0.3">
      <c r="A197" s="118"/>
      <c r="B197" s="118"/>
      <c r="C197" s="70" t="s">
        <v>165</v>
      </c>
      <c r="D197" s="11" t="s">
        <v>77</v>
      </c>
      <c r="E197" s="11"/>
      <c r="F197" s="11"/>
      <c r="G197" s="18"/>
      <c r="H197" s="11"/>
    </row>
    <row r="198" spans="1:8" ht="47.25" hidden="1" customHeight="1" x14ac:dyDescent="0.3">
      <c r="A198" s="118"/>
      <c r="B198" s="114" t="s">
        <v>10</v>
      </c>
      <c r="C198" s="70" t="s">
        <v>167</v>
      </c>
      <c r="D198" s="11" t="s">
        <v>55</v>
      </c>
      <c r="E198" s="11"/>
      <c r="F198" s="11"/>
      <c r="G198" s="18"/>
      <c r="H198" s="11"/>
    </row>
    <row r="199" spans="1:8" ht="47.25" hidden="1" customHeight="1" x14ac:dyDescent="0.3">
      <c r="A199" s="118"/>
      <c r="B199" s="114"/>
      <c r="C199" s="70" t="s">
        <v>168</v>
      </c>
      <c r="D199" s="11" t="s">
        <v>55</v>
      </c>
      <c r="E199" s="11"/>
      <c r="F199" s="11"/>
      <c r="G199" s="18"/>
      <c r="H199" s="11"/>
    </row>
    <row r="200" spans="1:8" ht="18" customHeight="1" x14ac:dyDescent="0.3">
      <c r="A200" s="118" t="s">
        <v>362</v>
      </c>
      <c r="B200" s="11" t="s">
        <v>11</v>
      </c>
      <c r="C200" s="69" t="s">
        <v>49</v>
      </c>
      <c r="D200" s="5" t="s">
        <v>51</v>
      </c>
      <c r="E200" s="19">
        <f>Хід1!E75*1000</f>
        <v>300000</v>
      </c>
      <c r="F200" s="19">
        <f>Хід1!K75*1000</f>
        <v>289100</v>
      </c>
      <c r="G200" s="21">
        <f>F200/E200*100</f>
        <v>96.366666666666674</v>
      </c>
      <c r="H200" s="5" t="s">
        <v>397</v>
      </c>
    </row>
    <row r="201" spans="1:8" ht="20.25" customHeight="1" x14ac:dyDescent="0.3">
      <c r="A201" s="118"/>
      <c r="B201" s="114" t="s">
        <v>9</v>
      </c>
      <c r="C201" s="69" t="s">
        <v>166</v>
      </c>
      <c r="D201" s="5" t="s">
        <v>50</v>
      </c>
      <c r="E201" s="5">
        <v>1</v>
      </c>
      <c r="F201" s="5">
        <v>1</v>
      </c>
      <c r="G201" s="21"/>
      <c r="H201" s="5"/>
    </row>
    <row r="202" spans="1:8" ht="55.5" customHeight="1" x14ac:dyDescent="0.3">
      <c r="A202" s="118"/>
      <c r="B202" s="114"/>
      <c r="C202" s="69" t="s">
        <v>162</v>
      </c>
      <c r="D202" s="5" t="s">
        <v>77</v>
      </c>
      <c r="E202" s="5">
        <v>85</v>
      </c>
      <c r="F202" s="5">
        <v>75</v>
      </c>
      <c r="G202" s="21">
        <f t="shared" ref="G202:G204" si="22">F202/E202*100</f>
        <v>88.235294117647058</v>
      </c>
      <c r="H202" s="5" t="s">
        <v>396</v>
      </c>
    </row>
    <row r="203" spans="1:8" ht="51" customHeight="1" x14ac:dyDescent="0.3">
      <c r="A203" s="118"/>
      <c r="B203" s="76" t="s">
        <v>12</v>
      </c>
      <c r="C203" s="70" t="s">
        <v>164</v>
      </c>
      <c r="D203" s="5" t="s">
        <v>51</v>
      </c>
      <c r="E203" s="9">
        <f>E200/E202</f>
        <v>3529.4117647058824</v>
      </c>
      <c r="F203" s="9">
        <f>F200/F202</f>
        <v>3854.6666666666665</v>
      </c>
      <c r="G203" s="21">
        <f t="shared" si="22"/>
        <v>109.21555555555555</v>
      </c>
      <c r="H203" s="5"/>
    </row>
    <row r="204" spans="1:8" ht="55.5" customHeight="1" x14ac:dyDescent="0.3">
      <c r="A204" s="118"/>
      <c r="B204" s="43" t="s">
        <v>10</v>
      </c>
      <c r="C204" s="70" t="s">
        <v>167</v>
      </c>
      <c r="D204" s="5" t="s">
        <v>55</v>
      </c>
      <c r="E204" s="5">
        <v>100</v>
      </c>
      <c r="F204" s="5">
        <v>100</v>
      </c>
      <c r="G204" s="21">
        <f t="shared" si="22"/>
        <v>100</v>
      </c>
      <c r="H204" s="5"/>
    </row>
    <row r="205" spans="1:8" ht="20.25" customHeight="1" x14ac:dyDescent="0.3">
      <c r="A205" s="117" t="s">
        <v>170</v>
      </c>
      <c r="B205" s="117"/>
      <c r="C205" s="117"/>
      <c r="D205" s="117"/>
      <c r="E205" s="117"/>
      <c r="F205" s="117"/>
      <c r="G205" s="117"/>
      <c r="H205" s="117"/>
    </row>
    <row r="206" spans="1:8" ht="33" customHeight="1" x14ac:dyDescent="0.3">
      <c r="A206" s="86"/>
      <c r="B206" s="19" t="s">
        <v>9</v>
      </c>
      <c r="C206" s="43" t="s">
        <v>52</v>
      </c>
      <c r="D206" s="43" t="s">
        <v>50</v>
      </c>
      <c r="E206" s="61">
        <v>2</v>
      </c>
      <c r="F206" s="61">
        <v>2</v>
      </c>
      <c r="G206" s="85">
        <f>F206/E206*100</f>
        <v>100</v>
      </c>
      <c r="H206" s="11"/>
    </row>
    <row r="207" spans="1:8" ht="39" customHeight="1" x14ac:dyDescent="0.3">
      <c r="A207" s="86"/>
      <c r="B207" s="87" t="s">
        <v>10</v>
      </c>
      <c r="C207" s="5" t="s">
        <v>234</v>
      </c>
      <c r="D207" s="43" t="s">
        <v>55</v>
      </c>
      <c r="E207" s="63">
        <v>29</v>
      </c>
      <c r="F207" s="63">
        <f>6696042/19250000*100</f>
        <v>34.78463376623376</v>
      </c>
      <c r="G207" s="88"/>
      <c r="H207" s="11"/>
    </row>
    <row r="208" spans="1:8" ht="19.5" customHeight="1" x14ac:dyDescent="0.3">
      <c r="A208" s="117" t="s">
        <v>169</v>
      </c>
      <c r="B208" s="117"/>
      <c r="C208" s="117"/>
      <c r="D208" s="117"/>
      <c r="E208" s="89">
        <f>E210+E227</f>
        <v>6874200</v>
      </c>
      <c r="F208" s="89">
        <f>F210+F227</f>
        <v>6696825</v>
      </c>
      <c r="G208" s="64"/>
      <c r="H208" s="11"/>
    </row>
    <row r="209" spans="1:8" ht="19.5" customHeight="1" x14ac:dyDescent="0.3">
      <c r="A209" s="117" t="s">
        <v>230</v>
      </c>
      <c r="B209" s="117"/>
      <c r="C209" s="117"/>
      <c r="D209" s="117"/>
      <c r="E209" s="117"/>
      <c r="F209" s="117"/>
      <c r="G209" s="117"/>
      <c r="H209" s="117"/>
    </row>
    <row r="210" spans="1:8" ht="15" customHeight="1" x14ac:dyDescent="0.3">
      <c r="A210" s="118" t="s">
        <v>244</v>
      </c>
      <c r="B210" s="114" t="s">
        <v>11</v>
      </c>
      <c r="C210" s="69" t="s">
        <v>172</v>
      </c>
      <c r="D210" s="5" t="s">
        <v>51</v>
      </c>
      <c r="E210" s="19">
        <f>Хід1!D81*1000</f>
        <v>3813100</v>
      </c>
      <c r="F210" s="19">
        <f>Хід1!J81*1000</f>
        <v>3635925</v>
      </c>
      <c r="G210" s="21">
        <f>F210/E210*100</f>
        <v>95.353518134850916</v>
      </c>
      <c r="H210" s="5" t="s">
        <v>323</v>
      </c>
    </row>
    <row r="211" spans="1:8" ht="18" customHeight="1" x14ac:dyDescent="0.3">
      <c r="A211" s="118"/>
      <c r="B211" s="114"/>
      <c r="C211" s="69" t="s">
        <v>171</v>
      </c>
      <c r="D211" s="5"/>
      <c r="E211" s="5">
        <v>2</v>
      </c>
      <c r="F211" s="5">
        <v>2</v>
      </c>
      <c r="G211" s="21">
        <f t="shared" ref="G211:G223" si="23">F211/E211*100</f>
        <v>100</v>
      </c>
      <c r="H211" s="5"/>
    </row>
    <row r="212" spans="1:8" ht="19.5" customHeight="1" x14ac:dyDescent="0.3">
      <c r="A212" s="118"/>
      <c r="B212" s="114"/>
      <c r="C212" s="69" t="s">
        <v>173</v>
      </c>
      <c r="D212" s="5" t="s">
        <v>50</v>
      </c>
      <c r="E212" s="5">
        <v>1</v>
      </c>
      <c r="F212" s="5">
        <v>1</v>
      </c>
      <c r="G212" s="21">
        <f t="shared" si="23"/>
        <v>100</v>
      </c>
      <c r="H212" s="5"/>
    </row>
    <row r="213" spans="1:8" ht="33" customHeight="1" x14ac:dyDescent="0.3">
      <c r="A213" s="118"/>
      <c r="B213" s="114"/>
      <c r="C213" s="69" t="s">
        <v>174</v>
      </c>
      <c r="D213" s="5" t="s">
        <v>50</v>
      </c>
      <c r="E213" s="5">
        <v>1</v>
      </c>
      <c r="F213" s="5">
        <v>1</v>
      </c>
      <c r="G213" s="21">
        <f t="shared" si="23"/>
        <v>100</v>
      </c>
      <c r="H213" s="5"/>
    </row>
    <row r="214" spans="1:8" ht="18" customHeight="1" x14ac:dyDescent="0.3">
      <c r="A214" s="118"/>
      <c r="B214" s="114"/>
      <c r="C214" s="69" t="s">
        <v>184</v>
      </c>
      <c r="D214" s="5" t="s">
        <v>50</v>
      </c>
      <c r="E214" s="5">
        <v>21</v>
      </c>
      <c r="F214" s="5">
        <v>21</v>
      </c>
      <c r="G214" s="21">
        <f t="shared" si="23"/>
        <v>100</v>
      </c>
      <c r="H214" s="5"/>
    </row>
    <row r="215" spans="1:8" ht="24.75" customHeight="1" x14ac:dyDescent="0.3">
      <c r="A215" s="118"/>
      <c r="B215" s="114"/>
      <c r="C215" s="69" t="s">
        <v>183</v>
      </c>
      <c r="D215" s="5" t="s">
        <v>50</v>
      </c>
      <c r="E215" s="5">
        <v>10</v>
      </c>
      <c r="F215" s="5">
        <v>10</v>
      </c>
      <c r="G215" s="21">
        <f t="shared" si="23"/>
        <v>100</v>
      </c>
      <c r="H215" s="5"/>
    </row>
    <row r="216" spans="1:8" ht="35.25" customHeight="1" x14ac:dyDescent="0.3">
      <c r="A216" s="118"/>
      <c r="B216" s="114"/>
      <c r="C216" s="69" t="s">
        <v>182</v>
      </c>
      <c r="D216" s="5" t="s">
        <v>50</v>
      </c>
      <c r="E216" s="5">
        <v>11</v>
      </c>
      <c r="F216" s="5">
        <v>11</v>
      </c>
      <c r="G216" s="21">
        <f t="shared" si="23"/>
        <v>100</v>
      </c>
      <c r="H216" s="5"/>
    </row>
    <row r="217" spans="1:8" ht="46.5" customHeight="1" x14ac:dyDescent="0.3">
      <c r="A217" s="118"/>
      <c r="B217" s="114" t="s">
        <v>9</v>
      </c>
      <c r="C217" s="69" t="s">
        <v>181</v>
      </c>
      <c r="D217" s="5" t="s">
        <v>50</v>
      </c>
      <c r="E217" s="5">
        <v>9</v>
      </c>
      <c r="F217" s="5">
        <v>9</v>
      </c>
      <c r="G217" s="21">
        <f t="shared" si="23"/>
        <v>100</v>
      </c>
      <c r="H217" s="5"/>
    </row>
    <row r="218" spans="1:8" ht="51.75" customHeight="1" x14ac:dyDescent="0.3">
      <c r="A218" s="118"/>
      <c r="B218" s="114"/>
      <c r="C218" s="69" t="s">
        <v>180</v>
      </c>
      <c r="D218" s="5" t="s">
        <v>50</v>
      </c>
      <c r="E218" s="5">
        <v>800</v>
      </c>
      <c r="F218" s="5">
        <v>800</v>
      </c>
      <c r="G218" s="21">
        <f t="shared" si="23"/>
        <v>100</v>
      </c>
      <c r="H218" s="5"/>
    </row>
    <row r="219" spans="1:8" ht="38.25" customHeight="1" x14ac:dyDescent="0.3">
      <c r="A219" s="118"/>
      <c r="B219" s="114"/>
      <c r="C219" s="69" t="s">
        <v>179</v>
      </c>
      <c r="D219" s="5" t="s">
        <v>50</v>
      </c>
      <c r="E219" s="5">
        <v>42</v>
      </c>
      <c r="F219" s="5">
        <v>37</v>
      </c>
      <c r="G219" s="21">
        <f t="shared" si="23"/>
        <v>88.095238095238088</v>
      </c>
      <c r="H219" s="5" t="s">
        <v>398</v>
      </c>
    </row>
    <row r="220" spans="1:8" ht="52.5" customHeight="1" x14ac:dyDescent="0.3">
      <c r="A220" s="118"/>
      <c r="B220" s="114"/>
      <c r="C220" s="69" t="s">
        <v>178</v>
      </c>
      <c r="D220" s="5" t="s">
        <v>50</v>
      </c>
      <c r="E220" s="5">
        <v>220</v>
      </c>
      <c r="F220" s="5">
        <v>220</v>
      </c>
      <c r="G220" s="21">
        <f t="shared" si="23"/>
        <v>100</v>
      </c>
      <c r="H220" s="5"/>
    </row>
    <row r="221" spans="1:8" ht="56.25" customHeight="1" x14ac:dyDescent="0.3">
      <c r="A221" s="118"/>
      <c r="B221" s="118" t="s">
        <v>12</v>
      </c>
      <c r="C221" s="69" t="s">
        <v>177</v>
      </c>
      <c r="D221" s="5" t="s">
        <v>50</v>
      </c>
      <c r="E221" s="5">
        <v>80</v>
      </c>
      <c r="F221" s="5">
        <v>80</v>
      </c>
      <c r="G221" s="21">
        <f t="shared" si="23"/>
        <v>100</v>
      </c>
      <c r="H221" s="5"/>
    </row>
    <row r="222" spans="1:8" ht="48" customHeight="1" x14ac:dyDescent="0.3">
      <c r="A222" s="118"/>
      <c r="B222" s="118"/>
      <c r="C222" s="69" t="s">
        <v>176</v>
      </c>
      <c r="D222" s="5" t="s">
        <v>50</v>
      </c>
      <c r="E222" s="5">
        <v>4</v>
      </c>
      <c r="F222" s="5">
        <v>3</v>
      </c>
      <c r="G222" s="21">
        <f t="shared" si="23"/>
        <v>75</v>
      </c>
      <c r="H222" s="5"/>
    </row>
    <row r="223" spans="1:8" ht="89.25" customHeight="1" x14ac:dyDescent="0.3">
      <c r="A223" s="118"/>
      <c r="B223" s="118"/>
      <c r="C223" s="69" t="s">
        <v>175</v>
      </c>
      <c r="D223" s="5" t="s">
        <v>50</v>
      </c>
      <c r="E223" s="5">
        <v>20</v>
      </c>
      <c r="F223" s="5">
        <v>20</v>
      </c>
      <c r="G223" s="21">
        <f t="shared" si="23"/>
        <v>100</v>
      </c>
      <c r="H223" s="5"/>
    </row>
    <row r="224" spans="1:8" ht="47.25" hidden="1" customHeight="1" x14ac:dyDescent="0.3">
      <c r="A224" s="118" t="s">
        <v>285</v>
      </c>
      <c r="B224" s="5" t="s">
        <v>11</v>
      </c>
      <c r="C224" s="69" t="s">
        <v>172</v>
      </c>
      <c r="D224" s="11" t="s">
        <v>51</v>
      </c>
      <c r="E224" s="11"/>
      <c r="F224" s="11"/>
      <c r="G224" s="18"/>
      <c r="H224" s="11"/>
    </row>
    <row r="225" spans="1:8" ht="47.25" hidden="1" customHeight="1" x14ac:dyDescent="0.3">
      <c r="A225" s="118"/>
      <c r="B225" s="43" t="s">
        <v>9</v>
      </c>
      <c r="C225" s="69" t="s">
        <v>185</v>
      </c>
      <c r="D225" s="11" t="s">
        <v>50</v>
      </c>
      <c r="E225" s="11"/>
      <c r="F225" s="11"/>
      <c r="G225" s="18"/>
      <c r="H225" s="11"/>
    </row>
    <row r="226" spans="1:8" ht="47.25" hidden="1" customHeight="1" x14ac:dyDescent="0.3">
      <c r="A226" s="118"/>
      <c r="B226" s="43" t="s">
        <v>12</v>
      </c>
      <c r="C226" s="70" t="s">
        <v>186</v>
      </c>
      <c r="D226" s="11" t="s">
        <v>51</v>
      </c>
      <c r="E226" s="11"/>
      <c r="F226" s="11"/>
      <c r="G226" s="18"/>
      <c r="H226" s="11"/>
    </row>
    <row r="227" spans="1:8" ht="65.25" customHeight="1" x14ac:dyDescent="0.3">
      <c r="A227" s="76" t="s">
        <v>364</v>
      </c>
      <c r="B227" s="5" t="s">
        <v>11</v>
      </c>
      <c r="C227" s="5" t="s">
        <v>187</v>
      </c>
      <c r="D227" s="5" t="s">
        <v>51</v>
      </c>
      <c r="E227" s="19">
        <f>Хід1!F83*1000</f>
        <v>3061100</v>
      </c>
      <c r="F227" s="19">
        <f>Хід1!L83*1000</f>
        <v>3060900</v>
      </c>
      <c r="G227" s="21">
        <f>F227/E227*100</f>
        <v>99.993466400966966</v>
      </c>
      <c r="H227" s="11"/>
    </row>
    <row r="228" spans="1:8" ht="33" customHeight="1" x14ac:dyDescent="0.3">
      <c r="A228" s="58" t="s">
        <v>189</v>
      </c>
      <c r="B228" s="58"/>
      <c r="C228" s="58"/>
      <c r="D228" s="58"/>
      <c r="E228" s="58"/>
      <c r="F228" s="58"/>
      <c r="G228" s="59"/>
      <c r="H228" s="11"/>
    </row>
    <row r="229" spans="1:8" ht="21.75" customHeight="1" x14ac:dyDescent="0.3">
      <c r="A229" s="86"/>
      <c r="B229" s="19" t="s">
        <v>9</v>
      </c>
      <c r="C229" s="43" t="s">
        <v>52</v>
      </c>
      <c r="D229" s="87" t="s">
        <v>50</v>
      </c>
      <c r="E229" s="90">
        <v>7</v>
      </c>
      <c r="F229" s="90">
        <v>9</v>
      </c>
      <c r="G229" s="62">
        <f>F229/E229*100</f>
        <v>128.57142857142858</v>
      </c>
      <c r="H229" s="11"/>
    </row>
    <row r="230" spans="1:8" ht="38.25" customHeight="1" x14ac:dyDescent="0.3">
      <c r="A230" s="86"/>
      <c r="B230" s="87" t="s">
        <v>10</v>
      </c>
      <c r="C230" s="5" t="s">
        <v>234</v>
      </c>
      <c r="D230" s="87" t="s">
        <v>55</v>
      </c>
      <c r="E230" s="91">
        <f>255360490/107551900*100</f>
        <v>237.4300128589081</v>
      </c>
      <c r="F230" s="91">
        <f>181457556/80955100*100</f>
        <v>224.1459228634144</v>
      </c>
      <c r="G230" s="64"/>
      <c r="H230" s="11"/>
    </row>
    <row r="231" spans="1:8" ht="17.25" customHeight="1" x14ac:dyDescent="0.3">
      <c r="A231" s="117" t="s">
        <v>188</v>
      </c>
      <c r="B231" s="117"/>
      <c r="C231" s="117"/>
      <c r="D231" s="117"/>
      <c r="E231" s="87">
        <f>E233+E245+E252+E255+E262</f>
        <v>255736200</v>
      </c>
      <c r="F231" s="87">
        <f>F233+F245+F252+F255+F262</f>
        <v>189862100</v>
      </c>
      <c r="G231" s="64"/>
      <c r="H231" s="11"/>
    </row>
    <row r="232" spans="1:8" ht="18.75" customHeight="1" x14ac:dyDescent="0.3">
      <c r="A232" s="117" t="s">
        <v>221</v>
      </c>
      <c r="B232" s="117"/>
      <c r="C232" s="117"/>
      <c r="D232" s="117"/>
      <c r="E232" s="117"/>
      <c r="F232" s="117"/>
      <c r="G232" s="117"/>
      <c r="H232" s="117"/>
    </row>
    <row r="233" spans="1:8" ht="117" customHeight="1" x14ac:dyDescent="0.3">
      <c r="A233" s="118" t="s">
        <v>325</v>
      </c>
      <c r="B233" s="43" t="s">
        <v>11</v>
      </c>
      <c r="C233" s="69" t="s">
        <v>190</v>
      </c>
      <c r="D233" s="5" t="s">
        <v>51</v>
      </c>
      <c r="E233" s="19">
        <f>(Хід1!F88+Хід1!F89)*1000</f>
        <v>165509200</v>
      </c>
      <c r="F233" s="19">
        <f>(Хід1!L88+Хід1!L89)*1000</f>
        <v>115164900</v>
      </c>
      <c r="G233" s="21">
        <f>F233/E233*100</f>
        <v>69.582174283967291</v>
      </c>
      <c r="H233" s="5" t="s">
        <v>329</v>
      </c>
    </row>
    <row r="234" spans="1:8" ht="26.25" customHeight="1" x14ac:dyDescent="0.3">
      <c r="A234" s="118"/>
      <c r="B234" s="43" t="s">
        <v>9</v>
      </c>
      <c r="C234" s="43" t="s">
        <v>191</v>
      </c>
      <c r="D234" s="5" t="s">
        <v>50</v>
      </c>
      <c r="E234" s="92">
        <v>39</v>
      </c>
      <c r="F234" s="92">
        <f>79+22</f>
        <v>101</v>
      </c>
      <c r="G234" s="93">
        <f t="shared" ref="G234:G235" si="24">F234/E234*100</f>
        <v>258.97435897435901</v>
      </c>
      <c r="H234" s="5" t="s">
        <v>399</v>
      </c>
    </row>
    <row r="235" spans="1:8" ht="59.25" customHeight="1" x14ac:dyDescent="0.3">
      <c r="A235" s="118"/>
      <c r="B235" s="43" t="s">
        <v>12</v>
      </c>
      <c r="C235" s="70" t="s">
        <v>186</v>
      </c>
      <c r="D235" s="5" t="s">
        <v>51</v>
      </c>
      <c r="E235" s="57">
        <f>E233/E234</f>
        <v>4243825.641025641</v>
      </c>
      <c r="F235" s="57">
        <f>F233/F234</f>
        <v>1140246.5346534653</v>
      </c>
      <c r="G235" s="21">
        <f t="shared" si="24"/>
        <v>26.868364327472516</v>
      </c>
      <c r="H235" s="5"/>
    </row>
    <row r="236" spans="1:8" ht="47.25" hidden="1" customHeight="1" x14ac:dyDescent="0.3">
      <c r="A236" s="118" t="s">
        <v>192</v>
      </c>
      <c r="B236" s="114" t="s">
        <v>11</v>
      </c>
      <c r="C236" s="69" t="s">
        <v>195</v>
      </c>
      <c r="D236" s="5" t="s">
        <v>51</v>
      </c>
      <c r="E236" s="5"/>
      <c r="F236" s="5"/>
      <c r="G236" s="18"/>
      <c r="H236" s="11"/>
    </row>
    <row r="237" spans="1:8" ht="47.25" hidden="1" customHeight="1" x14ac:dyDescent="0.3">
      <c r="A237" s="118"/>
      <c r="B237" s="114"/>
      <c r="C237" s="69" t="s">
        <v>193</v>
      </c>
      <c r="D237" s="5" t="s">
        <v>51</v>
      </c>
      <c r="E237" s="5"/>
      <c r="F237" s="5"/>
      <c r="G237" s="18"/>
      <c r="H237" s="11"/>
    </row>
    <row r="238" spans="1:8" ht="47.25" hidden="1" customHeight="1" x14ac:dyDescent="0.3">
      <c r="A238" s="118"/>
      <c r="B238" s="114"/>
      <c r="C238" s="69" t="s">
        <v>194</v>
      </c>
      <c r="D238" s="5" t="s">
        <v>51</v>
      </c>
      <c r="E238" s="5"/>
      <c r="F238" s="5"/>
      <c r="G238" s="18"/>
      <c r="H238" s="11"/>
    </row>
    <row r="239" spans="1:8" ht="47.25" hidden="1" customHeight="1" x14ac:dyDescent="0.3">
      <c r="A239" s="118"/>
      <c r="B239" s="114" t="s">
        <v>9</v>
      </c>
      <c r="C239" s="70" t="s">
        <v>196</v>
      </c>
      <c r="D239" s="5"/>
      <c r="E239" s="5"/>
      <c r="F239" s="5"/>
      <c r="G239" s="18"/>
      <c r="H239" s="11"/>
    </row>
    <row r="240" spans="1:8" ht="47.25" hidden="1" customHeight="1" x14ac:dyDescent="0.3">
      <c r="A240" s="118"/>
      <c r="B240" s="114"/>
      <c r="C240" s="69" t="s">
        <v>193</v>
      </c>
      <c r="D240" s="5" t="s">
        <v>50</v>
      </c>
      <c r="E240" s="5"/>
      <c r="F240" s="5"/>
      <c r="G240" s="18"/>
      <c r="H240" s="11"/>
    </row>
    <row r="241" spans="1:8" ht="47.25" hidden="1" customHeight="1" x14ac:dyDescent="0.3">
      <c r="A241" s="118"/>
      <c r="B241" s="114"/>
      <c r="C241" s="69" t="s">
        <v>194</v>
      </c>
      <c r="D241" s="5" t="s">
        <v>50</v>
      </c>
      <c r="E241" s="5"/>
      <c r="F241" s="5"/>
      <c r="G241" s="18"/>
      <c r="H241" s="11"/>
    </row>
    <row r="242" spans="1:8" ht="47.25" hidden="1" customHeight="1" x14ac:dyDescent="0.3">
      <c r="A242" s="118"/>
      <c r="B242" s="118" t="s">
        <v>12</v>
      </c>
      <c r="C242" s="70" t="s">
        <v>197</v>
      </c>
      <c r="D242" s="5"/>
      <c r="E242" s="5"/>
      <c r="F242" s="5"/>
      <c r="G242" s="18"/>
      <c r="H242" s="11"/>
    </row>
    <row r="243" spans="1:8" ht="47.25" hidden="1" customHeight="1" x14ac:dyDescent="0.3">
      <c r="A243" s="118"/>
      <c r="B243" s="118"/>
      <c r="C243" s="69" t="s">
        <v>193</v>
      </c>
      <c r="D243" s="5" t="s">
        <v>51</v>
      </c>
      <c r="E243" s="5"/>
      <c r="F243" s="5"/>
      <c r="G243" s="18"/>
      <c r="H243" s="11"/>
    </row>
    <row r="244" spans="1:8" ht="47.25" hidden="1" customHeight="1" x14ac:dyDescent="0.3">
      <c r="A244" s="118"/>
      <c r="B244" s="118"/>
      <c r="C244" s="69" t="s">
        <v>194</v>
      </c>
      <c r="D244" s="5" t="s">
        <v>51</v>
      </c>
      <c r="E244" s="5"/>
      <c r="F244" s="5"/>
      <c r="G244" s="18"/>
      <c r="H244" s="11"/>
    </row>
    <row r="245" spans="1:8" ht="36.75" customHeight="1" x14ac:dyDescent="0.3">
      <c r="A245" s="119" t="s">
        <v>373</v>
      </c>
      <c r="B245" s="102" t="s">
        <v>11</v>
      </c>
      <c r="C245" s="69" t="s">
        <v>342</v>
      </c>
      <c r="D245" s="5" t="s">
        <v>51</v>
      </c>
      <c r="E245" s="19">
        <f>(Хід1!F91+Хід1!F92)*1000</f>
        <v>35332900</v>
      </c>
      <c r="F245" s="19">
        <f>(Хід1!L91+Хід1!L92)*1000</f>
        <v>24456200</v>
      </c>
      <c r="G245" s="21">
        <f>F245/E245*100</f>
        <v>69.216509259075821</v>
      </c>
      <c r="H245" s="102" t="s">
        <v>322</v>
      </c>
    </row>
    <row r="246" spans="1:8" ht="36.75" customHeight="1" x14ac:dyDescent="0.3">
      <c r="A246" s="120"/>
      <c r="B246" s="107"/>
      <c r="C246" s="69" t="s">
        <v>198</v>
      </c>
      <c r="D246" s="5" t="s">
        <v>51</v>
      </c>
      <c r="E246" s="19">
        <f>Хід1!F91*1000</f>
        <v>27160900</v>
      </c>
      <c r="F246" s="19">
        <f>Хід1!L91*1000</f>
        <v>16312400</v>
      </c>
      <c r="G246" s="21">
        <f t="shared" ref="G246:G247" si="25">F246/E246*100</f>
        <v>60.058392763126413</v>
      </c>
      <c r="H246" s="107"/>
    </row>
    <row r="247" spans="1:8" ht="25.5" customHeight="1" x14ac:dyDescent="0.3">
      <c r="A247" s="120"/>
      <c r="B247" s="103"/>
      <c r="C247" s="69" t="s">
        <v>343</v>
      </c>
      <c r="D247" s="5" t="s">
        <v>51</v>
      </c>
      <c r="E247" s="19">
        <f>Хід1!F92*1000</f>
        <v>8172000</v>
      </c>
      <c r="F247" s="19">
        <f>Хід1!L92*1000</f>
        <v>8143800</v>
      </c>
      <c r="G247" s="21">
        <f t="shared" si="25"/>
        <v>99.654919236417044</v>
      </c>
      <c r="H247" s="103"/>
    </row>
    <row r="248" spans="1:8" ht="51" customHeight="1" x14ac:dyDescent="0.3">
      <c r="A248" s="120"/>
      <c r="B248" s="102" t="s">
        <v>9</v>
      </c>
      <c r="C248" s="69" t="s">
        <v>199</v>
      </c>
      <c r="D248" s="5" t="s">
        <v>50</v>
      </c>
      <c r="E248" s="5">
        <v>2</v>
      </c>
      <c r="F248" s="5">
        <v>3</v>
      </c>
      <c r="G248" s="21">
        <f t="shared" ref="G248:G251" si="26">F248/E248*100</f>
        <v>150</v>
      </c>
      <c r="H248" s="5"/>
    </row>
    <row r="249" spans="1:8" ht="36.75" customHeight="1" x14ac:dyDescent="0.3">
      <c r="A249" s="120"/>
      <c r="B249" s="103"/>
      <c r="C249" s="69" t="s">
        <v>344</v>
      </c>
      <c r="D249" s="5"/>
      <c r="E249" s="5">
        <v>2</v>
      </c>
      <c r="F249" s="5">
        <v>3</v>
      </c>
      <c r="G249" s="21">
        <f t="shared" si="26"/>
        <v>150</v>
      </c>
      <c r="H249" s="5"/>
    </row>
    <row r="250" spans="1:8" ht="66.75" customHeight="1" x14ac:dyDescent="0.3">
      <c r="A250" s="120"/>
      <c r="B250" s="119" t="s">
        <v>12</v>
      </c>
      <c r="C250" s="69" t="s">
        <v>200</v>
      </c>
      <c r="D250" s="5" t="s">
        <v>51</v>
      </c>
      <c r="E250" s="5">
        <f>E246/E248</f>
        <v>13580450</v>
      </c>
      <c r="F250" s="57">
        <f>F245/F248</f>
        <v>8152066.666666667</v>
      </c>
      <c r="G250" s="21">
        <f t="shared" si="26"/>
        <v>60.027956854645225</v>
      </c>
      <c r="H250" s="5"/>
    </row>
    <row r="251" spans="1:8" ht="32.25" customHeight="1" x14ac:dyDescent="0.3">
      <c r="A251" s="121"/>
      <c r="B251" s="121"/>
      <c r="C251" s="69" t="s">
        <v>345</v>
      </c>
      <c r="D251" s="5" t="s">
        <v>51</v>
      </c>
      <c r="E251" s="5">
        <f>E247/E249</f>
        <v>4086000</v>
      </c>
      <c r="F251" s="5">
        <f>F247/F249</f>
        <v>2714600</v>
      </c>
      <c r="G251" s="21">
        <f t="shared" si="26"/>
        <v>66.436612824278015</v>
      </c>
      <c r="H251" s="5"/>
    </row>
    <row r="252" spans="1:8" ht="64.5" customHeight="1" x14ac:dyDescent="0.3">
      <c r="A252" s="123" t="s">
        <v>379</v>
      </c>
      <c r="B252" s="5" t="s">
        <v>11</v>
      </c>
      <c r="C252" s="69" t="s">
        <v>203</v>
      </c>
      <c r="D252" s="5" t="s">
        <v>51</v>
      </c>
      <c r="E252" s="19">
        <f>Хід1!F93*1000</f>
        <v>107200</v>
      </c>
      <c r="F252" s="19">
        <f>Хід1!L93*1000</f>
        <v>107200</v>
      </c>
      <c r="G252" s="21">
        <f>F252/E252*100</f>
        <v>100</v>
      </c>
      <c r="H252" s="5"/>
    </row>
    <row r="253" spans="1:8" ht="21.75" customHeight="1" x14ac:dyDescent="0.3">
      <c r="A253" s="123"/>
      <c r="B253" s="5" t="s">
        <v>9</v>
      </c>
      <c r="C253" s="70" t="s">
        <v>202</v>
      </c>
      <c r="D253" s="5" t="s">
        <v>50</v>
      </c>
      <c r="E253" s="5">
        <v>1</v>
      </c>
      <c r="F253" s="5">
        <v>1</v>
      </c>
      <c r="G253" s="21">
        <f t="shared" ref="G253:G254" si="27">F253/E253*100</f>
        <v>100</v>
      </c>
      <c r="H253" s="5"/>
    </row>
    <row r="254" spans="1:8" ht="33" customHeight="1" x14ac:dyDescent="0.3">
      <c r="A254" s="123"/>
      <c r="B254" s="5" t="s">
        <v>12</v>
      </c>
      <c r="C254" s="70" t="s">
        <v>201</v>
      </c>
      <c r="D254" s="5" t="s">
        <v>51</v>
      </c>
      <c r="E254" s="5">
        <f>E252/E253</f>
        <v>107200</v>
      </c>
      <c r="F254" s="5">
        <f>F252/F253</f>
        <v>107200</v>
      </c>
      <c r="G254" s="21">
        <f t="shared" si="27"/>
        <v>100</v>
      </c>
      <c r="H254" s="5"/>
    </row>
    <row r="255" spans="1:8" ht="47.25" customHeight="1" x14ac:dyDescent="0.3">
      <c r="A255" s="118" t="s">
        <v>374</v>
      </c>
      <c r="B255" s="5" t="s">
        <v>11</v>
      </c>
      <c r="C255" s="69" t="s">
        <v>204</v>
      </c>
      <c r="D255" s="5" t="s">
        <v>51</v>
      </c>
      <c r="E255" s="19">
        <f>Хід1!F94*1000</f>
        <v>1194900</v>
      </c>
      <c r="F255" s="19">
        <f>Хід1!L94*1000</f>
        <v>990900.00000000012</v>
      </c>
      <c r="G255" s="21">
        <f>F255/E255*100</f>
        <v>82.927441626914401</v>
      </c>
      <c r="H255" s="5" t="s">
        <v>400</v>
      </c>
    </row>
    <row r="256" spans="1:8" ht="33" customHeight="1" x14ac:dyDescent="0.3">
      <c r="A256" s="118"/>
      <c r="B256" s="5" t="s">
        <v>9</v>
      </c>
      <c r="C256" s="70" t="s">
        <v>205</v>
      </c>
      <c r="D256" s="5" t="s">
        <v>50</v>
      </c>
      <c r="E256" s="5">
        <v>1</v>
      </c>
      <c r="F256" s="5">
        <v>1</v>
      </c>
      <c r="G256" s="21">
        <f t="shared" ref="G256:G258" si="28">F256/E256*100</f>
        <v>100</v>
      </c>
      <c r="H256" s="5"/>
    </row>
    <row r="257" spans="1:8" ht="51" customHeight="1" x14ac:dyDescent="0.3">
      <c r="A257" s="118"/>
      <c r="B257" s="5" t="s">
        <v>12</v>
      </c>
      <c r="C257" s="70" t="s">
        <v>207</v>
      </c>
      <c r="D257" s="5" t="s">
        <v>51</v>
      </c>
      <c r="E257" s="5">
        <f>E255/E256</f>
        <v>1194900</v>
      </c>
      <c r="F257" s="5">
        <f>F255/F256</f>
        <v>990900.00000000012</v>
      </c>
      <c r="G257" s="21">
        <f t="shared" si="28"/>
        <v>82.927441626914401</v>
      </c>
      <c r="H257" s="5" t="s">
        <v>400</v>
      </c>
    </row>
    <row r="258" spans="1:8" ht="33" customHeight="1" x14ac:dyDescent="0.3">
      <c r="A258" s="118"/>
      <c r="B258" s="5" t="s">
        <v>10</v>
      </c>
      <c r="C258" s="70" t="s">
        <v>206</v>
      </c>
      <c r="D258" s="5" t="s">
        <v>55</v>
      </c>
      <c r="E258" s="5">
        <v>100</v>
      </c>
      <c r="F258" s="5">
        <v>100</v>
      </c>
      <c r="G258" s="21">
        <f t="shared" si="28"/>
        <v>100</v>
      </c>
      <c r="H258" s="5"/>
    </row>
    <row r="259" spans="1:8" ht="47.25" hidden="1" customHeight="1" x14ac:dyDescent="0.3">
      <c r="A259" s="118" t="s">
        <v>208</v>
      </c>
      <c r="B259" s="5" t="s">
        <v>11</v>
      </c>
      <c r="C259" s="70" t="s">
        <v>210</v>
      </c>
      <c r="D259" s="11" t="s">
        <v>51</v>
      </c>
      <c r="E259" s="5"/>
      <c r="F259" s="5"/>
      <c r="G259" s="18"/>
      <c r="H259" s="11"/>
    </row>
    <row r="260" spans="1:8" ht="47.25" hidden="1" customHeight="1" x14ac:dyDescent="0.3">
      <c r="A260" s="118"/>
      <c r="B260" s="5" t="s">
        <v>9</v>
      </c>
      <c r="C260" s="94" t="s">
        <v>52</v>
      </c>
      <c r="D260" s="11" t="s">
        <v>50</v>
      </c>
      <c r="E260" s="5"/>
      <c r="F260" s="5"/>
      <c r="G260" s="18"/>
      <c r="H260" s="11"/>
    </row>
    <row r="261" spans="1:8" ht="47.25" hidden="1" customHeight="1" x14ac:dyDescent="0.3">
      <c r="A261" s="118"/>
      <c r="B261" s="5" t="s">
        <v>12</v>
      </c>
      <c r="C261" s="69" t="s">
        <v>209</v>
      </c>
      <c r="D261" s="11" t="s">
        <v>51</v>
      </c>
      <c r="E261" s="5"/>
      <c r="F261" s="5"/>
      <c r="G261" s="18"/>
      <c r="H261" s="11"/>
    </row>
    <row r="262" spans="1:8" ht="35.25" customHeight="1" x14ac:dyDescent="0.3">
      <c r="A262" s="118" t="s">
        <v>375</v>
      </c>
      <c r="B262" s="114" t="s">
        <v>11</v>
      </c>
      <c r="C262" s="94" t="s">
        <v>212</v>
      </c>
      <c r="D262" s="5" t="s">
        <v>51</v>
      </c>
      <c r="E262" s="19">
        <f>(Хід1!F96+Хід1!F97+Хід1!F98+Хід1!F99)*1000</f>
        <v>53592000</v>
      </c>
      <c r="F262" s="19">
        <f>(Хід1!L96+Хід1!L97+Хід1!L98+Хід1!L99)*1000</f>
        <v>49142899.999999993</v>
      </c>
      <c r="G262" s="21">
        <f>F262/E262*100</f>
        <v>91.698201224063283</v>
      </c>
      <c r="H262" s="5" t="s">
        <v>322</v>
      </c>
    </row>
    <row r="263" spans="1:8" ht="54" customHeight="1" x14ac:dyDescent="0.3">
      <c r="A263" s="118"/>
      <c r="B263" s="114"/>
      <c r="C263" s="70" t="s">
        <v>211</v>
      </c>
      <c r="D263" s="5" t="s">
        <v>51</v>
      </c>
      <c r="E263" s="5">
        <f>(Хід1!F96+Хід1!F97+Хід1!F99)*1000</f>
        <v>53392000</v>
      </c>
      <c r="F263" s="5">
        <f>(Хід1!L96+Хід1!L97+Хід1!L99)*1000</f>
        <v>48942899.999999993</v>
      </c>
      <c r="G263" s="21">
        <f t="shared" ref="G263:G268" si="29">F263/E263*100</f>
        <v>91.667103685945449</v>
      </c>
      <c r="H263" s="5" t="s">
        <v>322</v>
      </c>
    </row>
    <row r="264" spans="1:8" ht="31.5" customHeight="1" x14ac:dyDescent="0.3">
      <c r="A264" s="118"/>
      <c r="B264" s="114"/>
      <c r="C264" s="70" t="s">
        <v>213</v>
      </c>
      <c r="D264" s="5" t="s">
        <v>51</v>
      </c>
      <c r="E264" s="5">
        <f>Хід1!I98*1000</f>
        <v>200000</v>
      </c>
      <c r="F264" s="5">
        <f>Хід1!L98*1000</f>
        <v>200000</v>
      </c>
      <c r="G264" s="21">
        <f t="shared" si="29"/>
        <v>100</v>
      </c>
      <c r="H264" s="5"/>
    </row>
    <row r="265" spans="1:8" ht="53.25" customHeight="1" x14ac:dyDescent="0.3">
      <c r="A265" s="118"/>
      <c r="B265" s="114" t="s">
        <v>9</v>
      </c>
      <c r="C265" s="94" t="s">
        <v>214</v>
      </c>
      <c r="D265" s="5" t="s">
        <v>50</v>
      </c>
      <c r="E265" s="5">
        <v>6</v>
      </c>
      <c r="F265" s="5">
        <v>6</v>
      </c>
      <c r="G265" s="21">
        <f t="shared" si="29"/>
        <v>100</v>
      </c>
      <c r="H265" s="5"/>
    </row>
    <row r="266" spans="1:8" ht="33" customHeight="1" x14ac:dyDescent="0.3">
      <c r="A266" s="118"/>
      <c r="B266" s="114"/>
      <c r="C266" s="94" t="s">
        <v>239</v>
      </c>
      <c r="D266" s="5" t="s">
        <v>50</v>
      </c>
      <c r="E266" s="5">
        <v>1</v>
      </c>
      <c r="F266" s="5">
        <v>1</v>
      </c>
      <c r="G266" s="21">
        <f t="shared" si="29"/>
        <v>100</v>
      </c>
      <c r="H266" s="5"/>
    </row>
    <row r="267" spans="1:8" ht="36" customHeight="1" x14ac:dyDescent="0.3">
      <c r="A267" s="118"/>
      <c r="B267" s="114" t="s">
        <v>12</v>
      </c>
      <c r="C267" s="69" t="s">
        <v>215</v>
      </c>
      <c r="D267" s="5" t="s">
        <v>51</v>
      </c>
      <c r="E267" s="57">
        <f>E263/E265</f>
        <v>8898666.666666666</v>
      </c>
      <c r="F267" s="57">
        <f>F263/F265</f>
        <v>8157149.9999999991</v>
      </c>
      <c r="G267" s="21">
        <f t="shared" si="29"/>
        <v>91.667103685945463</v>
      </c>
      <c r="H267" s="5" t="s">
        <v>322</v>
      </c>
    </row>
    <row r="268" spans="1:8" ht="33.75" customHeight="1" x14ac:dyDescent="0.3">
      <c r="A268" s="118"/>
      <c r="B268" s="114"/>
      <c r="C268" s="69" t="s">
        <v>240</v>
      </c>
      <c r="D268" s="5" t="s">
        <v>51</v>
      </c>
      <c r="E268" s="5">
        <f>E264/E266</f>
        <v>200000</v>
      </c>
      <c r="F268" s="5">
        <f>F264/F266</f>
        <v>200000</v>
      </c>
      <c r="G268" s="21">
        <f t="shared" si="29"/>
        <v>100</v>
      </c>
      <c r="H268" s="5"/>
    </row>
    <row r="269" spans="1:8" ht="12.6" customHeight="1" x14ac:dyDescent="0.3"/>
    <row r="270" spans="1:8" ht="21.6" customHeight="1" x14ac:dyDescent="0.4">
      <c r="A270" s="42" t="s">
        <v>406</v>
      </c>
      <c r="F270" s="122" t="s">
        <v>407</v>
      </c>
      <c r="G270" s="122"/>
      <c r="H270" s="122"/>
    </row>
    <row r="271" spans="1:8" ht="15.75" customHeight="1" x14ac:dyDescent="0.35">
      <c r="A271" s="1"/>
    </row>
    <row r="272" spans="1:8" ht="23.25" customHeight="1" x14ac:dyDescent="0.35">
      <c r="A272" s="1" t="s">
        <v>408</v>
      </c>
    </row>
  </sheetData>
  <mergeCells count="120">
    <mergeCell ref="A134:A136"/>
    <mergeCell ref="A137:H137"/>
    <mergeCell ref="A82:A90"/>
    <mergeCell ref="B82:B84"/>
    <mergeCell ref="B85:B87"/>
    <mergeCell ref="A91:A98"/>
    <mergeCell ref="B91:B94"/>
    <mergeCell ref="B95:B96"/>
    <mergeCell ref="B97:B98"/>
    <mergeCell ref="A128:H128"/>
    <mergeCell ref="A110:A113"/>
    <mergeCell ref="B116:B117"/>
    <mergeCell ref="B88:B89"/>
    <mergeCell ref="A115:A118"/>
    <mergeCell ref="A119:A127"/>
    <mergeCell ref="A99:A109"/>
    <mergeCell ref="B99:B103"/>
    <mergeCell ref="B104:B106"/>
    <mergeCell ref="B107:B109"/>
    <mergeCell ref="B119:B124"/>
    <mergeCell ref="A129:A133"/>
    <mergeCell ref="B132:B133"/>
    <mergeCell ref="C15:C16"/>
    <mergeCell ref="D15:D16"/>
    <mergeCell ref="A18:A21"/>
    <mergeCell ref="A15:A16"/>
    <mergeCell ref="B15:B16"/>
    <mergeCell ref="B31:B32"/>
    <mergeCell ref="A28:A32"/>
    <mergeCell ref="A33:A36"/>
    <mergeCell ref="G1:H1"/>
    <mergeCell ref="A24:A25"/>
    <mergeCell ref="A26:D26"/>
    <mergeCell ref="A12:H12"/>
    <mergeCell ref="A13:H13"/>
    <mergeCell ref="E15:F15"/>
    <mergeCell ref="G15:G16"/>
    <mergeCell ref="H15:H16"/>
    <mergeCell ref="A27:H27"/>
    <mergeCell ref="F3:H3"/>
    <mergeCell ref="F4:H4"/>
    <mergeCell ref="B7:F7"/>
    <mergeCell ref="C8:E8"/>
    <mergeCell ref="A23:H23"/>
    <mergeCell ref="A37:A50"/>
    <mergeCell ref="B37:B41"/>
    <mergeCell ref="B42:B45"/>
    <mergeCell ref="B46:B49"/>
    <mergeCell ref="A76:A81"/>
    <mergeCell ref="B77:B78"/>
    <mergeCell ref="B79:B80"/>
    <mergeCell ref="A57:A60"/>
    <mergeCell ref="H57:H60"/>
    <mergeCell ref="A64:A67"/>
    <mergeCell ref="A68:A75"/>
    <mergeCell ref="B68:B70"/>
    <mergeCell ref="B71:B72"/>
    <mergeCell ref="B73:B74"/>
    <mergeCell ref="A51:H51"/>
    <mergeCell ref="H49:BJ49"/>
    <mergeCell ref="H48:BJ48"/>
    <mergeCell ref="H47:BJ47"/>
    <mergeCell ref="A52:A56"/>
    <mergeCell ref="B55:B56"/>
    <mergeCell ref="A61:A63"/>
    <mergeCell ref="F270:H270"/>
    <mergeCell ref="A231:D231"/>
    <mergeCell ref="H162:H165"/>
    <mergeCell ref="A157:D157"/>
    <mergeCell ref="A159:A161"/>
    <mergeCell ref="A162:A165"/>
    <mergeCell ref="A166:A176"/>
    <mergeCell ref="A262:A268"/>
    <mergeCell ref="B262:B264"/>
    <mergeCell ref="B265:B266"/>
    <mergeCell ref="B267:B268"/>
    <mergeCell ref="A252:A254"/>
    <mergeCell ref="A188:A191"/>
    <mergeCell ref="A192:A199"/>
    <mergeCell ref="B193:B195"/>
    <mergeCell ref="B196:B197"/>
    <mergeCell ref="H245:H247"/>
    <mergeCell ref="B170:B172"/>
    <mergeCell ref="B173:B175"/>
    <mergeCell ref="B239:B241"/>
    <mergeCell ref="B242:B244"/>
    <mergeCell ref="A236:A244"/>
    <mergeCell ref="B236:B238"/>
    <mergeCell ref="B198:B199"/>
    <mergeCell ref="A259:A261"/>
    <mergeCell ref="A158:H158"/>
    <mergeCell ref="A177:A183"/>
    <mergeCell ref="B177:B180"/>
    <mergeCell ref="A245:A251"/>
    <mergeCell ref="A255:A258"/>
    <mergeCell ref="B221:B223"/>
    <mergeCell ref="A233:A235"/>
    <mergeCell ref="B248:B249"/>
    <mergeCell ref="B250:B251"/>
    <mergeCell ref="B245:B247"/>
    <mergeCell ref="B166:B169"/>
    <mergeCell ref="A200:A204"/>
    <mergeCell ref="B201:B202"/>
    <mergeCell ref="A208:D208"/>
    <mergeCell ref="B138:B141"/>
    <mergeCell ref="B142:B143"/>
    <mergeCell ref="B144:B146"/>
    <mergeCell ref="A152:H152"/>
    <mergeCell ref="A153:A156"/>
    <mergeCell ref="A184:A187"/>
    <mergeCell ref="A232:H232"/>
    <mergeCell ref="A209:H209"/>
    <mergeCell ref="A205:H205"/>
    <mergeCell ref="A147:A151"/>
    <mergeCell ref="B150:B151"/>
    <mergeCell ref="A210:A223"/>
    <mergeCell ref="B210:B216"/>
    <mergeCell ref="B217:B220"/>
    <mergeCell ref="A224:A226"/>
    <mergeCell ref="A138:A146"/>
  </mergeCells>
  <pageMargins left="0.78740157480314965" right="0.78740157480314965" top="1.1811023622047245" bottom="0.39370078740157483" header="0.31496062992125984" footer="0.31496062992125984"/>
  <pageSetup paperSize="9" scale="69" orientation="landscape" r:id="rId1"/>
  <rowBreaks count="10" manualBreakCount="10">
    <brk id="29" max="7" man="1"/>
    <brk id="42" max="7" man="1"/>
    <brk id="55" max="7" man="1"/>
    <brk id="73" max="7" man="1"/>
    <brk id="94" max="7" man="1"/>
    <brk id="109" max="7" man="1"/>
    <brk id="119" max="7" man="1"/>
    <brk id="139" max="7" man="1"/>
    <brk id="232" max="7" man="1"/>
    <brk id="252"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Хід1</vt:lpstr>
      <vt:lpstr>Хід2</vt:lpstr>
      <vt:lpstr>Хід1!Заголовки_для_печати</vt:lpstr>
      <vt:lpstr>Хід2!Заголовки_для_печати</vt:lpstr>
      <vt:lpstr>Хід1!Область_печати</vt:lpstr>
      <vt:lpstr>Хід2!Область_печати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2025-06-11T06:14:54Z</dcterms:modified>
</cp:coreProperties>
</file>