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4\БЮДЖЕТ\РІШЕННЯ\Звіт\2024 рік\СМР\Доопрацьовано\"/>
    </mc:Choice>
  </mc:AlternateContent>
  <bookViews>
    <workbookView xWindow="0" yWindow="0" windowWidth="28800" windowHeight="11400" tabRatio="322"/>
  </bookViews>
  <sheets>
    <sheet name="дод 2" sheetId="1" r:id="rId1"/>
    <sheet name="дод 5" sheetId="3" r:id="rId2"/>
  </sheets>
  <definedNames>
    <definedName name="_xlnm.Print_Titles" localSheetId="0">'дод 2'!$13:$16</definedName>
    <definedName name="_xlnm.Print_Titles" localSheetId="1">'дод 5'!$15:$18</definedName>
    <definedName name="_xlnm.Print_Area" localSheetId="0">'дод 2'!$A$1:$AA$496</definedName>
    <definedName name="_xlnm.Print_Area" localSheetId="1">'дод 5'!$A$1:$Z$364</definedName>
  </definedNames>
  <calcPr calcId="162913"/>
</workbook>
</file>

<file path=xl/calcChain.xml><?xml version="1.0" encoding="utf-8"?>
<calcChain xmlns="http://schemas.openxmlformats.org/spreadsheetml/2006/main">
  <c r="AF348" i="3" l="1"/>
  <c r="AD348" i="3"/>
  <c r="AE334" i="3"/>
  <c r="AF334" i="3"/>
  <c r="AD334" i="3"/>
  <c r="AD332" i="3"/>
  <c r="AF332" i="3" s="1"/>
  <c r="AD319" i="3"/>
  <c r="AF319" i="3" s="1"/>
  <c r="AD324" i="3"/>
  <c r="AF324" i="3" s="1"/>
  <c r="X305" i="3"/>
  <c r="AD223" i="3"/>
  <c r="AF223" i="3" s="1"/>
  <c r="AD206" i="3"/>
  <c r="AF206" i="3" s="1"/>
  <c r="AD195" i="3"/>
  <c r="AF195" i="3" s="1"/>
  <c r="AD188" i="3"/>
  <c r="AF188" i="3" s="1"/>
  <c r="AD135" i="3"/>
  <c r="AF135" i="3" s="1"/>
  <c r="AD111" i="3"/>
  <c r="AF111" i="3" s="1"/>
  <c r="AF28" i="3"/>
  <c r="AF19" i="3"/>
  <c r="AD28" i="3"/>
  <c r="AD19" i="3"/>
  <c r="Z18" i="1" l="1"/>
  <c r="Z20" i="1"/>
  <c r="Z21" i="1"/>
  <c r="Z22" i="1"/>
  <c r="Z23" i="1"/>
  <c r="Z25" i="1"/>
  <c r="Z32" i="1"/>
  <c r="Z33" i="1"/>
  <c r="Z36" i="1"/>
  <c r="Z44" i="1"/>
  <c r="Z45" i="1"/>
  <c r="Z47" i="1"/>
  <c r="Z53" i="1"/>
  <c r="Z55" i="1"/>
  <c r="Z56" i="1"/>
  <c r="Z57" i="1"/>
  <c r="Z58" i="1"/>
  <c r="Z59" i="1"/>
  <c r="Z60" i="1"/>
  <c r="Z62" i="1"/>
  <c r="Z64" i="1"/>
  <c r="Z65" i="1"/>
  <c r="Z66" i="1"/>
  <c r="Z71" i="1"/>
  <c r="Z72" i="1"/>
  <c r="Z73" i="1"/>
  <c r="Z74" i="1"/>
  <c r="Z75" i="1"/>
  <c r="Z76" i="1"/>
  <c r="Z77" i="1"/>
  <c r="Z78" i="1"/>
  <c r="Z81" i="1"/>
  <c r="Z82" i="1"/>
  <c r="Z83" i="1"/>
  <c r="Z84" i="1"/>
  <c r="Z86" i="1"/>
  <c r="Z89" i="1"/>
  <c r="Z90" i="1"/>
  <c r="Z91" i="1"/>
  <c r="Z92" i="1"/>
  <c r="Z94" i="1"/>
  <c r="Z95" i="1"/>
  <c r="Z96" i="1"/>
  <c r="Z97" i="1"/>
  <c r="Z111" i="1"/>
  <c r="Z112" i="1"/>
  <c r="Z114" i="1"/>
  <c r="Z115" i="1"/>
  <c r="Z118" i="1"/>
  <c r="Z119" i="1"/>
  <c r="Z126" i="1"/>
  <c r="Z127" i="1"/>
  <c r="Z128" i="1"/>
  <c r="Z129" i="1"/>
  <c r="Z130" i="1"/>
  <c r="Z131" i="1"/>
  <c r="Z132" i="1"/>
  <c r="Z137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90" i="1"/>
  <c r="Z191" i="1"/>
  <c r="Z192" i="1"/>
  <c r="Z193" i="1"/>
  <c r="Z198" i="1"/>
  <c r="Z199" i="1"/>
  <c r="Z200" i="1"/>
  <c r="Z201" i="1"/>
  <c r="Z202" i="1"/>
  <c r="Z203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6" i="1"/>
  <c r="Z227" i="1"/>
  <c r="Z228" i="1"/>
  <c r="Z229" i="1"/>
  <c r="Z258" i="1"/>
  <c r="Z259" i="1"/>
  <c r="Z260" i="1"/>
  <c r="Z261" i="1"/>
  <c r="Z262" i="1"/>
  <c r="Z263" i="1"/>
  <c r="Z277" i="1"/>
  <c r="Z279" i="1"/>
  <c r="Z280" i="1"/>
  <c r="Z281" i="1"/>
  <c r="Z286" i="1"/>
  <c r="Z292" i="1"/>
  <c r="Z293" i="1"/>
  <c r="Z294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2" i="1"/>
  <c r="Z314" i="1"/>
  <c r="Z315" i="1"/>
  <c r="Z316" i="1"/>
  <c r="Z317" i="1"/>
  <c r="Z318" i="1"/>
  <c r="Z320" i="1"/>
  <c r="Z322" i="1"/>
  <c r="Z323" i="1"/>
  <c r="Z324" i="1"/>
  <c r="Z325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5" i="1"/>
  <c r="Z356" i="1"/>
  <c r="Z357" i="1"/>
  <c r="Z358" i="1"/>
  <c r="Z359" i="1"/>
  <c r="Z360" i="1"/>
  <c r="Z361" i="1"/>
  <c r="Z362" i="1"/>
  <c r="Z363" i="1"/>
  <c r="Z364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32" i="1"/>
  <c r="Z433" i="1"/>
  <c r="Z434" i="1"/>
  <c r="Z435" i="1"/>
  <c r="Z436" i="1"/>
  <c r="Z437" i="1"/>
  <c r="Z438" i="1"/>
  <c r="Z439" i="1"/>
  <c r="Z450" i="1"/>
  <c r="Z451" i="1"/>
  <c r="Z455" i="1"/>
  <c r="Z456" i="1"/>
  <c r="Z457" i="1"/>
  <c r="Z458" i="1"/>
  <c r="Z459" i="1"/>
  <c r="Z461" i="1"/>
  <c r="Z462" i="1"/>
  <c r="Z463" i="1"/>
  <c r="Z471" i="1"/>
  <c r="Z472" i="1"/>
  <c r="Z473" i="1"/>
  <c r="Z480" i="1"/>
  <c r="Z482" i="1"/>
  <c r="Z484" i="1"/>
  <c r="Z485" i="1"/>
  <c r="Z486" i="1"/>
  <c r="Z487" i="1"/>
  <c r="Z488" i="1"/>
  <c r="Z489" i="1"/>
  <c r="AA32" i="1"/>
  <c r="AA19" i="1"/>
  <c r="AA18" i="1"/>
  <c r="AA17" i="1"/>
  <c r="Z17" i="1"/>
  <c r="M18" i="1"/>
  <c r="M19" i="1"/>
  <c r="M20" i="1"/>
  <c r="M24" i="1"/>
  <c r="M25" i="1"/>
  <c r="M26" i="1"/>
  <c r="M27" i="1"/>
  <c r="M28" i="1"/>
  <c r="M29" i="1"/>
  <c r="M30" i="1"/>
  <c r="M31" i="1"/>
  <c r="M32" i="1"/>
  <c r="M34" i="1"/>
  <c r="M35" i="1"/>
  <c r="M36" i="1"/>
  <c r="M37" i="1"/>
  <c r="M38" i="1"/>
  <c r="M39" i="1"/>
  <c r="M40" i="1"/>
  <c r="M41" i="1"/>
  <c r="M42" i="1"/>
  <c r="M43" i="1"/>
  <c r="M44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60" i="1"/>
  <c r="M61" i="1"/>
  <c r="M63" i="1"/>
  <c r="M66" i="1"/>
  <c r="M67" i="1"/>
  <c r="M68" i="1"/>
  <c r="M69" i="1"/>
  <c r="M70" i="1"/>
  <c r="M71" i="1"/>
  <c r="M72" i="1"/>
  <c r="M74" i="1"/>
  <c r="M75" i="1"/>
  <c r="M76" i="1"/>
  <c r="M77" i="1"/>
  <c r="M78" i="1"/>
  <c r="M79" i="1"/>
  <c r="M80" i="1"/>
  <c r="M81" i="1"/>
  <c r="M83" i="1"/>
  <c r="M84" i="1"/>
  <c r="M85" i="1"/>
  <c r="M87" i="1"/>
  <c r="M88" i="1"/>
  <c r="M89" i="1"/>
  <c r="M90" i="1"/>
  <c r="M93" i="1"/>
  <c r="M94" i="1"/>
  <c r="M95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6" i="1"/>
  <c r="M117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5" i="1"/>
  <c r="M146" i="1"/>
  <c r="M147" i="1"/>
  <c r="M148" i="1"/>
  <c r="M151" i="1"/>
  <c r="M152" i="1"/>
  <c r="M153" i="1"/>
  <c r="M154" i="1"/>
  <c r="M155" i="1"/>
  <c r="M156" i="1"/>
  <c r="M157" i="1"/>
  <c r="M158" i="1"/>
  <c r="M159" i="1"/>
  <c r="M160" i="1"/>
  <c r="M163" i="1"/>
  <c r="M164" i="1"/>
  <c r="M165" i="1"/>
  <c r="M166" i="1"/>
  <c r="M167" i="1"/>
  <c r="M168" i="1"/>
  <c r="M169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4" i="1"/>
  <c r="M215" i="1"/>
  <c r="M216" i="1"/>
  <c r="M217" i="1"/>
  <c r="M218" i="1"/>
  <c r="M220" i="1"/>
  <c r="M223" i="1"/>
  <c r="M224" i="1"/>
  <c r="M225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64" i="1"/>
  <c r="M265" i="1"/>
  <c r="M266" i="1"/>
  <c r="M267" i="1"/>
  <c r="M268" i="1"/>
  <c r="M269" i="1"/>
  <c r="M270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5" i="1"/>
  <c r="M296" i="1"/>
  <c r="M297" i="1"/>
  <c r="M298" i="1"/>
  <c r="M299" i="1"/>
  <c r="M300" i="1"/>
  <c r="M301" i="1"/>
  <c r="M302" i="1"/>
  <c r="M303" i="1"/>
  <c r="M304" i="1"/>
  <c r="M305" i="1"/>
  <c r="M307" i="1"/>
  <c r="M310" i="1"/>
  <c r="M311" i="1"/>
  <c r="M312" i="1"/>
  <c r="M314" i="1"/>
  <c r="M315" i="1"/>
  <c r="M316" i="1"/>
  <c r="M317" i="1"/>
  <c r="M319" i="1"/>
  <c r="M320" i="1"/>
  <c r="M321" i="1"/>
  <c r="M322" i="1"/>
  <c r="M323" i="1"/>
  <c r="M324" i="1"/>
  <c r="M325" i="1"/>
  <c r="M326" i="1"/>
  <c r="M327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2" i="1"/>
  <c r="M353" i="1"/>
  <c r="M354" i="1"/>
  <c r="M357" i="1"/>
  <c r="M361" i="1"/>
  <c r="M363" i="1"/>
  <c r="M364" i="1"/>
  <c r="M365" i="1"/>
  <c r="M366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8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60" i="1"/>
  <c r="M461" i="1"/>
  <c r="M462" i="1"/>
  <c r="M464" i="1"/>
  <c r="M465" i="1"/>
  <c r="M466" i="1"/>
  <c r="M467" i="1"/>
  <c r="M468" i="1"/>
  <c r="M469" i="1"/>
  <c r="M470" i="1"/>
  <c r="M474" i="1"/>
  <c r="M475" i="1"/>
  <c r="M476" i="1"/>
  <c r="M477" i="1"/>
  <c r="M478" i="1"/>
  <c r="M479" i="1"/>
  <c r="M480" i="1"/>
  <c r="M481" i="1"/>
  <c r="M482" i="1"/>
  <c r="M484" i="1"/>
  <c r="M485" i="1"/>
  <c r="M486" i="1"/>
  <c r="M487" i="1"/>
  <c r="M17" i="1"/>
  <c r="O485" i="1" l="1"/>
  <c r="P485" i="1"/>
  <c r="Q485" i="1"/>
  <c r="R485" i="1"/>
  <c r="S485" i="1"/>
  <c r="T485" i="1"/>
  <c r="U485" i="1"/>
  <c r="V485" i="1"/>
  <c r="W485" i="1"/>
  <c r="X485" i="1"/>
  <c r="Y485" i="1"/>
  <c r="N485" i="1"/>
  <c r="F485" i="1"/>
  <c r="G485" i="1"/>
  <c r="H485" i="1"/>
  <c r="I485" i="1"/>
  <c r="J485" i="1"/>
  <c r="K485" i="1"/>
  <c r="L485" i="1"/>
  <c r="E485" i="1"/>
  <c r="J480" i="1" l="1"/>
  <c r="K480" i="1"/>
  <c r="T211" i="1"/>
  <c r="T24" i="1" l="1"/>
  <c r="F500" i="1" l="1"/>
  <c r="G500" i="1"/>
  <c r="H500" i="1"/>
  <c r="I500" i="1"/>
  <c r="L500" i="1"/>
  <c r="N500" i="1"/>
  <c r="O500" i="1"/>
  <c r="P500" i="1"/>
  <c r="Q500" i="1"/>
  <c r="R500" i="1"/>
  <c r="S500" i="1"/>
  <c r="W500" i="1"/>
  <c r="X500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V502" i="1"/>
  <c r="W502" i="1"/>
  <c r="X502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U503" i="1"/>
  <c r="W503" i="1"/>
  <c r="X503" i="1"/>
  <c r="Y23" i="3"/>
  <c r="Z23" i="3"/>
  <c r="Z25" i="3"/>
  <c r="Y26" i="3"/>
  <c r="Z26" i="3"/>
  <c r="Y27" i="3"/>
  <c r="Z27" i="3"/>
  <c r="Y33" i="3"/>
  <c r="Y40" i="3"/>
  <c r="Z40" i="3"/>
  <c r="Y45" i="3"/>
  <c r="Z45" i="3"/>
  <c r="Y50" i="3"/>
  <c r="Z50" i="3"/>
  <c r="Y51" i="3"/>
  <c r="Z51" i="3"/>
  <c r="Y52" i="3"/>
  <c r="Z52" i="3"/>
  <c r="Y53" i="3"/>
  <c r="Z53" i="3"/>
  <c r="Y54" i="3"/>
  <c r="Z54" i="3"/>
  <c r="Z56" i="3"/>
  <c r="Z57" i="3"/>
  <c r="Z59" i="3"/>
  <c r="Z62" i="3"/>
  <c r="Z63" i="3"/>
  <c r="Y67" i="3"/>
  <c r="Z67" i="3"/>
  <c r="Y69" i="3"/>
  <c r="Z69" i="3"/>
  <c r="Y70" i="3"/>
  <c r="Z70" i="3"/>
  <c r="Z82" i="3"/>
  <c r="Z83" i="3"/>
  <c r="Y85" i="3"/>
  <c r="Z85" i="3"/>
  <c r="Y86" i="3"/>
  <c r="Z86" i="3"/>
  <c r="Y87" i="3"/>
  <c r="Z87" i="3"/>
  <c r="Y89" i="3"/>
  <c r="Z89" i="3"/>
  <c r="Y109" i="3"/>
  <c r="Z109" i="3"/>
  <c r="Y110" i="3"/>
  <c r="Y118" i="3"/>
  <c r="Z118" i="3"/>
  <c r="Z120" i="3"/>
  <c r="Z121" i="3"/>
  <c r="Y123" i="3"/>
  <c r="Z123" i="3"/>
  <c r="Y125" i="3"/>
  <c r="Z125" i="3"/>
  <c r="Y126" i="3"/>
  <c r="Z126" i="3"/>
  <c r="Y127" i="3"/>
  <c r="Z127" i="3"/>
  <c r="Y128" i="3"/>
  <c r="Z128" i="3"/>
  <c r="Y137" i="3"/>
  <c r="Z137" i="3"/>
  <c r="Y141" i="3"/>
  <c r="Z141" i="3"/>
  <c r="Z145" i="3"/>
  <c r="Z146" i="3"/>
  <c r="Z147" i="3"/>
  <c r="Z150" i="3"/>
  <c r="Z157" i="3"/>
  <c r="Y159" i="3"/>
  <c r="Y160" i="3"/>
  <c r="Z160" i="3"/>
  <c r="Z163" i="3"/>
  <c r="Z166" i="3"/>
  <c r="Z169" i="3"/>
  <c r="Z170" i="3"/>
  <c r="Z171" i="3"/>
  <c r="Z172" i="3"/>
  <c r="Z174" i="3"/>
  <c r="Z175" i="3"/>
  <c r="Z187" i="3"/>
  <c r="Z193" i="3"/>
  <c r="Y196" i="3"/>
  <c r="Z196" i="3"/>
  <c r="Z198" i="3"/>
  <c r="Y202" i="3"/>
  <c r="Z202" i="3"/>
  <c r="Y208" i="3"/>
  <c r="Z208" i="3"/>
  <c r="Y212" i="3"/>
  <c r="Z212" i="3"/>
  <c r="Y218" i="3"/>
  <c r="Z218" i="3"/>
  <c r="Y219" i="3"/>
  <c r="Z219" i="3"/>
  <c r="Y220" i="3"/>
  <c r="Z220" i="3"/>
  <c r="Y224" i="3"/>
  <c r="Z224" i="3"/>
  <c r="Y225" i="3"/>
  <c r="Z225" i="3"/>
  <c r="Y226" i="3"/>
  <c r="Z226" i="3"/>
  <c r="Y227" i="3"/>
  <c r="Z227" i="3"/>
  <c r="Z230" i="3"/>
  <c r="Y231" i="3"/>
  <c r="Z231" i="3"/>
  <c r="Y237" i="3"/>
  <c r="Z237" i="3"/>
  <c r="Y238" i="3"/>
  <c r="Z238" i="3"/>
  <c r="Y241" i="3"/>
  <c r="Z241" i="3"/>
  <c r="Y243" i="3"/>
  <c r="Z243" i="3"/>
  <c r="Y246" i="3"/>
  <c r="Z246" i="3"/>
  <c r="Y248" i="3"/>
  <c r="Z248" i="3"/>
  <c r="Y249" i="3"/>
  <c r="Z249" i="3"/>
  <c r="Y250" i="3"/>
  <c r="Z250" i="3"/>
  <c r="Y255" i="3"/>
  <c r="Z255" i="3"/>
  <c r="Y257" i="3"/>
  <c r="Z257" i="3"/>
  <c r="Y258" i="3"/>
  <c r="Z258" i="3"/>
  <c r="Y259" i="3"/>
  <c r="Z259" i="3"/>
  <c r="Y260" i="3"/>
  <c r="Z260" i="3"/>
  <c r="Y261" i="3"/>
  <c r="Z261" i="3"/>
  <c r="Y262" i="3"/>
  <c r="Z262" i="3"/>
  <c r="Y264" i="3"/>
  <c r="Z264" i="3"/>
  <c r="Y265" i="3"/>
  <c r="Z265" i="3"/>
  <c r="Y266" i="3"/>
  <c r="Z266" i="3"/>
  <c r="Z270" i="3"/>
  <c r="Z271" i="3"/>
  <c r="Z272" i="3"/>
  <c r="Y274" i="3"/>
  <c r="Z274" i="3"/>
  <c r="Y276" i="3"/>
  <c r="Z276" i="3"/>
  <c r="Y277" i="3"/>
  <c r="Z277" i="3"/>
  <c r="Y278" i="3"/>
  <c r="Z278" i="3"/>
  <c r="Y279" i="3"/>
  <c r="Z279" i="3"/>
  <c r="Y280" i="3"/>
  <c r="Z280" i="3"/>
  <c r="Y281" i="3"/>
  <c r="Z281" i="3"/>
  <c r="Y286" i="3"/>
  <c r="Z286" i="3"/>
  <c r="Y288" i="3"/>
  <c r="Z288" i="3"/>
  <c r="Y291" i="3"/>
  <c r="Z291" i="3"/>
  <c r="Y293" i="3"/>
  <c r="Z293" i="3"/>
  <c r="Y298" i="3"/>
  <c r="Z298" i="3"/>
  <c r="Z302" i="3"/>
  <c r="Y306" i="3"/>
  <c r="Z306" i="3"/>
  <c r="Y320" i="3"/>
  <c r="Z320" i="3"/>
  <c r="Y323" i="3"/>
  <c r="Z323" i="3"/>
  <c r="Y325" i="3"/>
  <c r="Z325" i="3"/>
  <c r="Y328" i="3"/>
  <c r="Z328" i="3"/>
  <c r="Y329" i="3"/>
  <c r="Z329" i="3"/>
  <c r="Y330" i="3"/>
  <c r="Z330" i="3"/>
  <c r="Y331" i="3"/>
  <c r="Z331" i="3"/>
  <c r="Z333" i="3"/>
  <c r="Z334" i="3"/>
  <c r="Y336" i="3"/>
  <c r="Z336" i="3"/>
  <c r="Y337" i="3"/>
  <c r="Z337" i="3"/>
  <c r="Y338" i="3"/>
  <c r="Z338" i="3"/>
  <c r="Y339" i="3"/>
  <c r="Z339" i="3"/>
  <c r="Y340" i="3"/>
  <c r="Z340" i="3"/>
  <c r="Y341" i="3"/>
  <c r="Z341" i="3"/>
  <c r="Y342" i="3"/>
  <c r="Z342" i="3"/>
  <c r="Y344" i="3"/>
  <c r="Z344" i="3"/>
  <c r="Y345" i="3"/>
  <c r="Z345" i="3"/>
  <c r="L23" i="3"/>
  <c r="L26" i="3"/>
  <c r="L27" i="3"/>
  <c r="L33" i="3"/>
  <c r="L40" i="3"/>
  <c r="L45" i="3"/>
  <c r="L47" i="3"/>
  <c r="L49" i="3"/>
  <c r="L50" i="3"/>
  <c r="L51" i="3"/>
  <c r="L52" i="3"/>
  <c r="L53" i="3"/>
  <c r="L54" i="3"/>
  <c r="L57" i="3"/>
  <c r="L67" i="3"/>
  <c r="L69" i="3"/>
  <c r="L70" i="3"/>
  <c r="L76" i="3"/>
  <c r="L85" i="3"/>
  <c r="L86" i="3"/>
  <c r="L87" i="3"/>
  <c r="L89" i="3"/>
  <c r="L91" i="3"/>
  <c r="L106" i="3"/>
  <c r="L110" i="3"/>
  <c r="L114" i="3"/>
  <c r="L118" i="3"/>
  <c r="L120" i="3"/>
  <c r="L121" i="3"/>
  <c r="L123" i="3"/>
  <c r="L125" i="3"/>
  <c r="L126" i="3"/>
  <c r="L127" i="3"/>
  <c r="L128" i="3"/>
  <c r="L136" i="3"/>
  <c r="L137" i="3"/>
  <c r="L145" i="3"/>
  <c r="L146" i="3"/>
  <c r="L147" i="3"/>
  <c r="L150" i="3"/>
  <c r="L152" i="3"/>
  <c r="L155" i="3"/>
  <c r="L157" i="3"/>
  <c r="L159" i="3"/>
  <c r="L162" i="3"/>
  <c r="L163" i="3"/>
  <c r="L164" i="3"/>
  <c r="L169" i="3"/>
  <c r="L170" i="3"/>
  <c r="L171" i="3"/>
  <c r="L172" i="3"/>
  <c r="L174" i="3"/>
  <c r="L175" i="3"/>
  <c r="L176" i="3"/>
  <c r="L186" i="3"/>
  <c r="L187" i="3"/>
  <c r="L189" i="3"/>
  <c r="L191" i="3"/>
  <c r="L192" i="3"/>
  <c r="L193" i="3"/>
  <c r="L196" i="3"/>
  <c r="L198" i="3"/>
  <c r="L202" i="3"/>
  <c r="L208" i="3"/>
  <c r="L211" i="3"/>
  <c r="L212" i="3"/>
  <c r="L215" i="3"/>
  <c r="L216" i="3"/>
  <c r="L217" i="3"/>
  <c r="L218" i="3"/>
  <c r="L219" i="3"/>
  <c r="L220" i="3"/>
  <c r="L224" i="3"/>
  <c r="L225" i="3"/>
  <c r="L226" i="3"/>
  <c r="L227" i="3"/>
  <c r="L235" i="3"/>
  <c r="L237" i="3"/>
  <c r="L238" i="3"/>
  <c r="L257" i="3"/>
  <c r="L258" i="3"/>
  <c r="L259" i="3"/>
  <c r="L260" i="3"/>
  <c r="L261" i="3"/>
  <c r="L262" i="3"/>
  <c r="L264" i="3"/>
  <c r="L265" i="3"/>
  <c r="L266" i="3"/>
  <c r="L270" i="3"/>
  <c r="L271" i="3"/>
  <c r="L272" i="3"/>
  <c r="L274" i="3"/>
  <c r="L276" i="3"/>
  <c r="L277" i="3"/>
  <c r="L278" i="3"/>
  <c r="L279" i="3"/>
  <c r="L280" i="3"/>
  <c r="L281" i="3"/>
  <c r="L283" i="3"/>
  <c r="L288" i="3"/>
  <c r="L293" i="3"/>
  <c r="L298" i="3"/>
  <c r="L311" i="3"/>
  <c r="L320" i="3"/>
  <c r="L323" i="3"/>
  <c r="L325" i="3"/>
  <c r="L333" i="3"/>
  <c r="L334" i="3"/>
  <c r="L336" i="3"/>
  <c r="L337" i="3"/>
  <c r="L338" i="3"/>
  <c r="L339" i="3"/>
  <c r="L340" i="3"/>
  <c r="L341" i="3"/>
  <c r="L342" i="3"/>
  <c r="L344" i="3"/>
  <c r="L345" i="3"/>
  <c r="L347" i="3"/>
  <c r="E21" i="3"/>
  <c r="F21" i="3"/>
  <c r="G21" i="3"/>
  <c r="H21" i="3"/>
  <c r="I21" i="3"/>
  <c r="J21" i="3"/>
  <c r="K21" i="3"/>
  <c r="M21" i="3"/>
  <c r="N21" i="3"/>
  <c r="O21" i="3"/>
  <c r="P21" i="3"/>
  <c r="Q21" i="3"/>
  <c r="R21" i="3"/>
  <c r="T21" i="3"/>
  <c r="U21" i="3"/>
  <c r="V21" i="3"/>
  <c r="W21" i="3"/>
  <c r="X21" i="3"/>
  <c r="E22" i="3"/>
  <c r="E20" i="3" s="1"/>
  <c r="F22" i="3"/>
  <c r="F20" i="3" s="1"/>
  <c r="G22" i="3"/>
  <c r="G20" i="3" s="1"/>
  <c r="H22" i="3"/>
  <c r="H20" i="3" s="1"/>
  <c r="I22" i="3"/>
  <c r="J22" i="3"/>
  <c r="J20" i="3" s="1"/>
  <c r="K22" i="3"/>
  <c r="K20" i="3" s="1"/>
  <c r="N22" i="3"/>
  <c r="N20" i="3" s="1"/>
  <c r="O22" i="3"/>
  <c r="O20" i="3" s="1"/>
  <c r="P22" i="3"/>
  <c r="Q22" i="3"/>
  <c r="Q20" i="3" s="1"/>
  <c r="R22" i="3"/>
  <c r="R20" i="3" s="1"/>
  <c r="T22" i="3"/>
  <c r="T20" i="3" s="1"/>
  <c r="U22" i="3"/>
  <c r="U20" i="3" s="1"/>
  <c r="V22" i="3"/>
  <c r="V20" i="3" s="1"/>
  <c r="W22" i="3"/>
  <c r="W20" i="3" s="1"/>
  <c r="X22" i="3"/>
  <c r="X20" i="3" s="1"/>
  <c r="E23" i="3"/>
  <c r="F23" i="3"/>
  <c r="G23" i="3"/>
  <c r="H23" i="3"/>
  <c r="I23" i="3"/>
  <c r="J23" i="3"/>
  <c r="K23" i="3"/>
  <c r="M23" i="3"/>
  <c r="N23" i="3"/>
  <c r="O23" i="3"/>
  <c r="P23" i="3"/>
  <c r="Q23" i="3"/>
  <c r="R23" i="3"/>
  <c r="S23" i="3"/>
  <c r="T23" i="3"/>
  <c r="U23" i="3"/>
  <c r="V23" i="3"/>
  <c r="W23" i="3"/>
  <c r="X23" i="3"/>
  <c r="E24" i="3"/>
  <c r="F24" i="3"/>
  <c r="G24" i="3"/>
  <c r="H24" i="3"/>
  <c r="I24" i="3"/>
  <c r="J24" i="3"/>
  <c r="K24" i="3"/>
  <c r="N24" i="3"/>
  <c r="O24" i="3"/>
  <c r="P24" i="3"/>
  <c r="P19" i="3" s="1"/>
  <c r="Q24" i="3"/>
  <c r="R24" i="3"/>
  <c r="T24" i="3"/>
  <c r="U24" i="3"/>
  <c r="V24" i="3"/>
  <c r="W24" i="3"/>
  <c r="X24" i="3"/>
  <c r="E25" i="3"/>
  <c r="F25" i="3"/>
  <c r="G25" i="3"/>
  <c r="H25" i="3"/>
  <c r="I25" i="3"/>
  <c r="L25" i="3" s="1"/>
  <c r="J25" i="3"/>
  <c r="K25" i="3"/>
  <c r="M25" i="3"/>
  <c r="N25" i="3"/>
  <c r="O25" i="3"/>
  <c r="P25" i="3"/>
  <c r="Q25" i="3"/>
  <c r="R25" i="3"/>
  <c r="S25" i="3"/>
  <c r="T25" i="3"/>
  <c r="U25" i="3"/>
  <c r="V25" i="3"/>
  <c r="W25" i="3"/>
  <c r="X25" i="3"/>
  <c r="E26" i="3"/>
  <c r="F26" i="3"/>
  <c r="G26" i="3"/>
  <c r="H26" i="3"/>
  <c r="I26" i="3"/>
  <c r="J26" i="3"/>
  <c r="J19" i="3" s="1"/>
  <c r="K26" i="3"/>
  <c r="M26" i="3"/>
  <c r="N26" i="3"/>
  <c r="O26" i="3"/>
  <c r="P26" i="3"/>
  <c r="Q26" i="3"/>
  <c r="R26" i="3"/>
  <c r="S26" i="3"/>
  <c r="T26" i="3"/>
  <c r="U26" i="3"/>
  <c r="V26" i="3"/>
  <c r="V19" i="3" s="1"/>
  <c r="W26" i="3"/>
  <c r="X26" i="3"/>
  <c r="E27" i="3"/>
  <c r="F27" i="3"/>
  <c r="G27" i="3"/>
  <c r="H27" i="3"/>
  <c r="I27" i="3"/>
  <c r="J27" i="3"/>
  <c r="K27" i="3"/>
  <c r="M27" i="3"/>
  <c r="N27" i="3"/>
  <c r="O27" i="3"/>
  <c r="P27" i="3"/>
  <c r="Q27" i="3"/>
  <c r="R27" i="3"/>
  <c r="S27" i="3"/>
  <c r="T27" i="3"/>
  <c r="U27" i="3"/>
  <c r="V27" i="3"/>
  <c r="W27" i="3"/>
  <c r="X27" i="3"/>
  <c r="F30" i="3"/>
  <c r="G30" i="3"/>
  <c r="N30" i="3"/>
  <c r="O30" i="3"/>
  <c r="R30" i="3"/>
  <c r="S30" i="3"/>
  <c r="F32" i="3"/>
  <c r="K32" i="3"/>
  <c r="R32" i="3"/>
  <c r="W32" i="3"/>
  <c r="H33" i="3"/>
  <c r="M33" i="3"/>
  <c r="T33" i="3"/>
  <c r="X33" i="3"/>
  <c r="E35" i="3"/>
  <c r="P35" i="3"/>
  <c r="Q35" i="3"/>
  <c r="X35" i="3"/>
  <c r="H37" i="3"/>
  <c r="P37" i="3"/>
  <c r="T37" i="3"/>
  <c r="U37" i="3"/>
  <c r="F38" i="3"/>
  <c r="J38" i="3"/>
  <c r="K38" i="3"/>
  <c r="R38" i="3"/>
  <c r="V38" i="3"/>
  <c r="W38" i="3"/>
  <c r="H39" i="3"/>
  <c r="M39" i="3"/>
  <c r="T39" i="3"/>
  <c r="X39" i="3"/>
  <c r="J40" i="3"/>
  <c r="N40" i="3"/>
  <c r="O40" i="3"/>
  <c r="V40" i="3"/>
  <c r="E41" i="3"/>
  <c r="P41" i="3"/>
  <c r="Q41" i="3"/>
  <c r="F42" i="3"/>
  <c r="G42" i="3"/>
  <c r="H42" i="3"/>
  <c r="N42" i="3"/>
  <c r="O42" i="3"/>
  <c r="R42" i="3"/>
  <c r="T42" i="3"/>
  <c r="E44" i="3"/>
  <c r="E28" i="3" s="1"/>
  <c r="F44" i="3"/>
  <c r="G44" i="3"/>
  <c r="G28" i="3" s="1"/>
  <c r="H44" i="3"/>
  <c r="I44" i="3"/>
  <c r="J44" i="3"/>
  <c r="K44" i="3"/>
  <c r="M44" i="3"/>
  <c r="M28" i="3" s="1"/>
  <c r="N44" i="3"/>
  <c r="O44" i="3"/>
  <c r="P44" i="3"/>
  <c r="Q44" i="3"/>
  <c r="Q28" i="3" s="1"/>
  <c r="R44" i="3"/>
  <c r="T44" i="3"/>
  <c r="U44" i="3"/>
  <c r="V44" i="3"/>
  <c r="W44" i="3"/>
  <c r="X44" i="3"/>
  <c r="E46" i="3"/>
  <c r="F46" i="3"/>
  <c r="G46" i="3"/>
  <c r="H46" i="3"/>
  <c r="I46" i="3"/>
  <c r="L46" i="3" s="1"/>
  <c r="J46" i="3"/>
  <c r="K46" i="3"/>
  <c r="M46" i="3"/>
  <c r="N46" i="3"/>
  <c r="O46" i="3"/>
  <c r="P46" i="3"/>
  <c r="Q46" i="3"/>
  <c r="R46" i="3"/>
  <c r="T46" i="3"/>
  <c r="U46" i="3"/>
  <c r="V46" i="3"/>
  <c r="W46" i="3"/>
  <c r="X46" i="3"/>
  <c r="E47" i="3"/>
  <c r="F47" i="3"/>
  <c r="G47" i="3"/>
  <c r="H47" i="3"/>
  <c r="I47" i="3"/>
  <c r="J47" i="3"/>
  <c r="J34" i="3" s="1"/>
  <c r="K47" i="3"/>
  <c r="K34" i="3" s="1"/>
  <c r="M47" i="3"/>
  <c r="N47" i="3"/>
  <c r="N34" i="3" s="1"/>
  <c r="O47" i="3"/>
  <c r="O34" i="3" s="1"/>
  <c r="P47" i="3"/>
  <c r="Q47" i="3"/>
  <c r="R47" i="3"/>
  <c r="T47" i="3"/>
  <c r="U47" i="3"/>
  <c r="V47" i="3"/>
  <c r="V34" i="3" s="1"/>
  <c r="W47" i="3"/>
  <c r="W34" i="3" s="1"/>
  <c r="X47" i="3"/>
  <c r="E48" i="3"/>
  <c r="E42" i="3" s="1"/>
  <c r="F48" i="3"/>
  <c r="G48" i="3"/>
  <c r="H48" i="3"/>
  <c r="I48" i="3"/>
  <c r="I42" i="3" s="1"/>
  <c r="J48" i="3"/>
  <c r="J42" i="3" s="1"/>
  <c r="K48" i="3"/>
  <c r="K42" i="3" s="1"/>
  <c r="M48" i="3"/>
  <c r="M42" i="3" s="1"/>
  <c r="N48" i="3"/>
  <c r="O48" i="3"/>
  <c r="P48" i="3"/>
  <c r="P42" i="3" s="1"/>
  <c r="Q48" i="3"/>
  <c r="Q42" i="3" s="1"/>
  <c r="R48" i="3"/>
  <c r="T48" i="3"/>
  <c r="U48" i="3"/>
  <c r="U42" i="3" s="1"/>
  <c r="V48" i="3"/>
  <c r="V42" i="3" s="1"/>
  <c r="W48" i="3"/>
  <c r="W42" i="3" s="1"/>
  <c r="X48" i="3"/>
  <c r="X42" i="3" s="1"/>
  <c r="E49" i="3"/>
  <c r="F49" i="3"/>
  <c r="G49" i="3"/>
  <c r="H49" i="3"/>
  <c r="I49" i="3"/>
  <c r="J49" i="3"/>
  <c r="K49" i="3"/>
  <c r="M49" i="3"/>
  <c r="N49" i="3"/>
  <c r="O49" i="3"/>
  <c r="P49" i="3"/>
  <c r="Q49" i="3"/>
  <c r="R49" i="3"/>
  <c r="S49" i="3"/>
  <c r="Z49" i="3" s="1"/>
  <c r="T49" i="3"/>
  <c r="U49" i="3"/>
  <c r="V49" i="3"/>
  <c r="W49" i="3"/>
  <c r="X49" i="3"/>
  <c r="E55" i="3"/>
  <c r="F55" i="3"/>
  <c r="G55" i="3"/>
  <c r="H55" i="3"/>
  <c r="I55" i="3"/>
  <c r="L55" i="3" s="1"/>
  <c r="J55" i="3"/>
  <c r="K55" i="3"/>
  <c r="M55" i="3"/>
  <c r="N55" i="3"/>
  <c r="O55" i="3"/>
  <c r="P55" i="3"/>
  <c r="Q55" i="3"/>
  <c r="R55" i="3"/>
  <c r="T55" i="3"/>
  <c r="U55" i="3"/>
  <c r="V55" i="3"/>
  <c r="W55" i="3"/>
  <c r="X55" i="3"/>
  <c r="E56" i="3"/>
  <c r="F56" i="3"/>
  <c r="G56" i="3"/>
  <c r="H56" i="3"/>
  <c r="I56" i="3"/>
  <c r="L56" i="3" s="1"/>
  <c r="J56" i="3"/>
  <c r="K56" i="3"/>
  <c r="M56" i="3"/>
  <c r="N56" i="3"/>
  <c r="O56" i="3"/>
  <c r="P56" i="3"/>
  <c r="Q56" i="3"/>
  <c r="R56" i="3"/>
  <c r="S56" i="3"/>
  <c r="T56" i="3"/>
  <c r="U56" i="3"/>
  <c r="V56" i="3"/>
  <c r="W56" i="3"/>
  <c r="X56" i="3"/>
  <c r="E58" i="3"/>
  <c r="F58" i="3"/>
  <c r="G58" i="3"/>
  <c r="H58" i="3"/>
  <c r="I58" i="3"/>
  <c r="J58" i="3"/>
  <c r="K58" i="3"/>
  <c r="M58" i="3"/>
  <c r="N58" i="3"/>
  <c r="O58" i="3"/>
  <c r="P58" i="3"/>
  <c r="Q58" i="3"/>
  <c r="R58" i="3"/>
  <c r="T58" i="3"/>
  <c r="U58" i="3"/>
  <c r="V58" i="3"/>
  <c r="W58" i="3"/>
  <c r="X58" i="3"/>
  <c r="E59" i="3"/>
  <c r="F59" i="3"/>
  <c r="G59" i="3"/>
  <c r="H59" i="3"/>
  <c r="I59" i="3"/>
  <c r="L59" i="3" s="1"/>
  <c r="J59" i="3"/>
  <c r="K59" i="3"/>
  <c r="M59" i="3"/>
  <c r="N59" i="3"/>
  <c r="O59" i="3"/>
  <c r="O28" i="3" s="1"/>
  <c r="P59" i="3"/>
  <c r="Q59" i="3"/>
  <c r="R59" i="3"/>
  <c r="S59" i="3"/>
  <c r="T59" i="3"/>
  <c r="U59" i="3"/>
  <c r="V59" i="3"/>
  <c r="W59" i="3"/>
  <c r="X59" i="3"/>
  <c r="E60" i="3"/>
  <c r="E29" i="3" s="1"/>
  <c r="F60" i="3"/>
  <c r="G60" i="3"/>
  <c r="G29" i="3" s="1"/>
  <c r="H60" i="3"/>
  <c r="I60" i="3"/>
  <c r="J60" i="3"/>
  <c r="K60" i="3"/>
  <c r="K29" i="3" s="1"/>
  <c r="M60" i="3"/>
  <c r="M29" i="3" s="1"/>
  <c r="N60" i="3"/>
  <c r="N29" i="3" s="1"/>
  <c r="O60" i="3"/>
  <c r="O29" i="3" s="1"/>
  <c r="P60" i="3"/>
  <c r="P29" i="3" s="1"/>
  <c r="Q60" i="3"/>
  <c r="Q29" i="3" s="1"/>
  <c r="R60" i="3"/>
  <c r="S60" i="3"/>
  <c r="S29" i="3" s="1"/>
  <c r="T60" i="3"/>
  <c r="U60" i="3"/>
  <c r="U29" i="3" s="1"/>
  <c r="V60" i="3"/>
  <c r="W60" i="3"/>
  <c r="W29" i="3" s="1"/>
  <c r="X60" i="3"/>
  <c r="X29" i="3" s="1"/>
  <c r="E61" i="3"/>
  <c r="F61" i="3"/>
  <c r="F35" i="3" s="1"/>
  <c r="G61" i="3"/>
  <c r="G35" i="3" s="1"/>
  <c r="H61" i="3"/>
  <c r="H35" i="3" s="1"/>
  <c r="I61" i="3"/>
  <c r="J61" i="3"/>
  <c r="K61" i="3"/>
  <c r="K35" i="3" s="1"/>
  <c r="M61" i="3"/>
  <c r="N61" i="3"/>
  <c r="N35" i="3" s="1"/>
  <c r="O61" i="3"/>
  <c r="O35" i="3" s="1"/>
  <c r="P61" i="3"/>
  <c r="Q61" i="3"/>
  <c r="R61" i="3"/>
  <c r="R35" i="3" s="1"/>
  <c r="S61" i="3"/>
  <c r="S35" i="3" s="1"/>
  <c r="T61" i="3"/>
  <c r="T35" i="3" s="1"/>
  <c r="U61" i="3"/>
  <c r="U35" i="3" s="1"/>
  <c r="V61" i="3"/>
  <c r="W61" i="3"/>
  <c r="W35" i="3" s="1"/>
  <c r="X61" i="3"/>
  <c r="E62" i="3"/>
  <c r="F62" i="3"/>
  <c r="G62" i="3"/>
  <c r="H62" i="3"/>
  <c r="I62" i="3"/>
  <c r="L62" i="3" s="1"/>
  <c r="J62" i="3"/>
  <c r="K62" i="3"/>
  <c r="M62" i="3"/>
  <c r="N62" i="3"/>
  <c r="O62" i="3"/>
  <c r="P62" i="3"/>
  <c r="Q62" i="3"/>
  <c r="R62" i="3"/>
  <c r="S62" i="3"/>
  <c r="T62" i="3"/>
  <c r="U62" i="3"/>
  <c r="V62" i="3"/>
  <c r="W62" i="3"/>
  <c r="X62" i="3"/>
  <c r="E63" i="3"/>
  <c r="F63" i="3"/>
  <c r="G63" i="3"/>
  <c r="H63" i="3"/>
  <c r="I63" i="3"/>
  <c r="L63" i="3" s="1"/>
  <c r="J63" i="3"/>
  <c r="K63" i="3"/>
  <c r="M63" i="3"/>
  <c r="N63" i="3"/>
  <c r="O63" i="3"/>
  <c r="P63" i="3"/>
  <c r="Q63" i="3"/>
  <c r="R63" i="3"/>
  <c r="S63" i="3"/>
  <c r="T63" i="3"/>
  <c r="U63" i="3"/>
  <c r="V63" i="3"/>
  <c r="W63" i="3"/>
  <c r="X63" i="3"/>
  <c r="E64" i="3"/>
  <c r="F64" i="3"/>
  <c r="G64" i="3"/>
  <c r="H64" i="3"/>
  <c r="I64" i="3"/>
  <c r="Z64" i="3" s="1"/>
  <c r="J64" i="3"/>
  <c r="K64" i="3"/>
  <c r="M64" i="3"/>
  <c r="N64" i="3"/>
  <c r="O64" i="3"/>
  <c r="P64" i="3"/>
  <c r="Q64" i="3"/>
  <c r="R64" i="3"/>
  <c r="S64" i="3"/>
  <c r="T64" i="3"/>
  <c r="U64" i="3"/>
  <c r="V64" i="3"/>
  <c r="W64" i="3"/>
  <c r="X64" i="3"/>
  <c r="E65" i="3"/>
  <c r="F65" i="3"/>
  <c r="G65" i="3"/>
  <c r="H65" i="3"/>
  <c r="I65" i="3"/>
  <c r="Z65" i="3" s="1"/>
  <c r="J65" i="3"/>
  <c r="K65" i="3"/>
  <c r="M65" i="3"/>
  <c r="N65" i="3"/>
  <c r="O65" i="3"/>
  <c r="P65" i="3"/>
  <c r="Q65" i="3"/>
  <c r="R65" i="3"/>
  <c r="S65" i="3"/>
  <c r="T65" i="3"/>
  <c r="U65" i="3"/>
  <c r="V65" i="3"/>
  <c r="W65" i="3"/>
  <c r="X65" i="3"/>
  <c r="E66" i="3"/>
  <c r="F66" i="3"/>
  <c r="G66" i="3"/>
  <c r="H66" i="3"/>
  <c r="I66" i="3"/>
  <c r="Z66" i="3" s="1"/>
  <c r="J66" i="3"/>
  <c r="K66" i="3"/>
  <c r="M66" i="3"/>
  <c r="N66" i="3"/>
  <c r="O66" i="3"/>
  <c r="P66" i="3"/>
  <c r="Q66" i="3"/>
  <c r="R66" i="3"/>
  <c r="S66" i="3"/>
  <c r="T66" i="3"/>
  <c r="U66" i="3"/>
  <c r="V66" i="3"/>
  <c r="W66" i="3"/>
  <c r="X66" i="3"/>
  <c r="E67" i="3"/>
  <c r="E36" i="3" s="1"/>
  <c r="F67" i="3"/>
  <c r="F36" i="3" s="1"/>
  <c r="G67" i="3"/>
  <c r="G36" i="3" s="1"/>
  <c r="H67" i="3"/>
  <c r="H36" i="3" s="1"/>
  <c r="I67" i="3"/>
  <c r="I36" i="3" s="1"/>
  <c r="J67" i="3"/>
  <c r="J36" i="3" s="1"/>
  <c r="K67" i="3"/>
  <c r="K36" i="3" s="1"/>
  <c r="M67" i="3"/>
  <c r="M36" i="3" s="1"/>
  <c r="N67" i="3"/>
  <c r="N36" i="3" s="1"/>
  <c r="O67" i="3"/>
  <c r="O36" i="3" s="1"/>
  <c r="P67" i="3"/>
  <c r="P36" i="3" s="1"/>
  <c r="Q67" i="3"/>
  <c r="Q36" i="3" s="1"/>
  <c r="R67" i="3"/>
  <c r="R36" i="3" s="1"/>
  <c r="S67" i="3"/>
  <c r="T67" i="3"/>
  <c r="U67" i="3"/>
  <c r="V67" i="3"/>
  <c r="V36" i="3" s="1"/>
  <c r="W67" i="3"/>
  <c r="W36" i="3" s="1"/>
  <c r="X67" i="3"/>
  <c r="E68" i="3"/>
  <c r="E30" i="3" s="1"/>
  <c r="F68" i="3"/>
  <c r="G68" i="3"/>
  <c r="H68" i="3"/>
  <c r="H30" i="3" s="1"/>
  <c r="I68" i="3"/>
  <c r="I30" i="3" s="1"/>
  <c r="Z30" i="3" s="1"/>
  <c r="J68" i="3"/>
  <c r="J30" i="3" s="1"/>
  <c r="K68" i="3"/>
  <c r="K30" i="3" s="1"/>
  <c r="M68" i="3"/>
  <c r="M30" i="3" s="1"/>
  <c r="N68" i="3"/>
  <c r="O68" i="3"/>
  <c r="P68" i="3"/>
  <c r="P30" i="3" s="1"/>
  <c r="Q68" i="3"/>
  <c r="Q30" i="3" s="1"/>
  <c r="R68" i="3"/>
  <c r="S68" i="3"/>
  <c r="T68" i="3"/>
  <c r="T30" i="3" s="1"/>
  <c r="U68" i="3"/>
  <c r="U30" i="3" s="1"/>
  <c r="V68" i="3"/>
  <c r="V30" i="3" s="1"/>
  <c r="W68" i="3"/>
  <c r="W30" i="3" s="1"/>
  <c r="X68" i="3"/>
  <c r="X30" i="3" s="1"/>
  <c r="E69" i="3"/>
  <c r="F69" i="3"/>
  <c r="G69" i="3"/>
  <c r="H69" i="3"/>
  <c r="I69" i="3"/>
  <c r="J69" i="3"/>
  <c r="K69" i="3"/>
  <c r="M69" i="3"/>
  <c r="N69" i="3"/>
  <c r="O69" i="3"/>
  <c r="P69" i="3"/>
  <c r="Q69" i="3"/>
  <c r="R69" i="3"/>
  <c r="S69" i="3"/>
  <c r="T69" i="3"/>
  <c r="U69" i="3"/>
  <c r="V69" i="3"/>
  <c r="W69" i="3"/>
  <c r="X69" i="3"/>
  <c r="E70" i="3"/>
  <c r="F70" i="3"/>
  <c r="G70" i="3"/>
  <c r="H70" i="3"/>
  <c r="I70" i="3"/>
  <c r="J70" i="3"/>
  <c r="K70" i="3"/>
  <c r="M70" i="3"/>
  <c r="N70" i="3"/>
  <c r="O70" i="3"/>
  <c r="P70" i="3"/>
  <c r="Q70" i="3"/>
  <c r="R70" i="3"/>
  <c r="S70" i="3"/>
  <c r="T70" i="3"/>
  <c r="U70" i="3"/>
  <c r="V70" i="3"/>
  <c r="W70" i="3"/>
  <c r="X70" i="3"/>
  <c r="E71" i="3"/>
  <c r="F71" i="3"/>
  <c r="G71" i="3"/>
  <c r="H71" i="3"/>
  <c r="I71" i="3"/>
  <c r="L71" i="3" s="1"/>
  <c r="J71" i="3"/>
  <c r="K71" i="3"/>
  <c r="M71" i="3"/>
  <c r="N71" i="3"/>
  <c r="O71" i="3"/>
  <c r="P71" i="3"/>
  <c r="Q71" i="3"/>
  <c r="R71" i="3"/>
  <c r="T71" i="3"/>
  <c r="U71" i="3"/>
  <c r="V71" i="3"/>
  <c r="W71" i="3"/>
  <c r="X71" i="3"/>
  <c r="E72" i="3"/>
  <c r="F72" i="3"/>
  <c r="G72" i="3"/>
  <c r="H72" i="3"/>
  <c r="I72" i="3"/>
  <c r="L72" i="3" s="1"/>
  <c r="J72" i="3"/>
  <c r="K72" i="3"/>
  <c r="M72" i="3"/>
  <c r="N72" i="3"/>
  <c r="O72" i="3"/>
  <c r="P72" i="3"/>
  <c r="Q72" i="3"/>
  <c r="R72" i="3"/>
  <c r="T72" i="3"/>
  <c r="U72" i="3"/>
  <c r="V72" i="3"/>
  <c r="W72" i="3"/>
  <c r="X72" i="3"/>
  <c r="E73" i="3"/>
  <c r="F73" i="3"/>
  <c r="G73" i="3"/>
  <c r="H73" i="3"/>
  <c r="I73" i="3"/>
  <c r="L73" i="3" s="1"/>
  <c r="J73" i="3"/>
  <c r="K73" i="3"/>
  <c r="M73" i="3"/>
  <c r="N73" i="3"/>
  <c r="O73" i="3"/>
  <c r="P73" i="3"/>
  <c r="Q73" i="3"/>
  <c r="R73" i="3"/>
  <c r="T73" i="3"/>
  <c r="U73" i="3"/>
  <c r="V73" i="3"/>
  <c r="W73" i="3"/>
  <c r="X73" i="3"/>
  <c r="E74" i="3"/>
  <c r="E34" i="3" s="1"/>
  <c r="F74" i="3"/>
  <c r="G74" i="3"/>
  <c r="G34" i="3" s="1"/>
  <c r="H74" i="3"/>
  <c r="I74" i="3"/>
  <c r="I34" i="3" s="1"/>
  <c r="L34" i="3" s="1"/>
  <c r="J74" i="3"/>
  <c r="K74" i="3"/>
  <c r="M74" i="3"/>
  <c r="M34" i="3" s="1"/>
  <c r="N74" i="3"/>
  <c r="O74" i="3"/>
  <c r="P74" i="3"/>
  <c r="P34" i="3" s="1"/>
  <c r="Q74" i="3"/>
  <c r="Q34" i="3" s="1"/>
  <c r="R74" i="3"/>
  <c r="T74" i="3"/>
  <c r="U74" i="3"/>
  <c r="U34" i="3" s="1"/>
  <c r="V74" i="3"/>
  <c r="W74" i="3"/>
  <c r="X74" i="3"/>
  <c r="E75" i="3"/>
  <c r="F75" i="3"/>
  <c r="G75" i="3"/>
  <c r="H75" i="3"/>
  <c r="I75" i="3"/>
  <c r="Z75" i="3" s="1"/>
  <c r="J75" i="3"/>
  <c r="K75" i="3"/>
  <c r="M75" i="3"/>
  <c r="N75" i="3"/>
  <c r="O75" i="3"/>
  <c r="P75" i="3"/>
  <c r="Q75" i="3"/>
  <c r="R75" i="3"/>
  <c r="S75" i="3"/>
  <c r="T75" i="3"/>
  <c r="U75" i="3"/>
  <c r="V75" i="3"/>
  <c r="W75" i="3"/>
  <c r="X75" i="3"/>
  <c r="E76" i="3"/>
  <c r="F76" i="3"/>
  <c r="G76" i="3"/>
  <c r="H76" i="3"/>
  <c r="I76" i="3"/>
  <c r="Z76" i="3" s="1"/>
  <c r="J76" i="3"/>
  <c r="K76" i="3"/>
  <c r="M76" i="3"/>
  <c r="N76" i="3"/>
  <c r="O76" i="3"/>
  <c r="P76" i="3"/>
  <c r="Q76" i="3"/>
  <c r="R76" i="3"/>
  <c r="S76" i="3"/>
  <c r="T76" i="3"/>
  <c r="U76" i="3"/>
  <c r="V76" i="3"/>
  <c r="W76" i="3"/>
  <c r="X76" i="3"/>
  <c r="E77" i="3"/>
  <c r="F77" i="3"/>
  <c r="G77" i="3"/>
  <c r="H77" i="3"/>
  <c r="I77" i="3"/>
  <c r="J77" i="3"/>
  <c r="K77" i="3"/>
  <c r="M77" i="3"/>
  <c r="N77" i="3"/>
  <c r="O77" i="3"/>
  <c r="P77" i="3"/>
  <c r="Q77" i="3"/>
  <c r="R77" i="3"/>
  <c r="T77" i="3"/>
  <c r="U77" i="3"/>
  <c r="V77" i="3"/>
  <c r="W77" i="3"/>
  <c r="X77" i="3"/>
  <c r="E78" i="3"/>
  <c r="F78" i="3"/>
  <c r="G78" i="3"/>
  <c r="H78" i="3"/>
  <c r="I78" i="3"/>
  <c r="J78" i="3"/>
  <c r="K78" i="3"/>
  <c r="M78" i="3"/>
  <c r="N78" i="3"/>
  <c r="O78" i="3"/>
  <c r="P78" i="3"/>
  <c r="Q78" i="3"/>
  <c r="R78" i="3"/>
  <c r="T78" i="3"/>
  <c r="U78" i="3"/>
  <c r="V78" i="3"/>
  <c r="W78" i="3"/>
  <c r="X78" i="3"/>
  <c r="E79" i="3"/>
  <c r="F79" i="3"/>
  <c r="G79" i="3"/>
  <c r="H79" i="3"/>
  <c r="I79" i="3"/>
  <c r="L79" i="3" s="1"/>
  <c r="J79" i="3"/>
  <c r="K79" i="3"/>
  <c r="M79" i="3"/>
  <c r="N79" i="3"/>
  <c r="O79" i="3"/>
  <c r="P79" i="3"/>
  <c r="Q79" i="3"/>
  <c r="R79" i="3"/>
  <c r="T79" i="3"/>
  <c r="U79" i="3"/>
  <c r="V79" i="3"/>
  <c r="W79" i="3"/>
  <c r="X79" i="3"/>
  <c r="E80" i="3"/>
  <c r="F80" i="3"/>
  <c r="G80" i="3"/>
  <c r="H80" i="3"/>
  <c r="I80" i="3"/>
  <c r="Z80" i="3" s="1"/>
  <c r="J80" i="3"/>
  <c r="K80" i="3"/>
  <c r="M80" i="3"/>
  <c r="N80" i="3"/>
  <c r="O80" i="3"/>
  <c r="P80" i="3"/>
  <c r="Q80" i="3"/>
  <c r="R80" i="3"/>
  <c r="S80" i="3"/>
  <c r="T80" i="3"/>
  <c r="U80" i="3"/>
  <c r="V80" i="3"/>
  <c r="W80" i="3"/>
  <c r="X80" i="3"/>
  <c r="E81" i="3"/>
  <c r="F81" i="3"/>
  <c r="G81" i="3"/>
  <c r="H81" i="3"/>
  <c r="I81" i="3"/>
  <c r="L81" i="3" s="1"/>
  <c r="J81" i="3"/>
  <c r="K81" i="3"/>
  <c r="M81" i="3"/>
  <c r="N81" i="3"/>
  <c r="O81" i="3"/>
  <c r="P81" i="3"/>
  <c r="Q81" i="3"/>
  <c r="R81" i="3"/>
  <c r="T81" i="3"/>
  <c r="U81" i="3"/>
  <c r="V81" i="3"/>
  <c r="W81" i="3"/>
  <c r="X81" i="3"/>
  <c r="E82" i="3"/>
  <c r="F82" i="3"/>
  <c r="G82" i="3"/>
  <c r="H82" i="3"/>
  <c r="I82" i="3"/>
  <c r="L82" i="3" s="1"/>
  <c r="J82" i="3"/>
  <c r="K82" i="3"/>
  <c r="M82" i="3"/>
  <c r="N82" i="3"/>
  <c r="O82" i="3"/>
  <c r="P82" i="3"/>
  <c r="Q82" i="3"/>
  <c r="R82" i="3"/>
  <c r="S82" i="3"/>
  <c r="T82" i="3"/>
  <c r="U82" i="3"/>
  <c r="V82" i="3"/>
  <c r="W82" i="3"/>
  <c r="X82" i="3"/>
  <c r="E83" i="3"/>
  <c r="F83" i="3"/>
  <c r="G83" i="3"/>
  <c r="H83" i="3"/>
  <c r="I83" i="3"/>
  <c r="L83" i="3" s="1"/>
  <c r="J83" i="3"/>
  <c r="K83" i="3"/>
  <c r="M83" i="3"/>
  <c r="M35" i="3" s="1"/>
  <c r="N83" i="3"/>
  <c r="O83" i="3"/>
  <c r="P83" i="3"/>
  <c r="Q83" i="3"/>
  <c r="R83" i="3"/>
  <c r="S83" i="3"/>
  <c r="T83" i="3"/>
  <c r="U83" i="3"/>
  <c r="V83" i="3"/>
  <c r="W83" i="3"/>
  <c r="X83" i="3"/>
  <c r="E84" i="3"/>
  <c r="F84" i="3"/>
  <c r="G84" i="3"/>
  <c r="H84" i="3"/>
  <c r="I84" i="3"/>
  <c r="J84" i="3"/>
  <c r="K84" i="3"/>
  <c r="M84" i="3"/>
  <c r="N84" i="3"/>
  <c r="O84" i="3"/>
  <c r="P84" i="3"/>
  <c r="Q84" i="3"/>
  <c r="R84" i="3"/>
  <c r="T84" i="3"/>
  <c r="U84" i="3"/>
  <c r="V84" i="3"/>
  <c r="W84" i="3"/>
  <c r="X84" i="3"/>
  <c r="E85" i="3"/>
  <c r="F85" i="3"/>
  <c r="G85" i="3"/>
  <c r="H85" i="3"/>
  <c r="I85" i="3"/>
  <c r="J85" i="3"/>
  <c r="K85" i="3"/>
  <c r="M85" i="3"/>
  <c r="N85" i="3"/>
  <c r="O85" i="3"/>
  <c r="P85" i="3"/>
  <c r="Q85" i="3"/>
  <c r="R85" i="3"/>
  <c r="S85" i="3"/>
  <c r="T85" i="3"/>
  <c r="U85" i="3"/>
  <c r="V85" i="3"/>
  <c r="W85" i="3"/>
  <c r="X85" i="3"/>
  <c r="E86" i="3"/>
  <c r="F86" i="3"/>
  <c r="G86" i="3"/>
  <c r="H86" i="3"/>
  <c r="I86" i="3"/>
  <c r="J86" i="3"/>
  <c r="K86" i="3"/>
  <c r="M86" i="3"/>
  <c r="N86" i="3"/>
  <c r="O86" i="3"/>
  <c r="P86" i="3"/>
  <c r="Q86" i="3"/>
  <c r="R86" i="3"/>
  <c r="S86" i="3"/>
  <c r="T86" i="3"/>
  <c r="U86" i="3"/>
  <c r="V86" i="3"/>
  <c r="W86" i="3"/>
  <c r="X86" i="3"/>
  <c r="E87" i="3"/>
  <c r="E40" i="3" s="1"/>
  <c r="F87" i="3"/>
  <c r="F40" i="3" s="1"/>
  <c r="G87" i="3"/>
  <c r="G40" i="3" s="1"/>
  <c r="H87" i="3"/>
  <c r="H40" i="3" s="1"/>
  <c r="I87" i="3"/>
  <c r="I40" i="3" s="1"/>
  <c r="J87" i="3"/>
  <c r="K87" i="3"/>
  <c r="K40" i="3" s="1"/>
  <c r="M87" i="3"/>
  <c r="M40" i="3" s="1"/>
  <c r="N87" i="3"/>
  <c r="O87" i="3"/>
  <c r="P87" i="3"/>
  <c r="P40" i="3" s="1"/>
  <c r="Q87" i="3"/>
  <c r="Q40" i="3" s="1"/>
  <c r="R87" i="3"/>
  <c r="R40" i="3" s="1"/>
  <c r="S87" i="3"/>
  <c r="S40" i="3" s="1"/>
  <c r="T87" i="3"/>
  <c r="T40" i="3" s="1"/>
  <c r="U87" i="3"/>
  <c r="U40" i="3" s="1"/>
  <c r="V87" i="3"/>
  <c r="W87" i="3"/>
  <c r="W40" i="3" s="1"/>
  <c r="X87" i="3"/>
  <c r="X40" i="3" s="1"/>
  <c r="E88" i="3"/>
  <c r="F88" i="3"/>
  <c r="G88" i="3"/>
  <c r="H88" i="3"/>
  <c r="I88" i="3"/>
  <c r="J88" i="3"/>
  <c r="K88" i="3"/>
  <c r="M88" i="3"/>
  <c r="N88" i="3"/>
  <c r="O88" i="3"/>
  <c r="P88" i="3"/>
  <c r="Q88" i="3"/>
  <c r="R88" i="3"/>
  <c r="S88" i="3"/>
  <c r="Y88" i="3" s="1"/>
  <c r="T88" i="3"/>
  <c r="U88" i="3"/>
  <c r="V88" i="3"/>
  <c r="W88" i="3"/>
  <c r="X88" i="3"/>
  <c r="E89" i="3"/>
  <c r="F89" i="3"/>
  <c r="G89" i="3"/>
  <c r="H89" i="3"/>
  <c r="I89" i="3"/>
  <c r="J89" i="3"/>
  <c r="K89" i="3"/>
  <c r="M89" i="3"/>
  <c r="N89" i="3"/>
  <c r="O89" i="3"/>
  <c r="P89" i="3"/>
  <c r="Q89" i="3"/>
  <c r="R89" i="3"/>
  <c r="S89" i="3"/>
  <c r="T89" i="3"/>
  <c r="U89" i="3"/>
  <c r="V89" i="3"/>
  <c r="W89" i="3"/>
  <c r="X89" i="3"/>
  <c r="E90" i="3"/>
  <c r="F90" i="3"/>
  <c r="G90" i="3"/>
  <c r="H90" i="3"/>
  <c r="I90" i="3"/>
  <c r="J90" i="3"/>
  <c r="K90" i="3"/>
  <c r="M90" i="3"/>
  <c r="N90" i="3"/>
  <c r="O90" i="3"/>
  <c r="P90" i="3"/>
  <c r="Q90" i="3"/>
  <c r="R90" i="3"/>
  <c r="T90" i="3"/>
  <c r="U90" i="3"/>
  <c r="V90" i="3"/>
  <c r="W90" i="3"/>
  <c r="X90" i="3"/>
  <c r="E91" i="3"/>
  <c r="E38" i="3" s="1"/>
  <c r="F91" i="3"/>
  <c r="F41" i="3" s="1"/>
  <c r="G91" i="3"/>
  <c r="G38" i="3" s="1"/>
  <c r="H91" i="3"/>
  <c r="H38" i="3" s="1"/>
  <c r="I91" i="3"/>
  <c r="I38" i="3" s="1"/>
  <c r="L38" i="3" s="1"/>
  <c r="J91" i="3"/>
  <c r="J41" i="3" s="1"/>
  <c r="K91" i="3"/>
  <c r="K41" i="3" s="1"/>
  <c r="M91" i="3"/>
  <c r="M41" i="3" s="1"/>
  <c r="N91" i="3"/>
  <c r="O91" i="3"/>
  <c r="O41" i="3" s="1"/>
  <c r="P91" i="3"/>
  <c r="P38" i="3" s="1"/>
  <c r="Q91" i="3"/>
  <c r="Q38" i="3" s="1"/>
  <c r="R91" i="3"/>
  <c r="R41" i="3" s="1"/>
  <c r="T91" i="3"/>
  <c r="T38" i="3" s="1"/>
  <c r="U91" i="3"/>
  <c r="U38" i="3" s="1"/>
  <c r="V91" i="3"/>
  <c r="V41" i="3" s="1"/>
  <c r="W91" i="3"/>
  <c r="W41" i="3" s="1"/>
  <c r="X91" i="3"/>
  <c r="X38" i="3" s="1"/>
  <c r="E92" i="3"/>
  <c r="F92" i="3"/>
  <c r="G92" i="3"/>
  <c r="H92" i="3"/>
  <c r="I92" i="3"/>
  <c r="Z92" i="3" s="1"/>
  <c r="J92" i="3"/>
  <c r="K92" i="3"/>
  <c r="M92" i="3"/>
  <c r="N92" i="3"/>
  <c r="O92" i="3"/>
  <c r="P92" i="3"/>
  <c r="Q92" i="3"/>
  <c r="R92" i="3"/>
  <c r="S92" i="3"/>
  <c r="T92" i="3"/>
  <c r="U92" i="3"/>
  <c r="V92" i="3"/>
  <c r="W92" i="3"/>
  <c r="X92" i="3"/>
  <c r="E93" i="3"/>
  <c r="E37" i="3" s="1"/>
  <c r="F93" i="3"/>
  <c r="F37" i="3" s="1"/>
  <c r="G93" i="3"/>
  <c r="G37" i="3" s="1"/>
  <c r="H93" i="3"/>
  <c r="I93" i="3"/>
  <c r="L93" i="3" s="1"/>
  <c r="J93" i="3"/>
  <c r="J37" i="3" s="1"/>
  <c r="K93" i="3"/>
  <c r="K37" i="3" s="1"/>
  <c r="M93" i="3"/>
  <c r="M37" i="3" s="1"/>
  <c r="N93" i="3"/>
  <c r="N37" i="3" s="1"/>
  <c r="O93" i="3"/>
  <c r="O37" i="3" s="1"/>
  <c r="P93" i="3"/>
  <c r="Q93" i="3"/>
  <c r="Q37" i="3" s="1"/>
  <c r="R93" i="3"/>
  <c r="R37" i="3" s="1"/>
  <c r="S93" i="3"/>
  <c r="S37" i="3" s="1"/>
  <c r="T93" i="3"/>
  <c r="U93" i="3"/>
  <c r="V93" i="3"/>
  <c r="V37" i="3" s="1"/>
  <c r="W93" i="3"/>
  <c r="W37" i="3" s="1"/>
  <c r="X93" i="3"/>
  <c r="X37" i="3" s="1"/>
  <c r="E94" i="3"/>
  <c r="F94" i="3"/>
  <c r="G94" i="3"/>
  <c r="H94" i="3"/>
  <c r="I94" i="3"/>
  <c r="Z94" i="3" s="1"/>
  <c r="J94" i="3"/>
  <c r="K94" i="3"/>
  <c r="M94" i="3"/>
  <c r="N94" i="3"/>
  <c r="O94" i="3"/>
  <c r="P94" i="3"/>
  <c r="Q94" i="3"/>
  <c r="R94" i="3"/>
  <c r="S94" i="3"/>
  <c r="T94" i="3"/>
  <c r="U94" i="3"/>
  <c r="V94" i="3"/>
  <c r="W94" i="3"/>
  <c r="X94" i="3"/>
  <c r="E95" i="3"/>
  <c r="E39" i="3" s="1"/>
  <c r="F95" i="3"/>
  <c r="F39" i="3" s="1"/>
  <c r="G95" i="3"/>
  <c r="G39" i="3" s="1"/>
  <c r="H95" i="3"/>
  <c r="I95" i="3"/>
  <c r="I39" i="3" s="1"/>
  <c r="Z39" i="3" s="1"/>
  <c r="J95" i="3"/>
  <c r="J39" i="3" s="1"/>
  <c r="K95" i="3"/>
  <c r="K39" i="3" s="1"/>
  <c r="M95" i="3"/>
  <c r="N95" i="3"/>
  <c r="N39" i="3" s="1"/>
  <c r="O95" i="3"/>
  <c r="O39" i="3" s="1"/>
  <c r="P95" i="3"/>
  <c r="P39" i="3" s="1"/>
  <c r="Q95" i="3"/>
  <c r="Q39" i="3" s="1"/>
  <c r="R95" i="3"/>
  <c r="R39" i="3" s="1"/>
  <c r="S95" i="3"/>
  <c r="S39" i="3" s="1"/>
  <c r="T95" i="3"/>
  <c r="U95" i="3"/>
  <c r="U39" i="3" s="1"/>
  <c r="V95" i="3"/>
  <c r="V39" i="3" s="1"/>
  <c r="W95" i="3"/>
  <c r="W39" i="3" s="1"/>
  <c r="X95" i="3"/>
  <c r="E96" i="3"/>
  <c r="F96" i="3"/>
  <c r="G96" i="3"/>
  <c r="H96" i="3"/>
  <c r="I96" i="3"/>
  <c r="Z96" i="3" s="1"/>
  <c r="J96" i="3"/>
  <c r="K96" i="3"/>
  <c r="M96" i="3"/>
  <c r="N96" i="3"/>
  <c r="O96" i="3"/>
  <c r="P96" i="3"/>
  <c r="Q96" i="3"/>
  <c r="R96" i="3"/>
  <c r="S96" i="3"/>
  <c r="T96" i="3"/>
  <c r="U96" i="3"/>
  <c r="V96" i="3"/>
  <c r="W96" i="3"/>
  <c r="X96" i="3"/>
  <c r="E97" i="3"/>
  <c r="F97" i="3"/>
  <c r="G97" i="3"/>
  <c r="H97" i="3"/>
  <c r="I97" i="3"/>
  <c r="L97" i="3" s="1"/>
  <c r="J97" i="3"/>
  <c r="K97" i="3"/>
  <c r="M97" i="3"/>
  <c r="N97" i="3"/>
  <c r="O97" i="3"/>
  <c r="P97" i="3"/>
  <c r="Q97" i="3"/>
  <c r="R97" i="3"/>
  <c r="T97" i="3"/>
  <c r="U97" i="3"/>
  <c r="V97" i="3"/>
  <c r="W97" i="3"/>
  <c r="X97" i="3"/>
  <c r="E98" i="3"/>
  <c r="E31" i="3" s="1"/>
  <c r="F98" i="3"/>
  <c r="F31" i="3" s="1"/>
  <c r="G98" i="3"/>
  <c r="G31" i="3" s="1"/>
  <c r="H98" i="3"/>
  <c r="H31" i="3" s="1"/>
  <c r="I98" i="3"/>
  <c r="I31" i="3" s="1"/>
  <c r="J98" i="3"/>
  <c r="J31" i="3" s="1"/>
  <c r="K98" i="3"/>
  <c r="K31" i="3" s="1"/>
  <c r="M98" i="3"/>
  <c r="M31" i="3" s="1"/>
  <c r="N98" i="3"/>
  <c r="N31" i="3" s="1"/>
  <c r="O98" i="3"/>
  <c r="O31" i="3" s="1"/>
  <c r="P98" i="3"/>
  <c r="P31" i="3" s="1"/>
  <c r="Q98" i="3"/>
  <c r="Q31" i="3" s="1"/>
  <c r="R98" i="3"/>
  <c r="R31" i="3" s="1"/>
  <c r="T98" i="3"/>
  <c r="T31" i="3" s="1"/>
  <c r="U98" i="3"/>
  <c r="U31" i="3" s="1"/>
  <c r="V98" i="3"/>
  <c r="V31" i="3" s="1"/>
  <c r="W98" i="3"/>
  <c r="W31" i="3" s="1"/>
  <c r="X98" i="3"/>
  <c r="X31" i="3" s="1"/>
  <c r="E99" i="3"/>
  <c r="F99" i="3"/>
  <c r="G99" i="3"/>
  <c r="H99" i="3"/>
  <c r="I99" i="3"/>
  <c r="J99" i="3"/>
  <c r="K99" i="3"/>
  <c r="M99" i="3"/>
  <c r="N99" i="3"/>
  <c r="O99" i="3"/>
  <c r="P99" i="3"/>
  <c r="Q99" i="3"/>
  <c r="R99" i="3"/>
  <c r="T99" i="3"/>
  <c r="U99" i="3"/>
  <c r="V99" i="3"/>
  <c r="W99" i="3"/>
  <c r="X99" i="3"/>
  <c r="E100" i="3"/>
  <c r="F100" i="3"/>
  <c r="G100" i="3"/>
  <c r="H100" i="3"/>
  <c r="I100" i="3"/>
  <c r="J100" i="3"/>
  <c r="K100" i="3"/>
  <c r="M100" i="3"/>
  <c r="N100" i="3"/>
  <c r="O100" i="3"/>
  <c r="P100" i="3"/>
  <c r="Q100" i="3"/>
  <c r="R100" i="3"/>
  <c r="T100" i="3"/>
  <c r="U100" i="3"/>
  <c r="V100" i="3"/>
  <c r="W100" i="3"/>
  <c r="X100" i="3"/>
  <c r="E101" i="3"/>
  <c r="E32" i="3" s="1"/>
  <c r="F101" i="3"/>
  <c r="G101" i="3"/>
  <c r="G32" i="3" s="1"/>
  <c r="H101" i="3"/>
  <c r="H32" i="3" s="1"/>
  <c r="I101" i="3"/>
  <c r="I32" i="3" s="1"/>
  <c r="J101" i="3"/>
  <c r="J32" i="3" s="1"/>
  <c r="K101" i="3"/>
  <c r="M101" i="3"/>
  <c r="M32" i="3" s="1"/>
  <c r="N101" i="3"/>
  <c r="N32" i="3" s="1"/>
  <c r="O101" i="3"/>
  <c r="O32" i="3" s="1"/>
  <c r="P101" i="3"/>
  <c r="P32" i="3" s="1"/>
  <c r="Q101" i="3"/>
  <c r="Q32" i="3" s="1"/>
  <c r="R101" i="3"/>
  <c r="T101" i="3"/>
  <c r="T32" i="3" s="1"/>
  <c r="U101" i="3"/>
  <c r="U32" i="3" s="1"/>
  <c r="V101" i="3"/>
  <c r="V32" i="3" s="1"/>
  <c r="W101" i="3"/>
  <c r="X101" i="3"/>
  <c r="X32" i="3" s="1"/>
  <c r="E102" i="3"/>
  <c r="F102" i="3"/>
  <c r="G102" i="3"/>
  <c r="H102" i="3"/>
  <c r="I102" i="3"/>
  <c r="J102" i="3"/>
  <c r="K102" i="3"/>
  <c r="M102" i="3"/>
  <c r="N102" i="3"/>
  <c r="O102" i="3"/>
  <c r="P102" i="3"/>
  <c r="Q102" i="3"/>
  <c r="R102" i="3"/>
  <c r="T102" i="3"/>
  <c r="U102" i="3"/>
  <c r="V102" i="3"/>
  <c r="W102" i="3"/>
  <c r="X102" i="3"/>
  <c r="E103" i="3"/>
  <c r="F103" i="3"/>
  <c r="G103" i="3"/>
  <c r="H103" i="3"/>
  <c r="I103" i="3"/>
  <c r="J103" i="3"/>
  <c r="K103" i="3"/>
  <c r="M103" i="3"/>
  <c r="N103" i="3"/>
  <c r="O103" i="3"/>
  <c r="P103" i="3"/>
  <c r="Q103" i="3"/>
  <c r="R103" i="3"/>
  <c r="T103" i="3"/>
  <c r="U103" i="3"/>
  <c r="V103" i="3"/>
  <c r="W103" i="3"/>
  <c r="X103" i="3"/>
  <c r="E104" i="3"/>
  <c r="E43" i="3" s="1"/>
  <c r="F104" i="3"/>
  <c r="F43" i="3" s="1"/>
  <c r="G104" i="3"/>
  <c r="G43" i="3" s="1"/>
  <c r="H104" i="3"/>
  <c r="H43" i="3" s="1"/>
  <c r="I104" i="3"/>
  <c r="I43" i="3" s="1"/>
  <c r="J104" i="3"/>
  <c r="J43" i="3" s="1"/>
  <c r="K104" i="3"/>
  <c r="K43" i="3" s="1"/>
  <c r="M104" i="3"/>
  <c r="M43" i="3" s="1"/>
  <c r="N104" i="3"/>
  <c r="N43" i="3" s="1"/>
  <c r="O104" i="3"/>
  <c r="O43" i="3" s="1"/>
  <c r="P104" i="3"/>
  <c r="P43" i="3" s="1"/>
  <c r="Q104" i="3"/>
  <c r="Q43" i="3" s="1"/>
  <c r="R104" i="3"/>
  <c r="R43" i="3" s="1"/>
  <c r="T104" i="3"/>
  <c r="T43" i="3" s="1"/>
  <c r="U104" i="3"/>
  <c r="U43" i="3" s="1"/>
  <c r="V104" i="3"/>
  <c r="V43" i="3" s="1"/>
  <c r="W104" i="3"/>
  <c r="W43" i="3" s="1"/>
  <c r="X104" i="3"/>
  <c r="X43" i="3" s="1"/>
  <c r="E105" i="3"/>
  <c r="F105" i="3"/>
  <c r="G105" i="3"/>
  <c r="H105" i="3"/>
  <c r="I105" i="3"/>
  <c r="J105" i="3"/>
  <c r="K105" i="3"/>
  <c r="M105" i="3"/>
  <c r="N105" i="3"/>
  <c r="O105" i="3"/>
  <c r="P105" i="3"/>
  <c r="Q105" i="3"/>
  <c r="R105" i="3"/>
  <c r="T105" i="3"/>
  <c r="U105" i="3"/>
  <c r="V105" i="3"/>
  <c r="W105" i="3"/>
  <c r="X105" i="3"/>
  <c r="E106" i="3"/>
  <c r="F106" i="3"/>
  <c r="G106" i="3"/>
  <c r="H106" i="3"/>
  <c r="I106" i="3"/>
  <c r="J106" i="3"/>
  <c r="K106" i="3"/>
  <c r="M106" i="3"/>
  <c r="N106" i="3"/>
  <c r="O106" i="3"/>
  <c r="P106" i="3"/>
  <c r="Q106" i="3"/>
  <c r="R106" i="3"/>
  <c r="S106" i="3"/>
  <c r="Y106" i="3" s="1"/>
  <c r="T106" i="3"/>
  <c r="U106" i="3"/>
  <c r="V106" i="3"/>
  <c r="W106" i="3"/>
  <c r="X106" i="3"/>
  <c r="E107" i="3"/>
  <c r="F107" i="3"/>
  <c r="G107" i="3"/>
  <c r="H107" i="3"/>
  <c r="I107" i="3"/>
  <c r="J107" i="3"/>
  <c r="K107" i="3"/>
  <c r="M107" i="3"/>
  <c r="N107" i="3"/>
  <c r="O107" i="3"/>
  <c r="P107" i="3"/>
  <c r="Q107" i="3"/>
  <c r="R107" i="3"/>
  <c r="T107" i="3"/>
  <c r="U107" i="3"/>
  <c r="V107" i="3"/>
  <c r="W107" i="3"/>
  <c r="X107" i="3"/>
  <c r="E108" i="3"/>
  <c r="F108" i="3"/>
  <c r="G108" i="3"/>
  <c r="H108" i="3"/>
  <c r="I108" i="3"/>
  <c r="J108" i="3"/>
  <c r="K108" i="3"/>
  <c r="M108" i="3"/>
  <c r="N108" i="3"/>
  <c r="O108" i="3"/>
  <c r="P108" i="3"/>
  <c r="Q108" i="3"/>
  <c r="R108" i="3"/>
  <c r="T108" i="3"/>
  <c r="U108" i="3"/>
  <c r="V108" i="3"/>
  <c r="W108" i="3"/>
  <c r="X108" i="3"/>
  <c r="E109" i="3"/>
  <c r="F109" i="3"/>
  <c r="G109" i="3"/>
  <c r="H109" i="3"/>
  <c r="I109" i="3"/>
  <c r="L109" i="3" s="1"/>
  <c r="J109" i="3"/>
  <c r="K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E110" i="3"/>
  <c r="E33" i="3" s="1"/>
  <c r="F110" i="3"/>
  <c r="F33" i="3" s="1"/>
  <c r="G110" i="3"/>
  <c r="G33" i="3" s="1"/>
  <c r="H110" i="3"/>
  <c r="I110" i="3"/>
  <c r="I33" i="3" s="1"/>
  <c r="Z33" i="3" s="1"/>
  <c r="J110" i="3"/>
  <c r="J33" i="3" s="1"/>
  <c r="K110" i="3"/>
  <c r="K33" i="3" s="1"/>
  <c r="M110" i="3"/>
  <c r="N110" i="3"/>
  <c r="N33" i="3" s="1"/>
  <c r="O110" i="3"/>
  <c r="O33" i="3" s="1"/>
  <c r="P110" i="3"/>
  <c r="P33" i="3" s="1"/>
  <c r="Q110" i="3"/>
  <c r="Q33" i="3" s="1"/>
  <c r="R110" i="3"/>
  <c r="R33" i="3" s="1"/>
  <c r="S110" i="3"/>
  <c r="S33" i="3" s="1"/>
  <c r="T110" i="3"/>
  <c r="U110" i="3"/>
  <c r="U33" i="3" s="1"/>
  <c r="V110" i="3"/>
  <c r="V33" i="3" s="1"/>
  <c r="W110" i="3"/>
  <c r="W33" i="3" s="1"/>
  <c r="X110" i="3"/>
  <c r="F111" i="3"/>
  <c r="R111" i="3"/>
  <c r="H112" i="3"/>
  <c r="M112" i="3"/>
  <c r="T112" i="3"/>
  <c r="J113" i="3"/>
  <c r="N113" i="3"/>
  <c r="O113" i="3"/>
  <c r="V113" i="3"/>
  <c r="E114" i="3"/>
  <c r="P114" i="3"/>
  <c r="Q114" i="3"/>
  <c r="X114" i="3"/>
  <c r="E115" i="3"/>
  <c r="E111" i="3" s="1"/>
  <c r="F115" i="3"/>
  <c r="G115" i="3"/>
  <c r="G111" i="3" s="1"/>
  <c r="H115" i="3"/>
  <c r="H111" i="3" s="1"/>
  <c r="I115" i="3"/>
  <c r="J115" i="3"/>
  <c r="K115" i="3"/>
  <c r="M115" i="3"/>
  <c r="M111" i="3" s="1"/>
  <c r="N115" i="3"/>
  <c r="O115" i="3"/>
  <c r="O111" i="3" s="1"/>
  <c r="P115" i="3"/>
  <c r="Q115" i="3"/>
  <c r="Q111" i="3" s="1"/>
  <c r="R115" i="3"/>
  <c r="T115" i="3"/>
  <c r="U115" i="3"/>
  <c r="V115" i="3"/>
  <c r="W115" i="3"/>
  <c r="X115" i="3"/>
  <c r="E116" i="3"/>
  <c r="E113" i="3" s="1"/>
  <c r="F116" i="3"/>
  <c r="F113" i="3" s="1"/>
  <c r="G116" i="3"/>
  <c r="G113" i="3" s="1"/>
  <c r="H116" i="3"/>
  <c r="H113" i="3" s="1"/>
  <c r="I116" i="3"/>
  <c r="I113" i="3" s="1"/>
  <c r="J116" i="3"/>
  <c r="K116" i="3"/>
  <c r="K113" i="3" s="1"/>
  <c r="M116" i="3"/>
  <c r="M113" i="3" s="1"/>
  <c r="N116" i="3"/>
  <c r="O116" i="3"/>
  <c r="P116" i="3"/>
  <c r="P113" i="3" s="1"/>
  <c r="Q116" i="3"/>
  <c r="Q113" i="3" s="1"/>
  <c r="R116" i="3"/>
  <c r="R113" i="3" s="1"/>
  <c r="T116" i="3"/>
  <c r="U116" i="3"/>
  <c r="U113" i="3" s="1"/>
  <c r="V116" i="3"/>
  <c r="W116" i="3"/>
  <c r="W113" i="3" s="1"/>
  <c r="X116" i="3"/>
  <c r="E117" i="3"/>
  <c r="F117" i="3"/>
  <c r="F114" i="3" s="1"/>
  <c r="G117" i="3"/>
  <c r="G114" i="3" s="1"/>
  <c r="H117" i="3"/>
  <c r="H114" i="3" s="1"/>
  <c r="I117" i="3"/>
  <c r="I114" i="3" s="1"/>
  <c r="J117" i="3"/>
  <c r="J114" i="3" s="1"/>
  <c r="K117" i="3"/>
  <c r="K114" i="3" s="1"/>
  <c r="M117" i="3"/>
  <c r="M114" i="3" s="1"/>
  <c r="N117" i="3"/>
  <c r="N114" i="3" s="1"/>
  <c r="O117" i="3"/>
  <c r="O114" i="3" s="1"/>
  <c r="P117" i="3"/>
  <c r="Q117" i="3"/>
  <c r="R117" i="3"/>
  <c r="R114" i="3" s="1"/>
  <c r="T117" i="3"/>
  <c r="T114" i="3" s="1"/>
  <c r="U117" i="3"/>
  <c r="U114" i="3" s="1"/>
  <c r="V117" i="3"/>
  <c r="V114" i="3" s="1"/>
  <c r="W117" i="3"/>
  <c r="W114" i="3" s="1"/>
  <c r="X117" i="3"/>
  <c r="E118" i="3"/>
  <c r="F118" i="3"/>
  <c r="G118" i="3"/>
  <c r="H118" i="3"/>
  <c r="I118" i="3"/>
  <c r="J118" i="3"/>
  <c r="K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E119" i="3"/>
  <c r="F119" i="3"/>
  <c r="G119" i="3"/>
  <c r="H119" i="3"/>
  <c r="I119" i="3"/>
  <c r="Z119" i="3" s="1"/>
  <c r="J119" i="3"/>
  <c r="K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E120" i="3"/>
  <c r="F120" i="3"/>
  <c r="G120" i="3"/>
  <c r="H120" i="3"/>
  <c r="I120" i="3"/>
  <c r="J120" i="3"/>
  <c r="K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E121" i="3"/>
  <c r="F121" i="3"/>
  <c r="G121" i="3"/>
  <c r="H121" i="3"/>
  <c r="I121" i="3"/>
  <c r="J121" i="3"/>
  <c r="K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E122" i="3"/>
  <c r="F122" i="3"/>
  <c r="G122" i="3"/>
  <c r="H122" i="3"/>
  <c r="I122" i="3"/>
  <c r="Z122" i="3" s="1"/>
  <c r="J122" i="3"/>
  <c r="K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E123" i="3"/>
  <c r="F123" i="3"/>
  <c r="G123" i="3"/>
  <c r="H123" i="3"/>
  <c r="I123" i="3"/>
  <c r="J123" i="3"/>
  <c r="K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E124" i="3"/>
  <c r="F124" i="3"/>
  <c r="G124" i="3"/>
  <c r="H124" i="3"/>
  <c r="I124" i="3"/>
  <c r="J124" i="3"/>
  <c r="K124" i="3"/>
  <c r="M124" i="3"/>
  <c r="N124" i="3"/>
  <c r="O124" i="3"/>
  <c r="P124" i="3"/>
  <c r="Q124" i="3"/>
  <c r="R124" i="3"/>
  <c r="T124" i="3"/>
  <c r="U124" i="3"/>
  <c r="V124" i="3"/>
  <c r="W124" i="3"/>
  <c r="X124" i="3"/>
  <c r="E125" i="3"/>
  <c r="F125" i="3"/>
  <c r="G125" i="3"/>
  <c r="H125" i="3"/>
  <c r="I125" i="3"/>
  <c r="J125" i="3"/>
  <c r="K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E126" i="3"/>
  <c r="F126" i="3"/>
  <c r="G126" i="3"/>
  <c r="H126" i="3"/>
  <c r="I126" i="3"/>
  <c r="J126" i="3"/>
  <c r="K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E127" i="3"/>
  <c r="F127" i="3"/>
  <c r="G127" i="3"/>
  <c r="H127" i="3"/>
  <c r="I127" i="3"/>
  <c r="J127" i="3"/>
  <c r="K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E128" i="3"/>
  <c r="F128" i="3"/>
  <c r="G128" i="3"/>
  <c r="H128" i="3"/>
  <c r="I128" i="3"/>
  <c r="J128" i="3"/>
  <c r="K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E129" i="3"/>
  <c r="F129" i="3"/>
  <c r="G129" i="3"/>
  <c r="H129" i="3"/>
  <c r="I129" i="3"/>
  <c r="L129" i="3" s="1"/>
  <c r="J129" i="3"/>
  <c r="K129" i="3"/>
  <c r="K111" i="3" s="1"/>
  <c r="M129" i="3"/>
  <c r="N129" i="3"/>
  <c r="O129" i="3"/>
  <c r="P129" i="3"/>
  <c r="Q129" i="3"/>
  <c r="R129" i="3"/>
  <c r="T129" i="3"/>
  <c r="U129" i="3"/>
  <c r="V129" i="3"/>
  <c r="W129" i="3"/>
  <c r="W111" i="3" s="1"/>
  <c r="X129" i="3"/>
  <c r="E130" i="3"/>
  <c r="F130" i="3"/>
  <c r="G130" i="3"/>
  <c r="H130" i="3"/>
  <c r="I130" i="3"/>
  <c r="L130" i="3" s="1"/>
  <c r="J130" i="3"/>
  <c r="K130" i="3"/>
  <c r="M130" i="3"/>
  <c r="N130" i="3"/>
  <c r="O130" i="3"/>
  <c r="P130" i="3"/>
  <c r="Q130" i="3"/>
  <c r="R130" i="3"/>
  <c r="T130" i="3"/>
  <c r="U130" i="3"/>
  <c r="V130" i="3"/>
  <c r="W130" i="3"/>
  <c r="X130" i="3"/>
  <c r="E131" i="3"/>
  <c r="F131" i="3"/>
  <c r="G131" i="3"/>
  <c r="H131" i="3"/>
  <c r="I131" i="3"/>
  <c r="J131" i="3"/>
  <c r="K131" i="3"/>
  <c r="M131" i="3"/>
  <c r="N131" i="3"/>
  <c r="O131" i="3"/>
  <c r="P131" i="3"/>
  <c r="Q131" i="3"/>
  <c r="R131" i="3"/>
  <c r="T131" i="3"/>
  <c r="U131" i="3"/>
  <c r="V131" i="3"/>
  <c r="W131" i="3"/>
  <c r="X131" i="3"/>
  <c r="E132" i="3"/>
  <c r="F132" i="3"/>
  <c r="G132" i="3"/>
  <c r="H132" i="3"/>
  <c r="I132" i="3"/>
  <c r="J132" i="3"/>
  <c r="K132" i="3"/>
  <c r="M132" i="3"/>
  <c r="N132" i="3"/>
  <c r="O132" i="3"/>
  <c r="P132" i="3"/>
  <c r="Q132" i="3"/>
  <c r="R132" i="3"/>
  <c r="S132" i="3"/>
  <c r="Y132" i="3" s="1"/>
  <c r="T132" i="3"/>
  <c r="U132" i="3"/>
  <c r="V132" i="3"/>
  <c r="W132" i="3"/>
  <c r="X132" i="3"/>
  <c r="E133" i="3"/>
  <c r="F133" i="3"/>
  <c r="G133" i="3"/>
  <c r="H133" i="3"/>
  <c r="I133" i="3"/>
  <c r="J133" i="3"/>
  <c r="K133" i="3"/>
  <c r="M133" i="3"/>
  <c r="N133" i="3"/>
  <c r="O133" i="3"/>
  <c r="P133" i="3"/>
  <c r="Q133" i="3"/>
  <c r="R133" i="3"/>
  <c r="T133" i="3"/>
  <c r="U133" i="3"/>
  <c r="V133" i="3"/>
  <c r="W133" i="3"/>
  <c r="X133" i="3"/>
  <c r="E134" i="3"/>
  <c r="E112" i="3" s="1"/>
  <c r="F134" i="3"/>
  <c r="F112" i="3" s="1"/>
  <c r="G134" i="3"/>
  <c r="G112" i="3" s="1"/>
  <c r="H134" i="3"/>
  <c r="I134" i="3"/>
  <c r="I112" i="3" s="1"/>
  <c r="J134" i="3"/>
  <c r="J112" i="3" s="1"/>
  <c r="K134" i="3"/>
  <c r="K112" i="3" s="1"/>
  <c r="M134" i="3"/>
  <c r="N134" i="3"/>
  <c r="N112" i="3" s="1"/>
  <c r="O134" i="3"/>
  <c r="O112" i="3" s="1"/>
  <c r="P134" i="3"/>
  <c r="P112" i="3" s="1"/>
  <c r="Q134" i="3"/>
  <c r="Q112" i="3" s="1"/>
  <c r="R134" i="3"/>
  <c r="R112" i="3" s="1"/>
  <c r="T134" i="3"/>
  <c r="U134" i="3"/>
  <c r="U112" i="3" s="1"/>
  <c r="V134" i="3"/>
  <c r="V112" i="3" s="1"/>
  <c r="W134" i="3"/>
  <c r="W112" i="3" s="1"/>
  <c r="X134" i="3"/>
  <c r="X112" i="3" s="1"/>
  <c r="H136" i="3"/>
  <c r="E137" i="3"/>
  <c r="F137" i="3"/>
  <c r="G137" i="3"/>
  <c r="H137" i="3"/>
  <c r="I137" i="3"/>
  <c r="J137" i="3"/>
  <c r="K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G139" i="3"/>
  <c r="N139" i="3"/>
  <c r="S139" i="3"/>
  <c r="P140" i="3"/>
  <c r="F141" i="3"/>
  <c r="J141" i="3"/>
  <c r="K141" i="3"/>
  <c r="R141" i="3"/>
  <c r="V141" i="3"/>
  <c r="W141" i="3"/>
  <c r="H142" i="3"/>
  <c r="M142" i="3"/>
  <c r="J143" i="3"/>
  <c r="O143" i="3"/>
  <c r="V143" i="3"/>
  <c r="E146" i="3"/>
  <c r="F146" i="3"/>
  <c r="G146" i="3"/>
  <c r="H146" i="3"/>
  <c r="I146" i="3"/>
  <c r="J146" i="3"/>
  <c r="K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E147" i="3"/>
  <c r="F147" i="3"/>
  <c r="G147" i="3"/>
  <c r="H147" i="3"/>
  <c r="I147" i="3"/>
  <c r="J147" i="3"/>
  <c r="K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E148" i="3"/>
  <c r="F148" i="3"/>
  <c r="G148" i="3"/>
  <c r="H148" i="3"/>
  <c r="I148" i="3"/>
  <c r="Z148" i="3" s="1"/>
  <c r="J148" i="3"/>
  <c r="K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E149" i="3"/>
  <c r="F149" i="3"/>
  <c r="F138" i="3" s="1"/>
  <c r="G149" i="3"/>
  <c r="G138" i="3" s="1"/>
  <c r="H149" i="3"/>
  <c r="H138" i="3" s="1"/>
  <c r="I149" i="3"/>
  <c r="J149" i="3"/>
  <c r="K149" i="3"/>
  <c r="K138" i="3" s="1"/>
  <c r="M149" i="3"/>
  <c r="M138" i="3" s="1"/>
  <c r="N149" i="3"/>
  <c r="N138" i="3" s="1"/>
  <c r="O149" i="3"/>
  <c r="O138" i="3" s="1"/>
  <c r="P149" i="3"/>
  <c r="Q149" i="3"/>
  <c r="R149" i="3"/>
  <c r="R138" i="3" s="1"/>
  <c r="S149" i="3"/>
  <c r="S138" i="3" s="1"/>
  <c r="T149" i="3"/>
  <c r="T138" i="3" s="1"/>
  <c r="U149" i="3"/>
  <c r="U138" i="3" s="1"/>
  <c r="V149" i="3"/>
  <c r="W149" i="3"/>
  <c r="W138" i="3" s="1"/>
  <c r="X149" i="3"/>
  <c r="E150" i="3"/>
  <c r="F150" i="3"/>
  <c r="G150" i="3"/>
  <c r="H150" i="3"/>
  <c r="I150" i="3"/>
  <c r="J150" i="3"/>
  <c r="K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E151" i="3"/>
  <c r="F151" i="3"/>
  <c r="G151" i="3"/>
  <c r="H151" i="3"/>
  <c r="I151" i="3"/>
  <c r="L151" i="3" s="1"/>
  <c r="J151" i="3"/>
  <c r="K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E152" i="3"/>
  <c r="F152" i="3"/>
  <c r="G152" i="3"/>
  <c r="H152" i="3"/>
  <c r="I152" i="3"/>
  <c r="Z152" i="3" s="1"/>
  <c r="J152" i="3"/>
  <c r="K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E153" i="3"/>
  <c r="F153" i="3"/>
  <c r="G153" i="3"/>
  <c r="H153" i="3"/>
  <c r="I153" i="3"/>
  <c r="Z153" i="3" s="1"/>
  <c r="J153" i="3"/>
  <c r="K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E154" i="3"/>
  <c r="F154" i="3"/>
  <c r="G154" i="3"/>
  <c r="H154" i="3"/>
  <c r="I154" i="3"/>
  <c r="L154" i="3" s="1"/>
  <c r="J154" i="3"/>
  <c r="K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E155" i="3"/>
  <c r="F155" i="3"/>
  <c r="G155" i="3"/>
  <c r="H155" i="3"/>
  <c r="I155" i="3"/>
  <c r="Z155" i="3" s="1"/>
  <c r="J155" i="3"/>
  <c r="K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E156" i="3"/>
  <c r="F156" i="3"/>
  <c r="G156" i="3"/>
  <c r="H156" i="3"/>
  <c r="I156" i="3"/>
  <c r="J156" i="3"/>
  <c r="K156" i="3"/>
  <c r="M156" i="3"/>
  <c r="N156" i="3"/>
  <c r="O156" i="3"/>
  <c r="P156" i="3"/>
  <c r="Q156" i="3"/>
  <c r="R156" i="3"/>
  <c r="T156" i="3"/>
  <c r="U156" i="3"/>
  <c r="V156" i="3"/>
  <c r="W156" i="3"/>
  <c r="X156" i="3"/>
  <c r="E157" i="3"/>
  <c r="F157" i="3"/>
  <c r="G157" i="3"/>
  <c r="H157" i="3"/>
  <c r="I157" i="3"/>
  <c r="J157" i="3"/>
  <c r="K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E158" i="3"/>
  <c r="F158" i="3"/>
  <c r="G158" i="3"/>
  <c r="H158" i="3"/>
  <c r="I158" i="3"/>
  <c r="L158" i="3" s="1"/>
  <c r="J158" i="3"/>
  <c r="K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E159" i="3"/>
  <c r="F159" i="3"/>
  <c r="G159" i="3"/>
  <c r="H159" i="3"/>
  <c r="I159" i="3"/>
  <c r="Z159" i="3" s="1"/>
  <c r="J159" i="3"/>
  <c r="K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E160" i="3"/>
  <c r="E141" i="3" s="1"/>
  <c r="F160" i="3"/>
  <c r="G160" i="3"/>
  <c r="G141" i="3" s="1"/>
  <c r="H160" i="3"/>
  <c r="H141" i="3" s="1"/>
  <c r="I160" i="3"/>
  <c r="I141" i="3" s="1"/>
  <c r="J160" i="3"/>
  <c r="K160" i="3"/>
  <c r="M160" i="3"/>
  <c r="M141" i="3" s="1"/>
  <c r="N160" i="3"/>
  <c r="N141" i="3" s="1"/>
  <c r="O160" i="3"/>
  <c r="O141" i="3" s="1"/>
  <c r="P160" i="3"/>
  <c r="P141" i="3" s="1"/>
  <c r="Q160" i="3"/>
  <c r="Q141" i="3" s="1"/>
  <c r="R160" i="3"/>
  <c r="S160" i="3"/>
  <c r="S141" i="3" s="1"/>
  <c r="T160" i="3"/>
  <c r="T141" i="3" s="1"/>
  <c r="U160" i="3"/>
  <c r="U141" i="3" s="1"/>
  <c r="V160" i="3"/>
  <c r="W160" i="3"/>
  <c r="X160" i="3"/>
  <c r="X141" i="3" s="1"/>
  <c r="E161" i="3"/>
  <c r="F161" i="3"/>
  <c r="G161" i="3"/>
  <c r="H161" i="3"/>
  <c r="I161" i="3"/>
  <c r="L161" i="3" s="1"/>
  <c r="J161" i="3"/>
  <c r="K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E162" i="3"/>
  <c r="F162" i="3"/>
  <c r="G162" i="3"/>
  <c r="H162" i="3"/>
  <c r="I162" i="3"/>
  <c r="J162" i="3"/>
  <c r="K162" i="3"/>
  <c r="M162" i="3"/>
  <c r="N162" i="3"/>
  <c r="O162" i="3"/>
  <c r="P162" i="3"/>
  <c r="Q162" i="3"/>
  <c r="R162" i="3"/>
  <c r="T162" i="3"/>
  <c r="U162" i="3"/>
  <c r="V162" i="3"/>
  <c r="W162" i="3"/>
  <c r="X162" i="3"/>
  <c r="E163" i="3"/>
  <c r="F163" i="3"/>
  <c r="G163" i="3"/>
  <c r="H163" i="3"/>
  <c r="I163" i="3"/>
  <c r="J163" i="3"/>
  <c r="K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E164" i="3"/>
  <c r="F164" i="3"/>
  <c r="G164" i="3"/>
  <c r="H164" i="3"/>
  <c r="I164" i="3"/>
  <c r="Z164" i="3" s="1"/>
  <c r="J164" i="3"/>
  <c r="K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E165" i="3"/>
  <c r="E139" i="3" s="1"/>
  <c r="F165" i="3"/>
  <c r="F139" i="3" s="1"/>
  <c r="G165" i="3"/>
  <c r="H165" i="3"/>
  <c r="H139" i="3" s="1"/>
  <c r="I165" i="3"/>
  <c r="I139" i="3" s="1"/>
  <c r="Z139" i="3" s="1"/>
  <c r="J165" i="3"/>
  <c r="J139" i="3" s="1"/>
  <c r="K165" i="3"/>
  <c r="K139" i="3" s="1"/>
  <c r="M165" i="3"/>
  <c r="M139" i="3" s="1"/>
  <c r="N165" i="3"/>
  <c r="O165" i="3"/>
  <c r="O139" i="3" s="1"/>
  <c r="P165" i="3"/>
  <c r="P139" i="3" s="1"/>
  <c r="Q165" i="3"/>
  <c r="Q139" i="3" s="1"/>
  <c r="R165" i="3"/>
  <c r="R139" i="3" s="1"/>
  <c r="S165" i="3"/>
  <c r="T165" i="3"/>
  <c r="T139" i="3" s="1"/>
  <c r="U165" i="3"/>
  <c r="U139" i="3" s="1"/>
  <c r="V165" i="3"/>
  <c r="V139" i="3" s="1"/>
  <c r="W165" i="3"/>
  <c r="W139" i="3" s="1"/>
  <c r="X165" i="3"/>
  <c r="X139" i="3" s="1"/>
  <c r="E166" i="3"/>
  <c r="E140" i="3" s="1"/>
  <c r="F166" i="3"/>
  <c r="F140" i="3" s="1"/>
  <c r="G166" i="3"/>
  <c r="G140" i="3" s="1"/>
  <c r="H166" i="3"/>
  <c r="H140" i="3" s="1"/>
  <c r="I166" i="3"/>
  <c r="L166" i="3" s="1"/>
  <c r="J166" i="3"/>
  <c r="J140" i="3" s="1"/>
  <c r="K166" i="3"/>
  <c r="K140" i="3" s="1"/>
  <c r="M166" i="3"/>
  <c r="M140" i="3" s="1"/>
  <c r="N166" i="3"/>
  <c r="N140" i="3" s="1"/>
  <c r="O166" i="3"/>
  <c r="O140" i="3" s="1"/>
  <c r="P166" i="3"/>
  <c r="Q166" i="3"/>
  <c r="Q140" i="3" s="1"/>
  <c r="R166" i="3"/>
  <c r="R140" i="3" s="1"/>
  <c r="S166" i="3"/>
  <c r="S140" i="3" s="1"/>
  <c r="T166" i="3"/>
  <c r="T140" i="3" s="1"/>
  <c r="U166" i="3"/>
  <c r="V166" i="3"/>
  <c r="V140" i="3" s="1"/>
  <c r="W166" i="3"/>
  <c r="W140" i="3" s="1"/>
  <c r="X166" i="3"/>
  <c r="X140" i="3" s="1"/>
  <c r="E167" i="3"/>
  <c r="F167" i="3"/>
  <c r="G167" i="3"/>
  <c r="H167" i="3"/>
  <c r="I167" i="3"/>
  <c r="Z167" i="3" s="1"/>
  <c r="J167" i="3"/>
  <c r="K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E168" i="3"/>
  <c r="E138" i="3" s="1"/>
  <c r="F168" i="3"/>
  <c r="G168" i="3"/>
  <c r="H168" i="3"/>
  <c r="I168" i="3"/>
  <c r="L168" i="3" s="1"/>
  <c r="J168" i="3"/>
  <c r="K168" i="3"/>
  <c r="M168" i="3"/>
  <c r="N168" i="3"/>
  <c r="O168" i="3"/>
  <c r="P168" i="3"/>
  <c r="P138" i="3" s="1"/>
  <c r="Q168" i="3"/>
  <c r="Q138" i="3" s="1"/>
  <c r="R168" i="3"/>
  <c r="S168" i="3"/>
  <c r="T168" i="3"/>
  <c r="U168" i="3"/>
  <c r="V168" i="3"/>
  <c r="W168" i="3"/>
  <c r="X168" i="3"/>
  <c r="X138" i="3" s="1"/>
  <c r="E169" i="3"/>
  <c r="F169" i="3"/>
  <c r="G169" i="3"/>
  <c r="H169" i="3"/>
  <c r="I169" i="3"/>
  <c r="J169" i="3"/>
  <c r="K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E170" i="3"/>
  <c r="F170" i="3"/>
  <c r="G170" i="3"/>
  <c r="H170" i="3"/>
  <c r="I170" i="3"/>
  <c r="J170" i="3"/>
  <c r="K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E171" i="3"/>
  <c r="F171" i="3"/>
  <c r="G171" i="3"/>
  <c r="H171" i="3"/>
  <c r="I171" i="3"/>
  <c r="J171" i="3"/>
  <c r="K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E172" i="3"/>
  <c r="F172" i="3"/>
  <c r="G172" i="3"/>
  <c r="H172" i="3"/>
  <c r="I172" i="3"/>
  <c r="J172" i="3"/>
  <c r="K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E173" i="3"/>
  <c r="F173" i="3"/>
  <c r="G173" i="3"/>
  <c r="H173" i="3"/>
  <c r="I173" i="3"/>
  <c r="L173" i="3" s="1"/>
  <c r="J173" i="3"/>
  <c r="K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E174" i="3"/>
  <c r="F174" i="3"/>
  <c r="G174" i="3"/>
  <c r="H174" i="3"/>
  <c r="I174" i="3"/>
  <c r="J174" i="3"/>
  <c r="K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E175" i="3"/>
  <c r="E145" i="3" s="1"/>
  <c r="F175" i="3"/>
  <c r="F145" i="3" s="1"/>
  <c r="G175" i="3"/>
  <c r="G145" i="3" s="1"/>
  <c r="H175" i="3"/>
  <c r="H145" i="3" s="1"/>
  <c r="I175" i="3"/>
  <c r="I145" i="3" s="1"/>
  <c r="J175" i="3"/>
  <c r="J145" i="3" s="1"/>
  <c r="K175" i="3"/>
  <c r="K145" i="3" s="1"/>
  <c r="M175" i="3"/>
  <c r="M145" i="3" s="1"/>
  <c r="N175" i="3"/>
  <c r="N145" i="3" s="1"/>
  <c r="O175" i="3"/>
  <c r="O145" i="3" s="1"/>
  <c r="P175" i="3"/>
  <c r="P145" i="3" s="1"/>
  <c r="Q175" i="3"/>
  <c r="Q145" i="3" s="1"/>
  <c r="R175" i="3"/>
  <c r="R145" i="3" s="1"/>
  <c r="S175" i="3"/>
  <c r="S145" i="3" s="1"/>
  <c r="T175" i="3"/>
  <c r="T145" i="3" s="1"/>
  <c r="U175" i="3"/>
  <c r="U145" i="3" s="1"/>
  <c r="V175" i="3"/>
  <c r="V145" i="3" s="1"/>
  <c r="W175" i="3"/>
  <c r="W145" i="3" s="1"/>
  <c r="X175" i="3"/>
  <c r="X145" i="3" s="1"/>
  <c r="E176" i="3"/>
  <c r="F176" i="3"/>
  <c r="G176" i="3"/>
  <c r="H176" i="3"/>
  <c r="I176" i="3"/>
  <c r="Z176" i="3" s="1"/>
  <c r="J176" i="3"/>
  <c r="K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E177" i="3"/>
  <c r="F177" i="3"/>
  <c r="G177" i="3"/>
  <c r="H177" i="3"/>
  <c r="I177" i="3"/>
  <c r="J177" i="3"/>
  <c r="K177" i="3"/>
  <c r="N177" i="3"/>
  <c r="O177" i="3"/>
  <c r="P177" i="3"/>
  <c r="Q177" i="3"/>
  <c r="R177" i="3"/>
  <c r="T177" i="3"/>
  <c r="U177" i="3"/>
  <c r="V177" i="3"/>
  <c r="W177" i="3"/>
  <c r="X177" i="3"/>
  <c r="E178" i="3"/>
  <c r="F178" i="3"/>
  <c r="G178" i="3"/>
  <c r="H178" i="3"/>
  <c r="I178" i="3"/>
  <c r="J178" i="3"/>
  <c r="K178" i="3"/>
  <c r="M178" i="3"/>
  <c r="N178" i="3"/>
  <c r="O178" i="3"/>
  <c r="P178" i="3"/>
  <c r="Q178" i="3"/>
  <c r="R178" i="3"/>
  <c r="T178" i="3"/>
  <c r="U178" i="3"/>
  <c r="V178" i="3"/>
  <c r="W178" i="3"/>
  <c r="X178" i="3"/>
  <c r="E179" i="3"/>
  <c r="E136" i="3" s="1"/>
  <c r="F179" i="3"/>
  <c r="F136" i="3" s="1"/>
  <c r="G179" i="3"/>
  <c r="G136" i="3" s="1"/>
  <c r="H179" i="3"/>
  <c r="I179" i="3"/>
  <c r="I136" i="3" s="1"/>
  <c r="J179" i="3"/>
  <c r="K179" i="3"/>
  <c r="K136" i="3" s="1"/>
  <c r="M179" i="3"/>
  <c r="M136" i="3" s="1"/>
  <c r="N179" i="3"/>
  <c r="N136" i="3" s="1"/>
  <c r="O179" i="3"/>
  <c r="O136" i="3" s="1"/>
  <c r="P179" i="3"/>
  <c r="P136" i="3" s="1"/>
  <c r="Q179" i="3"/>
  <c r="Q136" i="3" s="1"/>
  <c r="R179" i="3"/>
  <c r="R136" i="3" s="1"/>
  <c r="T179" i="3"/>
  <c r="T136" i="3" s="1"/>
  <c r="U179" i="3"/>
  <c r="U136" i="3" s="1"/>
  <c r="V179" i="3"/>
  <c r="W179" i="3"/>
  <c r="W136" i="3" s="1"/>
  <c r="X179" i="3"/>
  <c r="X136" i="3" s="1"/>
  <c r="E180" i="3"/>
  <c r="F180" i="3"/>
  <c r="G180" i="3"/>
  <c r="H180" i="3"/>
  <c r="I180" i="3"/>
  <c r="J180" i="3"/>
  <c r="K180" i="3"/>
  <c r="M180" i="3"/>
  <c r="N180" i="3"/>
  <c r="O180" i="3"/>
  <c r="P180" i="3"/>
  <c r="Q180" i="3"/>
  <c r="R180" i="3"/>
  <c r="T180" i="3"/>
  <c r="U180" i="3"/>
  <c r="V180" i="3"/>
  <c r="W180" i="3"/>
  <c r="X180" i="3"/>
  <c r="E181" i="3"/>
  <c r="E143" i="3" s="1"/>
  <c r="F181" i="3"/>
  <c r="F143" i="3" s="1"/>
  <c r="G181" i="3"/>
  <c r="G143" i="3" s="1"/>
  <c r="H181" i="3"/>
  <c r="H143" i="3" s="1"/>
  <c r="I181" i="3"/>
  <c r="I143" i="3" s="1"/>
  <c r="J181" i="3"/>
  <c r="K181" i="3"/>
  <c r="K143" i="3" s="1"/>
  <c r="M181" i="3"/>
  <c r="M143" i="3" s="1"/>
  <c r="N181" i="3"/>
  <c r="N143" i="3" s="1"/>
  <c r="O181" i="3"/>
  <c r="P181" i="3"/>
  <c r="P143" i="3" s="1"/>
  <c r="Q181" i="3"/>
  <c r="Q143" i="3" s="1"/>
  <c r="R181" i="3"/>
  <c r="R143" i="3" s="1"/>
  <c r="S181" i="3"/>
  <c r="S143" i="3" s="1"/>
  <c r="Z143" i="3" s="1"/>
  <c r="T181" i="3"/>
  <c r="T143" i="3" s="1"/>
  <c r="U181" i="3"/>
  <c r="U143" i="3" s="1"/>
  <c r="V181" i="3"/>
  <c r="W181" i="3"/>
  <c r="W143" i="3" s="1"/>
  <c r="X181" i="3"/>
  <c r="X143" i="3" s="1"/>
  <c r="E182" i="3"/>
  <c r="F182" i="3"/>
  <c r="G182" i="3"/>
  <c r="H182" i="3"/>
  <c r="I182" i="3"/>
  <c r="J182" i="3"/>
  <c r="K182" i="3"/>
  <c r="M182" i="3"/>
  <c r="N182" i="3"/>
  <c r="O182" i="3"/>
  <c r="P182" i="3"/>
  <c r="Q182" i="3"/>
  <c r="R182" i="3"/>
  <c r="T182" i="3"/>
  <c r="U182" i="3"/>
  <c r="V182" i="3"/>
  <c r="W182" i="3"/>
  <c r="X182" i="3"/>
  <c r="E183" i="3"/>
  <c r="E144" i="3" s="1"/>
  <c r="F183" i="3"/>
  <c r="F144" i="3" s="1"/>
  <c r="G183" i="3"/>
  <c r="G144" i="3" s="1"/>
  <c r="H183" i="3"/>
  <c r="H144" i="3" s="1"/>
  <c r="I183" i="3"/>
  <c r="I144" i="3" s="1"/>
  <c r="J183" i="3"/>
  <c r="J144" i="3" s="1"/>
  <c r="K183" i="3"/>
  <c r="K144" i="3" s="1"/>
  <c r="M183" i="3"/>
  <c r="M144" i="3" s="1"/>
  <c r="N183" i="3"/>
  <c r="N144" i="3" s="1"/>
  <c r="O183" i="3"/>
  <c r="O144" i="3" s="1"/>
  <c r="P183" i="3"/>
  <c r="P144" i="3" s="1"/>
  <c r="Q183" i="3"/>
  <c r="Q144" i="3" s="1"/>
  <c r="R183" i="3"/>
  <c r="R144" i="3" s="1"/>
  <c r="T183" i="3"/>
  <c r="T144" i="3" s="1"/>
  <c r="U183" i="3"/>
  <c r="U144" i="3" s="1"/>
  <c r="V183" i="3"/>
  <c r="V144" i="3" s="1"/>
  <c r="W183" i="3"/>
  <c r="W144" i="3" s="1"/>
  <c r="X183" i="3"/>
  <c r="X144" i="3" s="1"/>
  <c r="E184" i="3"/>
  <c r="F184" i="3"/>
  <c r="G184" i="3"/>
  <c r="H184" i="3"/>
  <c r="I184" i="3"/>
  <c r="L184" i="3" s="1"/>
  <c r="J184" i="3"/>
  <c r="K184" i="3"/>
  <c r="M184" i="3"/>
  <c r="N184" i="3"/>
  <c r="O184" i="3"/>
  <c r="P184" i="3"/>
  <c r="Q184" i="3"/>
  <c r="R184" i="3"/>
  <c r="T184" i="3"/>
  <c r="U184" i="3"/>
  <c r="V184" i="3"/>
  <c r="W184" i="3"/>
  <c r="X184" i="3"/>
  <c r="E185" i="3"/>
  <c r="F185" i="3"/>
  <c r="G185" i="3"/>
  <c r="H185" i="3"/>
  <c r="I185" i="3"/>
  <c r="Z185" i="3" s="1"/>
  <c r="J185" i="3"/>
  <c r="K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E186" i="3"/>
  <c r="F186" i="3"/>
  <c r="G186" i="3"/>
  <c r="H186" i="3"/>
  <c r="I186" i="3"/>
  <c r="Z186" i="3" s="1"/>
  <c r="J186" i="3"/>
  <c r="K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E187" i="3"/>
  <c r="F187" i="3"/>
  <c r="G187" i="3"/>
  <c r="H187" i="3"/>
  <c r="I187" i="3"/>
  <c r="I140" i="3" s="1"/>
  <c r="Z140" i="3" s="1"/>
  <c r="J187" i="3"/>
  <c r="K187" i="3"/>
  <c r="M187" i="3"/>
  <c r="N187" i="3"/>
  <c r="O187" i="3"/>
  <c r="P187" i="3"/>
  <c r="Q187" i="3"/>
  <c r="R187" i="3"/>
  <c r="S187" i="3"/>
  <c r="T187" i="3"/>
  <c r="U187" i="3"/>
  <c r="U140" i="3" s="1"/>
  <c r="V187" i="3"/>
  <c r="W187" i="3"/>
  <c r="X187" i="3"/>
  <c r="F189" i="3"/>
  <c r="K189" i="3"/>
  <c r="M189" i="3"/>
  <c r="N189" i="3"/>
  <c r="R189" i="3"/>
  <c r="W189" i="3"/>
  <c r="E190" i="3"/>
  <c r="E188" i="3" s="1"/>
  <c r="F190" i="3"/>
  <c r="F188" i="3" s="1"/>
  <c r="G190" i="3"/>
  <c r="H190" i="3"/>
  <c r="H188" i="3" s="1"/>
  <c r="I190" i="3"/>
  <c r="L190" i="3" s="1"/>
  <c r="J190" i="3"/>
  <c r="K190" i="3"/>
  <c r="K188" i="3" s="1"/>
  <c r="M190" i="3"/>
  <c r="M188" i="3" s="1"/>
  <c r="N190" i="3"/>
  <c r="O190" i="3"/>
  <c r="O188" i="3" s="1"/>
  <c r="P190" i="3"/>
  <c r="Q190" i="3"/>
  <c r="Q188" i="3" s="1"/>
  <c r="R190" i="3"/>
  <c r="R188" i="3" s="1"/>
  <c r="T190" i="3"/>
  <c r="T188" i="3" s="1"/>
  <c r="U190" i="3"/>
  <c r="V190" i="3"/>
  <c r="V188" i="3" s="1"/>
  <c r="W190" i="3"/>
  <c r="W188" i="3" s="1"/>
  <c r="X190" i="3"/>
  <c r="E191" i="3"/>
  <c r="F191" i="3"/>
  <c r="G191" i="3"/>
  <c r="G188" i="3" s="1"/>
  <c r="H191" i="3"/>
  <c r="I191" i="3"/>
  <c r="J191" i="3"/>
  <c r="K191" i="3"/>
  <c r="M191" i="3"/>
  <c r="N191" i="3"/>
  <c r="O191" i="3"/>
  <c r="P191" i="3"/>
  <c r="Q191" i="3"/>
  <c r="R191" i="3"/>
  <c r="T191" i="3"/>
  <c r="U191" i="3"/>
  <c r="V191" i="3"/>
  <c r="W191" i="3"/>
  <c r="X191" i="3"/>
  <c r="E192" i="3"/>
  <c r="E189" i="3" s="1"/>
  <c r="F192" i="3"/>
  <c r="G192" i="3"/>
  <c r="G189" i="3" s="1"/>
  <c r="H192" i="3"/>
  <c r="H189" i="3" s="1"/>
  <c r="I192" i="3"/>
  <c r="I189" i="3" s="1"/>
  <c r="Z189" i="3" s="1"/>
  <c r="J192" i="3"/>
  <c r="J189" i="3" s="1"/>
  <c r="K192" i="3"/>
  <c r="M192" i="3"/>
  <c r="N192" i="3"/>
  <c r="O192" i="3"/>
  <c r="O189" i="3" s="1"/>
  <c r="P192" i="3"/>
  <c r="P189" i="3" s="1"/>
  <c r="Q192" i="3"/>
  <c r="Q189" i="3" s="1"/>
  <c r="R192" i="3"/>
  <c r="S192" i="3"/>
  <c r="S189" i="3" s="1"/>
  <c r="T192" i="3"/>
  <c r="T189" i="3" s="1"/>
  <c r="U192" i="3"/>
  <c r="U189" i="3" s="1"/>
  <c r="V192" i="3"/>
  <c r="V189" i="3" s="1"/>
  <c r="W192" i="3"/>
  <c r="X192" i="3"/>
  <c r="X189" i="3" s="1"/>
  <c r="E193" i="3"/>
  <c r="F193" i="3"/>
  <c r="G193" i="3"/>
  <c r="H193" i="3"/>
  <c r="I193" i="3"/>
  <c r="J193" i="3"/>
  <c r="K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E194" i="3"/>
  <c r="F194" i="3"/>
  <c r="G194" i="3"/>
  <c r="H194" i="3"/>
  <c r="I194" i="3"/>
  <c r="I188" i="3" s="1"/>
  <c r="L188" i="3" s="1"/>
  <c r="J194" i="3"/>
  <c r="K194" i="3"/>
  <c r="M194" i="3"/>
  <c r="N194" i="3"/>
  <c r="O194" i="3"/>
  <c r="P194" i="3"/>
  <c r="P188" i="3" s="1"/>
  <c r="Q194" i="3"/>
  <c r="R194" i="3"/>
  <c r="S194" i="3"/>
  <c r="T194" i="3"/>
  <c r="U194" i="3"/>
  <c r="U188" i="3" s="1"/>
  <c r="V194" i="3"/>
  <c r="W194" i="3"/>
  <c r="X194" i="3"/>
  <c r="F195" i="3"/>
  <c r="R195" i="3"/>
  <c r="E197" i="3"/>
  <c r="G197" i="3"/>
  <c r="H197" i="3"/>
  <c r="J197" i="3"/>
  <c r="O197" i="3"/>
  <c r="Q197" i="3"/>
  <c r="V197" i="3"/>
  <c r="E198" i="3"/>
  <c r="F198" i="3"/>
  <c r="G198" i="3"/>
  <c r="H198" i="3"/>
  <c r="H195" i="3" s="1"/>
  <c r="I198" i="3"/>
  <c r="J198" i="3"/>
  <c r="K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E199" i="3"/>
  <c r="F199" i="3"/>
  <c r="G199" i="3"/>
  <c r="H199" i="3"/>
  <c r="I199" i="3"/>
  <c r="Z199" i="3" s="1"/>
  <c r="J199" i="3"/>
  <c r="K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E200" i="3"/>
  <c r="F200" i="3"/>
  <c r="G200" i="3"/>
  <c r="H200" i="3"/>
  <c r="I200" i="3"/>
  <c r="J200" i="3"/>
  <c r="K200" i="3"/>
  <c r="M200" i="3"/>
  <c r="M195" i="3" s="1"/>
  <c r="N200" i="3"/>
  <c r="O200" i="3"/>
  <c r="P200" i="3"/>
  <c r="Q200" i="3"/>
  <c r="R200" i="3"/>
  <c r="T200" i="3"/>
  <c r="U200" i="3"/>
  <c r="V200" i="3"/>
  <c r="W200" i="3"/>
  <c r="X200" i="3"/>
  <c r="E201" i="3"/>
  <c r="F201" i="3"/>
  <c r="F197" i="3" s="1"/>
  <c r="G201" i="3"/>
  <c r="H201" i="3"/>
  <c r="I201" i="3"/>
  <c r="I197" i="3" s="1"/>
  <c r="J201" i="3"/>
  <c r="K201" i="3"/>
  <c r="K197" i="3" s="1"/>
  <c r="M201" i="3"/>
  <c r="M197" i="3" s="1"/>
  <c r="N201" i="3"/>
  <c r="N197" i="3" s="1"/>
  <c r="O201" i="3"/>
  <c r="P201" i="3"/>
  <c r="P197" i="3" s="1"/>
  <c r="Q201" i="3"/>
  <c r="R201" i="3"/>
  <c r="R197" i="3" s="1"/>
  <c r="T201" i="3"/>
  <c r="T197" i="3" s="1"/>
  <c r="U201" i="3"/>
  <c r="U197" i="3" s="1"/>
  <c r="V201" i="3"/>
  <c r="W201" i="3"/>
  <c r="W197" i="3" s="1"/>
  <c r="X201" i="3"/>
  <c r="X197" i="3" s="1"/>
  <c r="E202" i="3"/>
  <c r="E196" i="3" s="1"/>
  <c r="F202" i="3"/>
  <c r="F196" i="3" s="1"/>
  <c r="G202" i="3"/>
  <c r="G196" i="3" s="1"/>
  <c r="H202" i="3"/>
  <c r="H196" i="3" s="1"/>
  <c r="I202" i="3"/>
  <c r="I196" i="3" s="1"/>
  <c r="J202" i="3"/>
  <c r="J196" i="3" s="1"/>
  <c r="K202" i="3"/>
  <c r="K196" i="3" s="1"/>
  <c r="M202" i="3"/>
  <c r="M196" i="3" s="1"/>
  <c r="N202" i="3"/>
  <c r="N196" i="3" s="1"/>
  <c r="O202" i="3"/>
  <c r="O196" i="3" s="1"/>
  <c r="P202" i="3"/>
  <c r="P196" i="3" s="1"/>
  <c r="Q202" i="3"/>
  <c r="Q196" i="3" s="1"/>
  <c r="R202" i="3"/>
  <c r="R196" i="3" s="1"/>
  <c r="S202" i="3"/>
  <c r="S196" i="3" s="1"/>
  <c r="T202" i="3"/>
  <c r="T196" i="3" s="1"/>
  <c r="U202" i="3"/>
  <c r="U196" i="3" s="1"/>
  <c r="V202" i="3"/>
  <c r="V196" i="3" s="1"/>
  <c r="W202" i="3"/>
  <c r="W196" i="3" s="1"/>
  <c r="X202" i="3"/>
  <c r="X196" i="3" s="1"/>
  <c r="E203" i="3"/>
  <c r="F203" i="3"/>
  <c r="G203" i="3"/>
  <c r="H203" i="3"/>
  <c r="I203" i="3"/>
  <c r="Z203" i="3" s="1"/>
  <c r="J203" i="3"/>
  <c r="K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E204" i="3"/>
  <c r="F204" i="3"/>
  <c r="G204" i="3"/>
  <c r="H204" i="3"/>
  <c r="I204" i="3"/>
  <c r="J204" i="3"/>
  <c r="K204" i="3"/>
  <c r="M204" i="3"/>
  <c r="N204" i="3"/>
  <c r="O204" i="3"/>
  <c r="P204" i="3"/>
  <c r="Q204" i="3"/>
  <c r="R204" i="3"/>
  <c r="T204" i="3"/>
  <c r="U204" i="3"/>
  <c r="V204" i="3"/>
  <c r="W204" i="3"/>
  <c r="W195" i="3" s="1"/>
  <c r="X204" i="3"/>
  <c r="E205" i="3"/>
  <c r="F205" i="3"/>
  <c r="G205" i="3"/>
  <c r="H205" i="3"/>
  <c r="I205" i="3"/>
  <c r="Z205" i="3" s="1"/>
  <c r="J205" i="3"/>
  <c r="K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F207" i="3"/>
  <c r="K207" i="3"/>
  <c r="R207" i="3"/>
  <c r="W207" i="3"/>
  <c r="E209" i="3"/>
  <c r="F209" i="3"/>
  <c r="G209" i="3"/>
  <c r="H209" i="3"/>
  <c r="I209" i="3"/>
  <c r="J209" i="3"/>
  <c r="K209" i="3"/>
  <c r="N209" i="3"/>
  <c r="O209" i="3"/>
  <c r="P209" i="3"/>
  <c r="Q209" i="3"/>
  <c r="R209" i="3"/>
  <c r="T209" i="3"/>
  <c r="U209" i="3"/>
  <c r="V209" i="3"/>
  <c r="W209" i="3"/>
  <c r="X209" i="3"/>
  <c r="E210" i="3"/>
  <c r="F210" i="3"/>
  <c r="G210" i="3"/>
  <c r="H210" i="3"/>
  <c r="I210" i="3"/>
  <c r="J210" i="3"/>
  <c r="K210" i="3"/>
  <c r="N210" i="3"/>
  <c r="O210" i="3"/>
  <c r="P210" i="3"/>
  <c r="Q210" i="3"/>
  <c r="R210" i="3"/>
  <c r="T210" i="3"/>
  <c r="U210" i="3"/>
  <c r="V210" i="3"/>
  <c r="W210" i="3"/>
  <c r="X210" i="3"/>
  <c r="E211" i="3"/>
  <c r="F211" i="3"/>
  <c r="G211" i="3"/>
  <c r="G207" i="3" s="1"/>
  <c r="H211" i="3"/>
  <c r="H207" i="3" s="1"/>
  <c r="I211" i="3"/>
  <c r="J211" i="3"/>
  <c r="J207" i="3" s="1"/>
  <c r="K211" i="3"/>
  <c r="M211" i="3"/>
  <c r="N211" i="3"/>
  <c r="N207" i="3" s="1"/>
  <c r="O211" i="3"/>
  <c r="P211" i="3"/>
  <c r="Q211" i="3"/>
  <c r="R211" i="3"/>
  <c r="T211" i="3"/>
  <c r="T207" i="3" s="1"/>
  <c r="U211" i="3"/>
  <c r="U207" i="3" s="1"/>
  <c r="V211" i="3"/>
  <c r="V207" i="3" s="1"/>
  <c r="W211" i="3"/>
  <c r="X211" i="3"/>
  <c r="E212" i="3"/>
  <c r="F212" i="3"/>
  <c r="G212" i="3"/>
  <c r="H212" i="3"/>
  <c r="I212" i="3"/>
  <c r="J212" i="3"/>
  <c r="K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E213" i="3"/>
  <c r="F213" i="3"/>
  <c r="G213" i="3"/>
  <c r="H213" i="3"/>
  <c r="I213" i="3"/>
  <c r="J213" i="3"/>
  <c r="K213" i="3"/>
  <c r="M213" i="3"/>
  <c r="N213" i="3"/>
  <c r="O213" i="3"/>
  <c r="P213" i="3"/>
  <c r="Q213" i="3"/>
  <c r="R213" i="3"/>
  <c r="T213" i="3"/>
  <c r="U213" i="3"/>
  <c r="V213" i="3"/>
  <c r="W213" i="3"/>
  <c r="X213" i="3"/>
  <c r="E214" i="3"/>
  <c r="F214" i="3"/>
  <c r="G214" i="3"/>
  <c r="H214" i="3"/>
  <c r="I214" i="3"/>
  <c r="Z214" i="3" s="1"/>
  <c r="J214" i="3"/>
  <c r="K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E215" i="3"/>
  <c r="F215" i="3"/>
  <c r="G215" i="3"/>
  <c r="H215" i="3"/>
  <c r="I215" i="3"/>
  <c r="J215" i="3"/>
  <c r="K215" i="3"/>
  <c r="M215" i="3"/>
  <c r="N215" i="3"/>
  <c r="O215" i="3"/>
  <c r="P215" i="3"/>
  <c r="Q215" i="3"/>
  <c r="R215" i="3"/>
  <c r="T215" i="3"/>
  <c r="U215" i="3"/>
  <c r="V215" i="3"/>
  <c r="W215" i="3"/>
  <c r="X215" i="3"/>
  <c r="E216" i="3"/>
  <c r="F216" i="3"/>
  <c r="G216" i="3"/>
  <c r="H216" i="3"/>
  <c r="I216" i="3"/>
  <c r="Z216" i="3" s="1"/>
  <c r="J216" i="3"/>
  <c r="K216" i="3"/>
  <c r="M216" i="3"/>
  <c r="M207" i="3" s="1"/>
  <c r="N216" i="3"/>
  <c r="O216" i="3"/>
  <c r="O207" i="3" s="1"/>
  <c r="P216" i="3"/>
  <c r="P207" i="3" s="1"/>
  <c r="Q216" i="3"/>
  <c r="R216" i="3"/>
  <c r="S216" i="3"/>
  <c r="T216" i="3"/>
  <c r="U216" i="3"/>
  <c r="V216" i="3"/>
  <c r="W216" i="3"/>
  <c r="X216" i="3"/>
  <c r="E217" i="3"/>
  <c r="F217" i="3"/>
  <c r="G217" i="3"/>
  <c r="H217" i="3"/>
  <c r="I217" i="3"/>
  <c r="J217" i="3"/>
  <c r="K217" i="3"/>
  <c r="M217" i="3"/>
  <c r="N217" i="3"/>
  <c r="O217" i="3"/>
  <c r="P217" i="3"/>
  <c r="Q217" i="3"/>
  <c r="R217" i="3"/>
  <c r="T217" i="3"/>
  <c r="U217" i="3"/>
  <c r="V217" i="3"/>
  <c r="W217" i="3"/>
  <c r="X217" i="3"/>
  <c r="E218" i="3"/>
  <c r="F218" i="3"/>
  <c r="G218" i="3"/>
  <c r="H218" i="3"/>
  <c r="I218" i="3"/>
  <c r="J218" i="3"/>
  <c r="K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E219" i="3"/>
  <c r="F219" i="3"/>
  <c r="G219" i="3"/>
  <c r="H219" i="3"/>
  <c r="I219" i="3"/>
  <c r="J219" i="3"/>
  <c r="K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E220" i="3"/>
  <c r="E208" i="3" s="1"/>
  <c r="F220" i="3"/>
  <c r="F208" i="3" s="1"/>
  <c r="G220" i="3"/>
  <c r="G208" i="3" s="1"/>
  <c r="H220" i="3"/>
  <c r="H208" i="3" s="1"/>
  <c r="I220" i="3"/>
  <c r="I208" i="3" s="1"/>
  <c r="J220" i="3"/>
  <c r="J208" i="3" s="1"/>
  <c r="K220" i="3"/>
  <c r="K208" i="3" s="1"/>
  <c r="M220" i="3"/>
  <c r="M208" i="3" s="1"/>
  <c r="N220" i="3"/>
  <c r="N208" i="3" s="1"/>
  <c r="O220" i="3"/>
  <c r="O208" i="3" s="1"/>
  <c r="P220" i="3"/>
  <c r="P208" i="3" s="1"/>
  <c r="Q220" i="3"/>
  <c r="Q208" i="3" s="1"/>
  <c r="R220" i="3"/>
  <c r="R208" i="3" s="1"/>
  <c r="S220" i="3"/>
  <c r="S208" i="3" s="1"/>
  <c r="T220" i="3"/>
  <c r="T208" i="3" s="1"/>
  <c r="U220" i="3"/>
  <c r="U208" i="3" s="1"/>
  <c r="V220" i="3"/>
  <c r="V208" i="3" s="1"/>
  <c r="W220" i="3"/>
  <c r="W208" i="3" s="1"/>
  <c r="X220" i="3"/>
  <c r="X208" i="3" s="1"/>
  <c r="E221" i="3"/>
  <c r="F221" i="3"/>
  <c r="G221" i="3"/>
  <c r="H221" i="3"/>
  <c r="I221" i="3"/>
  <c r="J221" i="3"/>
  <c r="K221" i="3"/>
  <c r="M221" i="3"/>
  <c r="N221" i="3"/>
  <c r="O221" i="3"/>
  <c r="P221" i="3"/>
  <c r="Q221" i="3"/>
  <c r="R221" i="3"/>
  <c r="T221" i="3"/>
  <c r="U221" i="3"/>
  <c r="V221" i="3"/>
  <c r="W221" i="3"/>
  <c r="X221" i="3"/>
  <c r="E222" i="3"/>
  <c r="F222" i="3"/>
  <c r="G222" i="3"/>
  <c r="H222" i="3"/>
  <c r="I222" i="3"/>
  <c r="L222" i="3" s="1"/>
  <c r="J222" i="3"/>
  <c r="K222" i="3"/>
  <c r="M222" i="3"/>
  <c r="N222" i="3"/>
  <c r="O222" i="3"/>
  <c r="P222" i="3"/>
  <c r="Q222" i="3"/>
  <c r="R222" i="3"/>
  <c r="T222" i="3"/>
  <c r="U222" i="3"/>
  <c r="V222" i="3"/>
  <c r="W222" i="3"/>
  <c r="X222" i="3"/>
  <c r="E226" i="3"/>
  <c r="F226" i="3"/>
  <c r="G226" i="3"/>
  <c r="H226" i="3"/>
  <c r="I226" i="3"/>
  <c r="J226" i="3"/>
  <c r="K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E227" i="3"/>
  <c r="G227" i="3"/>
  <c r="S227" i="3"/>
  <c r="I228" i="3"/>
  <c r="F230" i="3"/>
  <c r="M230" i="3"/>
  <c r="R230" i="3"/>
  <c r="T231" i="3"/>
  <c r="F234" i="3"/>
  <c r="G234" i="3"/>
  <c r="H234" i="3"/>
  <c r="N234" i="3"/>
  <c r="N223" i="3" s="1"/>
  <c r="O234" i="3"/>
  <c r="R234" i="3"/>
  <c r="S234" i="3"/>
  <c r="T234" i="3"/>
  <c r="U234" i="3"/>
  <c r="X234" i="3"/>
  <c r="E235" i="3"/>
  <c r="E234" i="3" s="1"/>
  <c r="F235" i="3"/>
  <c r="G235" i="3"/>
  <c r="H235" i="3"/>
  <c r="I235" i="3"/>
  <c r="Z235" i="3" s="1"/>
  <c r="J235" i="3"/>
  <c r="J234" i="3" s="1"/>
  <c r="K235" i="3"/>
  <c r="K234" i="3" s="1"/>
  <c r="M235" i="3"/>
  <c r="M234" i="3" s="1"/>
  <c r="N235" i="3"/>
  <c r="O235" i="3"/>
  <c r="P235" i="3"/>
  <c r="P234" i="3" s="1"/>
  <c r="Q235" i="3"/>
  <c r="Q234" i="3" s="1"/>
  <c r="R235" i="3"/>
  <c r="S235" i="3"/>
  <c r="T235" i="3"/>
  <c r="U235" i="3"/>
  <c r="V235" i="3"/>
  <c r="V234" i="3" s="1"/>
  <c r="W235" i="3"/>
  <c r="W234" i="3" s="1"/>
  <c r="X235" i="3"/>
  <c r="F236" i="3"/>
  <c r="H237" i="3"/>
  <c r="H224" i="3" s="1"/>
  <c r="M237" i="3"/>
  <c r="M224" i="3" s="1"/>
  <c r="N237" i="3"/>
  <c r="N224" i="3" s="1"/>
  <c r="O237" i="3"/>
  <c r="O224" i="3" s="1"/>
  <c r="T237" i="3"/>
  <c r="T224" i="3" s="1"/>
  <c r="X237" i="3"/>
  <c r="X224" i="3" s="1"/>
  <c r="E238" i="3"/>
  <c r="E225" i="3" s="1"/>
  <c r="J238" i="3"/>
  <c r="J225" i="3" s="1"/>
  <c r="P238" i="3"/>
  <c r="P225" i="3" s="1"/>
  <c r="Q238" i="3"/>
  <c r="Q225" i="3" s="1"/>
  <c r="V238" i="3"/>
  <c r="V225" i="3" s="1"/>
  <c r="F239" i="3"/>
  <c r="F228" i="3" s="1"/>
  <c r="G239" i="3"/>
  <c r="G228" i="3" s="1"/>
  <c r="I239" i="3"/>
  <c r="R239" i="3"/>
  <c r="R228" i="3" s="1"/>
  <c r="H240" i="3"/>
  <c r="I240" i="3"/>
  <c r="N240" i="3"/>
  <c r="O240" i="3"/>
  <c r="U240" i="3"/>
  <c r="U229" i="3" s="1"/>
  <c r="J241" i="3"/>
  <c r="J230" i="3" s="1"/>
  <c r="K241" i="3"/>
  <c r="K230" i="3" s="1"/>
  <c r="M241" i="3"/>
  <c r="P241" i="3"/>
  <c r="P230" i="3" s="1"/>
  <c r="V241" i="3"/>
  <c r="V230" i="3" s="1"/>
  <c r="W241" i="3"/>
  <c r="W230" i="3" s="1"/>
  <c r="E242" i="3"/>
  <c r="F242" i="3"/>
  <c r="G242" i="3"/>
  <c r="H242" i="3"/>
  <c r="H236" i="3" s="1"/>
  <c r="I242" i="3"/>
  <c r="J242" i="3"/>
  <c r="K242" i="3"/>
  <c r="M242" i="3"/>
  <c r="M236" i="3" s="1"/>
  <c r="N242" i="3"/>
  <c r="N236" i="3" s="1"/>
  <c r="O242" i="3"/>
  <c r="P242" i="3"/>
  <c r="Q242" i="3"/>
  <c r="R242" i="3"/>
  <c r="R236" i="3" s="1"/>
  <c r="T242" i="3"/>
  <c r="U242" i="3"/>
  <c r="V242" i="3"/>
  <c r="W242" i="3"/>
  <c r="X242" i="3"/>
  <c r="E243" i="3"/>
  <c r="F243" i="3"/>
  <c r="G243" i="3"/>
  <c r="H243" i="3"/>
  <c r="I243" i="3"/>
  <c r="J243" i="3"/>
  <c r="K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E244" i="3"/>
  <c r="F244" i="3"/>
  <c r="G244" i="3"/>
  <c r="H244" i="3"/>
  <c r="I244" i="3"/>
  <c r="J244" i="3"/>
  <c r="K244" i="3"/>
  <c r="M244" i="3"/>
  <c r="N244" i="3"/>
  <c r="O244" i="3"/>
  <c r="P244" i="3"/>
  <c r="Q244" i="3"/>
  <c r="R244" i="3"/>
  <c r="T244" i="3"/>
  <c r="U244" i="3"/>
  <c r="V244" i="3"/>
  <c r="W244" i="3"/>
  <c r="X244" i="3"/>
  <c r="E245" i="3"/>
  <c r="F245" i="3"/>
  <c r="F240" i="3" s="1"/>
  <c r="G245" i="3"/>
  <c r="G240" i="3" s="1"/>
  <c r="H245" i="3"/>
  <c r="I245" i="3"/>
  <c r="J245" i="3"/>
  <c r="K245" i="3"/>
  <c r="M245" i="3"/>
  <c r="N245" i="3"/>
  <c r="O245" i="3"/>
  <c r="P245" i="3"/>
  <c r="Q245" i="3"/>
  <c r="R245" i="3"/>
  <c r="R240" i="3" s="1"/>
  <c r="T245" i="3"/>
  <c r="U245" i="3"/>
  <c r="V245" i="3"/>
  <c r="W245" i="3"/>
  <c r="X245" i="3"/>
  <c r="E246" i="3"/>
  <c r="F246" i="3"/>
  <c r="F238" i="3" s="1"/>
  <c r="F225" i="3" s="1"/>
  <c r="G246" i="3"/>
  <c r="G238" i="3" s="1"/>
  <c r="G225" i="3" s="1"/>
  <c r="H246" i="3"/>
  <c r="H238" i="3" s="1"/>
  <c r="H225" i="3" s="1"/>
  <c r="I246" i="3"/>
  <c r="I238" i="3" s="1"/>
  <c r="I225" i="3" s="1"/>
  <c r="J246" i="3"/>
  <c r="K246" i="3"/>
  <c r="M246" i="3"/>
  <c r="N246" i="3"/>
  <c r="N238" i="3" s="1"/>
  <c r="N225" i="3" s="1"/>
  <c r="O246" i="3"/>
  <c r="P246" i="3"/>
  <c r="Q246" i="3"/>
  <c r="R246" i="3"/>
  <c r="R238" i="3" s="1"/>
  <c r="R225" i="3" s="1"/>
  <c r="S246" i="3"/>
  <c r="S238" i="3" s="1"/>
  <c r="S225" i="3" s="1"/>
  <c r="T246" i="3"/>
  <c r="T238" i="3" s="1"/>
  <c r="T225" i="3" s="1"/>
  <c r="U246" i="3"/>
  <c r="U238" i="3" s="1"/>
  <c r="U225" i="3" s="1"/>
  <c r="V246" i="3"/>
  <c r="W246" i="3"/>
  <c r="X246" i="3"/>
  <c r="X238" i="3" s="1"/>
  <c r="X225" i="3" s="1"/>
  <c r="E247" i="3"/>
  <c r="F247" i="3"/>
  <c r="G247" i="3"/>
  <c r="H247" i="3"/>
  <c r="I247" i="3"/>
  <c r="J247" i="3"/>
  <c r="K247" i="3"/>
  <c r="M247" i="3"/>
  <c r="N247" i="3"/>
  <c r="O247" i="3"/>
  <c r="P247" i="3"/>
  <c r="Q247" i="3"/>
  <c r="R247" i="3"/>
  <c r="S247" i="3"/>
  <c r="Z247" i="3" s="1"/>
  <c r="T247" i="3"/>
  <c r="U247" i="3"/>
  <c r="V247" i="3"/>
  <c r="W247" i="3"/>
  <c r="X247" i="3"/>
  <c r="E248" i="3"/>
  <c r="F248" i="3"/>
  <c r="G248" i="3"/>
  <c r="H248" i="3"/>
  <c r="I248" i="3"/>
  <c r="J248" i="3"/>
  <c r="K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E249" i="3"/>
  <c r="F249" i="3"/>
  <c r="G249" i="3"/>
  <c r="H249" i="3"/>
  <c r="I249" i="3"/>
  <c r="J249" i="3"/>
  <c r="K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E250" i="3"/>
  <c r="F250" i="3"/>
  <c r="G250" i="3"/>
  <c r="H250" i="3"/>
  <c r="I250" i="3"/>
  <c r="J250" i="3"/>
  <c r="K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E251" i="3"/>
  <c r="F251" i="3"/>
  <c r="G251" i="3"/>
  <c r="H251" i="3"/>
  <c r="I251" i="3"/>
  <c r="J251" i="3"/>
  <c r="K251" i="3"/>
  <c r="M251" i="3"/>
  <c r="N251" i="3"/>
  <c r="O251" i="3"/>
  <c r="P251" i="3"/>
  <c r="Q251" i="3"/>
  <c r="R251" i="3"/>
  <c r="T251" i="3"/>
  <c r="U251" i="3"/>
  <c r="V251" i="3"/>
  <c r="W251" i="3"/>
  <c r="X251" i="3"/>
  <c r="E252" i="3"/>
  <c r="F252" i="3"/>
  <c r="G252" i="3"/>
  <c r="H252" i="3"/>
  <c r="I252" i="3"/>
  <c r="J252" i="3"/>
  <c r="K252" i="3"/>
  <c r="M252" i="3"/>
  <c r="N252" i="3"/>
  <c r="O252" i="3"/>
  <c r="P252" i="3"/>
  <c r="Q252" i="3"/>
  <c r="R252" i="3"/>
  <c r="T252" i="3"/>
  <c r="U252" i="3"/>
  <c r="V252" i="3"/>
  <c r="W252" i="3"/>
  <c r="X252" i="3"/>
  <c r="E253" i="3"/>
  <c r="E240" i="3" s="1"/>
  <c r="F253" i="3"/>
  <c r="G253" i="3"/>
  <c r="H253" i="3"/>
  <c r="I253" i="3"/>
  <c r="J253" i="3"/>
  <c r="J240" i="3" s="1"/>
  <c r="K253" i="3"/>
  <c r="K240" i="3" s="1"/>
  <c r="M253" i="3"/>
  <c r="N253" i="3"/>
  <c r="O253" i="3"/>
  <c r="P253" i="3"/>
  <c r="P240" i="3" s="1"/>
  <c r="Q253" i="3"/>
  <c r="Q240" i="3" s="1"/>
  <c r="R253" i="3"/>
  <c r="T253" i="3"/>
  <c r="T240" i="3" s="1"/>
  <c r="U253" i="3"/>
  <c r="V253" i="3"/>
  <c r="V240" i="3" s="1"/>
  <c r="W253" i="3"/>
  <c r="W240" i="3" s="1"/>
  <c r="X253" i="3"/>
  <c r="E254" i="3"/>
  <c r="F254" i="3"/>
  <c r="G254" i="3"/>
  <c r="H254" i="3"/>
  <c r="I254" i="3"/>
  <c r="J254" i="3"/>
  <c r="K254" i="3"/>
  <c r="M254" i="3"/>
  <c r="N254" i="3"/>
  <c r="O254" i="3"/>
  <c r="P254" i="3"/>
  <c r="Q254" i="3"/>
  <c r="R254" i="3"/>
  <c r="T254" i="3"/>
  <c r="U254" i="3"/>
  <c r="V254" i="3"/>
  <c r="W254" i="3"/>
  <c r="X254" i="3"/>
  <c r="E255" i="3"/>
  <c r="F255" i="3"/>
  <c r="G255" i="3"/>
  <c r="H255" i="3"/>
  <c r="I255" i="3"/>
  <c r="J255" i="3"/>
  <c r="K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E256" i="3"/>
  <c r="F256" i="3"/>
  <c r="G256" i="3"/>
  <c r="H256" i="3"/>
  <c r="I256" i="3"/>
  <c r="J256" i="3"/>
  <c r="K256" i="3"/>
  <c r="M256" i="3"/>
  <c r="N256" i="3"/>
  <c r="O256" i="3"/>
  <c r="P256" i="3"/>
  <c r="Q256" i="3"/>
  <c r="R256" i="3"/>
  <c r="T256" i="3"/>
  <c r="U256" i="3"/>
  <c r="V256" i="3"/>
  <c r="W256" i="3"/>
  <c r="X256" i="3"/>
  <c r="E257" i="3"/>
  <c r="F257" i="3"/>
  <c r="G257" i="3"/>
  <c r="H257" i="3"/>
  <c r="I257" i="3"/>
  <c r="J257" i="3"/>
  <c r="K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E258" i="3"/>
  <c r="F258" i="3"/>
  <c r="G258" i="3"/>
  <c r="H258" i="3"/>
  <c r="I258" i="3"/>
  <c r="J258" i="3"/>
  <c r="K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E259" i="3"/>
  <c r="E237" i="3" s="1"/>
  <c r="E224" i="3" s="1"/>
  <c r="F259" i="3"/>
  <c r="F237" i="3" s="1"/>
  <c r="F224" i="3" s="1"/>
  <c r="G259" i="3"/>
  <c r="G237" i="3" s="1"/>
  <c r="G224" i="3" s="1"/>
  <c r="H259" i="3"/>
  <c r="I259" i="3"/>
  <c r="I237" i="3" s="1"/>
  <c r="I224" i="3" s="1"/>
  <c r="J259" i="3"/>
  <c r="J237" i="3" s="1"/>
  <c r="J224" i="3" s="1"/>
  <c r="K259" i="3"/>
  <c r="K237" i="3" s="1"/>
  <c r="K224" i="3" s="1"/>
  <c r="M259" i="3"/>
  <c r="N259" i="3"/>
  <c r="O259" i="3"/>
  <c r="P259" i="3"/>
  <c r="P237" i="3" s="1"/>
  <c r="P224" i="3" s="1"/>
  <c r="Q259" i="3"/>
  <c r="Q237" i="3" s="1"/>
  <c r="Q224" i="3" s="1"/>
  <c r="R259" i="3"/>
  <c r="R237" i="3" s="1"/>
  <c r="R224" i="3" s="1"/>
  <c r="S259" i="3"/>
  <c r="S237" i="3" s="1"/>
  <c r="S224" i="3" s="1"/>
  <c r="T259" i="3"/>
  <c r="U259" i="3"/>
  <c r="U237" i="3" s="1"/>
  <c r="U224" i="3" s="1"/>
  <c r="V259" i="3"/>
  <c r="V237" i="3" s="1"/>
  <c r="V224" i="3" s="1"/>
  <c r="W259" i="3"/>
  <c r="W237" i="3" s="1"/>
  <c r="W224" i="3" s="1"/>
  <c r="X259" i="3"/>
  <c r="E260" i="3"/>
  <c r="F260" i="3"/>
  <c r="G260" i="3"/>
  <c r="H260" i="3"/>
  <c r="I260" i="3"/>
  <c r="J260" i="3"/>
  <c r="K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E261" i="3"/>
  <c r="F261" i="3"/>
  <c r="G261" i="3"/>
  <c r="H261" i="3"/>
  <c r="I261" i="3"/>
  <c r="J261" i="3"/>
  <c r="K261" i="3"/>
  <c r="K238" i="3" s="1"/>
  <c r="K225" i="3" s="1"/>
  <c r="M261" i="3"/>
  <c r="M238" i="3" s="1"/>
  <c r="M225" i="3" s="1"/>
  <c r="N261" i="3"/>
  <c r="O261" i="3"/>
  <c r="O238" i="3" s="1"/>
  <c r="O225" i="3" s="1"/>
  <c r="P261" i="3"/>
  <c r="Q261" i="3"/>
  <c r="R261" i="3"/>
  <c r="S261" i="3"/>
  <c r="T261" i="3"/>
  <c r="U261" i="3"/>
  <c r="V261" i="3"/>
  <c r="W261" i="3"/>
  <c r="W238" i="3" s="1"/>
  <c r="W225" i="3" s="1"/>
  <c r="X261" i="3"/>
  <c r="E262" i="3"/>
  <c r="F262" i="3"/>
  <c r="G262" i="3"/>
  <c r="H262" i="3"/>
  <c r="I262" i="3"/>
  <c r="J262" i="3"/>
  <c r="K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E263" i="3"/>
  <c r="F263" i="3"/>
  <c r="G263" i="3"/>
  <c r="H263" i="3"/>
  <c r="I263" i="3"/>
  <c r="L263" i="3" s="1"/>
  <c r="J263" i="3"/>
  <c r="K263" i="3"/>
  <c r="M263" i="3"/>
  <c r="N263" i="3"/>
  <c r="O263" i="3"/>
  <c r="P263" i="3"/>
  <c r="Q263" i="3"/>
  <c r="R263" i="3"/>
  <c r="T263" i="3"/>
  <c r="U263" i="3"/>
  <c r="V263" i="3"/>
  <c r="W263" i="3"/>
  <c r="X263" i="3"/>
  <c r="E264" i="3"/>
  <c r="E241" i="3" s="1"/>
  <c r="E230" i="3" s="1"/>
  <c r="F264" i="3"/>
  <c r="F241" i="3" s="1"/>
  <c r="G264" i="3"/>
  <c r="G241" i="3" s="1"/>
  <c r="G230" i="3" s="1"/>
  <c r="H264" i="3"/>
  <c r="H241" i="3" s="1"/>
  <c r="H230" i="3" s="1"/>
  <c r="I264" i="3"/>
  <c r="I241" i="3" s="1"/>
  <c r="I230" i="3" s="1"/>
  <c r="J264" i="3"/>
  <c r="K264" i="3"/>
  <c r="M264" i="3"/>
  <c r="N264" i="3"/>
  <c r="N241" i="3" s="1"/>
  <c r="N230" i="3" s="1"/>
  <c r="O264" i="3"/>
  <c r="O241" i="3" s="1"/>
  <c r="O230" i="3" s="1"/>
  <c r="P264" i="3"/>
  <c r="Q264" i="3"/>
  <c r="Q241" i="3" s="1"/>
  <c r="Q230" i="3" s="1"/>
  <c r="R264" i="3"/>
  <c r="R241" i="3" s="1"/>
  <c r="S264" i="3"/>
  <c r="S241" i="3" s="1"/>
  <c r="S230" i="3" s="1"/>
  <c r="T264" i="3"/>
  <c r="T241" i="3" s="1"/>
  <c r="T230" i="3" s="1"/>
  <c r="U264" i="3"/>
  <c r="U241" i="3" s="1"/>
  <c r="U230" i="3" s="1"/>
  <c r="V264" i="3"/>
  <c r="W264" i="3"/>
  <c r="X264" i="3"/>
  <c r="X241" i="3" s="1"/>
  <c r="X230" i="3" s="1"/>
  <c r="E265" i="3"/>
  <c r="F265" i="3"/>
  <c r="G265" i="3"/>
  <c r="H265" i="3"/>
  <c r="I265" i="3"/>
  <c r="J265" i="3"/>
  <c r="K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E266" i="3"/>
  <c r="F266" i="3"/>
  <c r="F227" i="3" s="1"/>
  <c r="G266" i="3"/>
  <c r="H266" i="3"/>
  <c r="H227" i="3" s="1"/>
  <c r="I266" i="3"/>
  <c r="I227" i="3" s="1"/>
  <c r="J266" i="3"/>
  <c r="J227" i="3" s="1"/>
  <c r="K266" i="3"/>
  <c r="K227" i="3" s="1"/>
  <c r="M266" i="3"/>
  <c r="M227" i="3" s="1"/>
  <c r="N266" i="3"/>
  <c r="N227" i="3" s="1"/>
  <c r="O266" i="3"/>
  <c r="O227" i="3" s="1"/>
  <c r="P266" i="3"/>
  <c r="P227" i="3" s="1"/>
  <c r="Q266" i="3"/>
  <c r="Q227" i="3" s="1"/>
  <c r="R266" i="3"/>
  <c r="R227" i="3" s="1"/>
  <c r="S266" i="3"/>
  <c r="T266" i="3"/>
  <c r="T227" i="3" s="1"/>
  <c r="U266" i="3"/>
  <c r="U227" i="3" s="1"/>
  <c r="V266" i="3"/>
  <c r="V227" i="3" s="1"/>
  <c r="W266" i="3"/>
  <c r="W227" i="3" s="1"/>
  <c r="X266" i="3"/>
  <c r="X227" i="3" s="1"/>
  <c r="E267" i="3"/>
  <c r="F267" i="3"/>
  <c r="G267" i="3"/>
  <c r="H267" i="3"/>
  <c r="I267" i="3"/>
  <c r="J267" i="3"/>
  <c r="K267" i="3"/>
  <c r="M267" i="3"/>
  <c r="N267" i="3"/>
  <c r="O267" i="3"/>
  <c r="P267" i="3"/>
  <c r="Q267" i="3"/>
  <c r="R267" i="3"/>
  <c r="T267" i="3"/>
  <c r="U267" i="3"/>
  <c r="V267" i="3"/>
  <c r="W267" i="3"/>
  <c r="X267" i="3"/>
  <c r="E268" i="3"/>
  <c r="E239" i="3" s="1"/>
  <c r="E228" i="3" s="1"/>
  <c r="F268" i="3"/>
  <c r="G268" i="3"/>
  <c r="H268" i="3"/>
  <c r="H239" i="3" s="1"/>
  <c r="H228" i="3" s="1"/>
  <c r="I268" i="3"/>
  <c r="J268" i="3"/>
  <c r="J239" i="3" s="1"/>
  <c r="J228" i="3" s="1"/>
  <c r="K268" i="3"/>
  <c r="K239" i="3" s="1"/>
  <c r="K228" i="3" s="1"/>
  <c r="M268" i="3"/>
  <c r="M239" i="3" s="1"/>
  <c r="M228" i="3" s="1"/>
  <c r="N268" i="3"/>
  <c r="N239" i="3" s="1"/>
  <c r="N228" i="3" s="1"/>
  <c r="O268" i="3"/>
  <c r="O239" i="3" s="1"/>
  <c r="O228" i="3" s="1"/>
  <c r="P268" i="3"/>
  <c r="P239" i="3" s="1"/>
  <c r="P228" i="3" s="1"/>
  <c r="Q268" i="3"/>
  <c r="Q239" i="3" s="1"/>
  <c r="Q228" i="3" s="1"/>
  <c r="R268" i="3"/>
  <c r="T268" i="3"/>
  <c r="T239" i="3" s="1"/>
  <c r="T228" i="3" s="1"/>
  <c r="U268" i="3"/>
  <c r="U239" i="3" s="1"/>
  <c r="U228" i="3" s="1"/>
  <c r="V268" i="3"/>
  <c r="V239" i="3" s="1"/>
  <c r="V228" i="3" s="1"/>
  <c r="W268" i="3"/>
  <c r="W239" i="3" s="1"/>
  <c r="W228" i="3" s="1"/>
  <c r="X268" i="3"/>
  <c r="X239" i="3" s="1"/>
  <c r="X228" i="3" s="1"/>
  <c r="G269" i="3"/>
  <c r="S269" i="3"/>
  <c r="X269" i="3"/>
  <c r="H270" i="3"/>
  <c r="I270" i="3"/>
  <c r="K270" i="3"/>
  <c r="N270" i="3"/>
  <c r="T270" i="3"/>
  <c r="U270" i="3"/>
  <c r="W270" i="3"/>
  <c r="E271" i="3"/>
  <c r="F271" i="3"/>
  <c r="G271" i="3"/>
  <c r="H271" i="3"/>
  <c r="I271" i="3"/>
  <c r="J271" i="3"/>
  <c r="K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E272" i="3"/>
  <c r="F272" i="3"/>
  <c r="G272" i="3"/>
  <c r="H272" i="3"/>
  <c r="I272" i="3"/>
  <c r="J272" i="3"/>
  <c r="K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E273" i="3"/>
  <c r="F273" i="3"/>
  <c r="G273" i="3"/>
  <c r="H273" i="3"/>
  <c r="I273" i="3"/>
  <c r="J273" i="3"/>
  <c r="K273" i="3"/>
  <c r="K269" i="3" s="1"/>
  <c r="M273" i="3"/>
  <c r="N273" i="3"/>
  <c r="N269" i="3" s="1"/>
  <c r="O273" i="3"/>
  <c r="P273" i="3"/>
  <c r="Q273" i="3"/>
  <c r="R273" i="3"/>
  <c r="S273" i="3"/>
  <c r="T273" i="3"/>
  <c r="U273" i="3"/>
  <c r="U269" i="3" s="1"/>
  <c r="V273" i="3"/>
  <c r="W273" i="3"/>
  <c r="W269" i="3" s="1"/>
  <c r="X273" i="3"/>
  <c r="E274" i="3"/>
  <c r="F274" i="3"/>
  <c r="G274" i="3"/>
  <c r="H274" i="3"/>
  <c r="I274" i="3"/>
  <c r="J274" i="3"/>
  <c r="K274" i="3"/>
  <c r="M274" i="3"/>
  <c r="N274" i="3"/>
  <c r="O274" i="3"/>
  <c r="P274" i="3"/>
  <c r="P269" i="3" s="1"/>
  <c r="Q274" i="3"/>
  <c r="R274" i="3"/>
  <c r="S274" i="3"/>
  <c r="T274" i="3"/>
  <c r="U274" i="3"/>
  <c r="V274" i="3"/>
  <c r="W274" i="3"/>
  <c r="X274" i="3"/>
  <c r="E275" i="3"/>
  <c r="F275" i="3"/>
  <c r="F269" i="3" s="1"/>
  <c r="G275" i="3"/>
  <c r="H275" i="3"/>
  <c r="I275" i="3"/>
  <c r="Z275" i="3" s="1"/>
  <c r="J275" i="3"/>
  <c r="K275" i="3"/>
  <c r="M275" i="3"/>
  <c r="N275" i="3"/>
  <c r="O275" i="3"/>
  <c r="P275" i="3"/>
  <c r="Q275" i="3"/>
  <c r="R275" i="3"/>
  <c r="R269" i="3" s="1"/>
  <c r="S275" i="3"/>
  <c r="T275" i="3"/>
  <c r="U275" i="3"/>
  <c r="V275" i="3"/>
  <c r="W275" i="3"/>
  <c r="X275" i="3"/>
  <c r="E276" i="3"/>
  <c r="F276" i="3"/>
  <c r="G276" i="3"/>
  <c r="H276" i="3"/>
  <c r="I276" i="3"/>
  <c r="J276" i="3"/>
  <c r="K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E277" i="3"/>
  <c r="F277" i="3"/>
  <c r="G277" i="3"/>
  <c r="H277" i="3"/>
  <c r="I277" i="3"/>
  <c r="J277" i="3"/>
  <c r="K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E278" i="3"/>
  <c r="F278" i="3"/>
  <c r="G278" i="3"/>
  <c r="H278" i="3"/>
  <c r="I278" i="3"/>
  <c r="J278" i="3"/>
  <c r="K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E279" i="3"/>
  <c r="F279" i="3"/>
  <c r="G279" i="3"/>
  <c r="H279" i="3"/>
  <c r="I279" i="3"/>
  <c r="J279" i="3"/>
  <c r="K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E280" i="3"/>
  <c r="F280" i="3"/>
  <c r="G280" i="3"/>
  <c r="H280" i="3"/>
  <c r="I280" i="3"/>
  <c r="J280" i="3"/>
  <c r="K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E281" i="3"/>
  <c r="E270" i="3" s="1"/>
  <c r="F281" i="3"/>
  <c r="F270" i="3" s="1"/>
  <c r="G281" i="3"/>
  <c r="G270" i="3" s="1"/>
  <c r="H281" i="3"/>
  <c r="I281" i="3"/>
  <c r="J281" i="3"/>
  <c r="J270" i="3" s="1"/>
  <c r="K281" i="3"/>
  <c r="M281" i="3"/>
  <c r="M270" i="3" s="1"/>
  <c r="N281" i="3"/>
  <c r="O281" i="3"/>
  <c r="O270" i="3" s="1"/>
  <c r="P281" i="3"/>
  <c r="P270" i="3" s="1"/>
  <c r="Q281" i="3"/>
  <c r="Q270" i="3" s="1"/>
  <c r="R281" i="3"/>
  <c r="R270" i="3" s="1"/>
  <c r="S281" i="3"/>
  <c r="S270" i="3" s="1"/>
  <c r="T281" i="3"/>
  <c r="U281" i="3"/>
  <c r="V281" i="3"/>
  <c r="V270" i="3" s="1"/>
  <c r="W281" i="3"/>
  <c r="X281" i="3"/>
  <c r="X270" i="3" s="1"/>
  <c r="F282" i="3"/>
  <c r="G282" i="3"/>
  <c r="H282" i="3"/>
  <c r="N282" i="3"/>
  <c r="O282" i="3"/>
  <c r="R282" i="3"/>
  <c r="T282" i="3"/>
  <c r="U282" i="3"/>
  <c r="E283" i="3"/>
  <c r="E282" i="3" s="1"/>
  <c r="F283" i="3"/>
  <c r="G283" i="3"/>
  <c r="H283" i="3"/>
  <c r="I283" i="3"/>
  <c r="I282" i="3" s="1"/>
  <c r="L282" i="3" s="1"/>
  <c r="J283" i="3"/>
  <c r="J282" i="3" s="1"/>
  <c r="K283" i="3"/>
  <c r="K282" i="3" s="1"/>
  <c r="M283" i="3"/>
  <c r="M282" i="3" s="1"/>
  <c r="N283" i="3"/>
  <c r="O283" i="3"/>
  <c r="P283" i="3"/>
  <c r="P282" i="3" s="1"/>
  <c r="Q283" i="3"/>
  <c r="Q282" i="3" s="1"/>
  <c r="R283" i="3"/>
  <c r="T283" i="3"/>
  <c r="U283" i="3"/>
  <c r="V283" i="3"/>
  <c r="V282" i="3" s="1"/>
  <c r="W283" i="3"/>
  <c r="W282" i="3" s="1"/>
  <c r="X283" i="3"/>
  <c r="X282" i="3" s="1"/>
  <c r="H285" i="3"/>
  <c r="T285" i="3"/>
  <c r="P286" i="3"/>
  <c r="P231" i="3" s="1"/>
  <c r="V286" i="3"/>
  <c r="V231" i="3" s="1"/>
  <c r="V353" i="3" s="1"/>
  <c r="F287" i="3"/>
  <c r="F233" i="3" s="1"/>
  <c r="G287" i="3"/>
  <c r="G233" i="3" s="1"/>
  <c r="I287" i="3"/>
  <c r="I233" i="3" s="1"/>
  <c r="I353" i="3" s="1"/>
  <c r="R287" i="3"/>
  <c r="R233" i="3" s="1"/>
  <c r="U287" i="3"/>
  <c r="U233" i="3" s="1"/>
  <c r="H288" i="3"/>
  <c r="H232" i="3" s="1"/>
  <c r="H354" i="3" s="1"/>
  <c r="I288" i="3"/>
  <c r="I232" i="3" s="1"/>
  <c r="I354" i="3" s="1"/>
  <c r="K288" i="3"/>
  <c r="N288" i="3"/>
  <c r="T288" i="3"/>
  <c r="T232" i="3" s="1"/>
  <c r="U288" i="3"/>
  <c r="W288" i="3"/>
  <c r="W232" i="3" s="1"/>
  <c r="W354" i="3" s="1"/>
  <c r="E289" i="3"/>
  <c r="F289" i="3"/>
  <c r="G289" i="3"/>
  <c r="H289" i="3"/>
  <c r="I289" i="3"/>
  <c r="L289" i="3" s="1"/>
  <c r="J289" i="3"/>
  <c r="K289" i="3"/>
  <c r="M289" i="3"/>
  <c r="N289" i="3"/>
  <c r="N284" i="3" s="1"/>
  <c r="O289" i="3"/>
  <c r="P289" i="3"/>
  <c r="Q289" i="3"/>
  <c r="R289" i="3"/>
  <c r="S289" i="3"/>
  <c r="T289" i="3"/>
  <c r="U289" i="3"/>
  <c r="V289" i="3"/>
  <c r="W289" i="3"/>
  <c r="W284" i="3" s="1"/>
  <c r="X289" i="3"/>
  <c r="E290" i="3"/>
  <c r="F290" i="3"/>
  <c r="G290" i="3"/>
  <c r="H290" i="3"/>
  <c r="I290" i="3"/>
  <c r="J290" i="3"/>
  <c r="K290" i="3"/>
  <c r="M290" i="3"/>
  <c r="M284" i="3" s="1"/>
  <c r="N290" i="3"/>
  <c r="O290" i="3"/>
  <c r="O284" i="3" s="1"/>
  <c r="P290" i="3"/>
  <c r="Q290" i="3"/>
  <c r="R290" i="3"/>
  <c r="R284" i="3" s="1"/>
  <c r="T290" i="3"/>
  <c r="U290" i="3"/>
  <c r="V290" i="3"/>
  <c r="W290" i="3"/>
  <c r="X290" i="3"/>
  <c r="E291" i="3"/>
  <c r="F291" i="3"/>
  <c r="F286" i="3" s="1"/>
  <c r="F231" i="3" s="1"/>
  <c r="G291" i="3"/>
  <c r="H291" i="3"/>
  <c r="H286" i="3" s="1"/>
  <c r="H231" i="3" s="1"/>
  <c r="H353" i="3" s="1"/>
  <c r="I291" i="3"/>
  <c r="I286" i="3" s="1"/>
  <c r="I231" i="3" s="1"/>
  <c r="J291" i="3"/>
  <c r="K291" i="3"/>
  <c r="M291" i="3"/>
  <c r="M286" i="3" s="1"/>
  <c r="M231" i="3" s="1"/>
  <c r="M353" i="3" s="1"/>
  <c r="N291" i="3"/>
  <c r="O291" i="3"/>
  <c r="O286" i="3" s="1"/>
  <c r="O231" i="3" s="1"/>
  <c r="O353" i="3" s="1"/>
  <c r="P291" i="3"/>
  <c r="Q291" i="3"/>
  <c r="R291" i="3"/>
  <c r="R286" i="3" s="1"/>
  <c r="R231" i="3" s="1"/>
  <c r="S291" i="3"/>
  <c r="T291" i="3"/>
  <c r="T286" i="3" s="1"/>
  <c r="U291" i="3"/>
  <c r="U286" i="3" s="1"/>
  <c r="U231" i="3" s="1"/>
  <c r="V291" i="3"/>
  <c r="W291" i="3"/>
  <c r="X291" i="3"/>
  <c r="X286" i="3" s="1"/>
  <c r="X231" i="3" s="1"/>
  <c r="E292" i="3"/>
  <c r="E287" i="3" s="1"/>
  <c r="E233" i="3" s="1"/>
  <c r="F292" i="3"/>
  <c r="G292" i="3"/>
  <c r="H292" i="3"/>
  <c r="H287" i="3" s="1"/>
  <c r="H233" i="3" s="1"/>
  <c r="I292" i="3"/>
  <c r="J292" i="3"/>
  <c r="J287" i="3" s="1"/>
  <c r="J233" i="3" s="1"/>
  <c r="K292" i="3"/>
  <c r="K287" i="3" s="1"/>
  <c r="K233" i="3" s="1"/>
  <c r="M292" i="3"/>
  <c r="M287" i="3" s="1"/>
  <c r="M233" i="3" s="1"/>
  <c r="N292" i="3"/>
  <c r="N287" i="3" s="1"/>
  <c r="N233" i="3" s="1"/>
  <c r="O292" i="3"/>
  <c r="O287" i="3" s="1"/>
  <c r="O233" i="3" s="1"/>
  <c r="P292" i="3"/>
  <c r="P287" i="3" s="1"/>
  <c r="P233" i="3" s="1"/>
  <c r="Q292" i="3"/>
  <c r="Q287" i="3" s="1"/>
  <c r="Q233" i="3" s="1"/>
  <c r="R292" i="3"/>
  <c r="T292" i="3"/>
  <c r="T287" i="3" s="1"/>
  <c r="T233" i="3" s="1"/>
  <c r="U292" i="3"/>
  <c r="V292" i="3"/>
  <c r="V287" i="3" s="1"/>
  <c r="V233" i="3" s="1"/>
  <c r="W292" i="3"/>
  <c r="W287" i="3" s="1"/>
  <c r="W233" i="3" s="1"/>
  <c r="X292" i="3"/>
  <c r="X287" i="3" s="1"/>
  <c r="X233" i="3" s="1"/>
  <c r="E293" i="3"/>
  <c r="E288" i="3" s="1"/>
  <c r="F293" i="3"/>
  <c r="F288" i="3" s="1"/>
  <c r="F232" i="3" s="1"/>
  <c r="G293" i="3"/>
  <c r="G288" i="3" s="1"/>
  <c r="G232" i="3" s="1"/>
  <c r="G354" i="3" s="1"/>
  <c r="H293" i="3"/>
  <c r="I293" i="3"/>
  <c r="J293" i="3"/>
  <c r="J288" i="3" s="1"/>
  <c r="J232" i="3" s="1"/>
  <c r="J354" i="3" s="1"/>
  <c r="K293" i="3"/>
  <c r="M293" i="3"/>
  <c r="M288" i="3" s="1"/>
  <c r="N293" i="3"/>
  <c r="O293" i="3"/>
  <c r="O288" i="3" s="1"/>
  <c r="P293" i="3"/>
  <c r="P288" i="3" s="1"/>
  <c r="P232" i="3" s="1"/>
  <c r="P354" i="3" s="1"/>
  <c r="Q293" i="3"/>
  <c r="Q288" i="3" s="1"/>
  <c r="R293" i="3"/>
  <c r="R288" i="3" s="1"/>
  <c r="R232" i="3" s="1"/>
  <c r="S293" i="3"/>
  <c r="S288" i="3" s="1"/>
  <c r="T293" i="3"/>
  <c r="U293" i="3"/>
  <c r="V293" i="3"/>
  <c r="V288" i="3" s="1"/>
  <c r="V232" i="3" s="1"/>
  <c r="V354" i="3" s="1"/>
  <c r="W293" i="3"/>
  <c r="X293" i="3"/>
  <c r="X288" i="3" s="1"/>
  <c r="E294" i="3"/>
  <c r="F294" i="3"/>
  <c r="F284" i="3" s="1"/>
  <c r="G294" i="3"/>
  <c r="H294" i="3"/>
  <c r="I294" i="3"/>
  <c r="J294" i="3"/>
  <c r="K294" i="3"/>
  <c r="M294" i="3"/>
  <c r="N294" i="3"/>
  <c r="O294" i="3"/>
  <c r="P294" i="3"/>
  <c r="Q294" i="3"/>
  <c r="R294" i="3"/>
  <c r="T294" i="3"/>
  <c r="U294" i="3"/>
  <c r="V294" i="3"/>
  <c r="W294" i="3"/>
  <c r="X294" i="3"/>
  <c r="E295" i="3"/>
  <c r="F295" i="3"/>
  <c r="G295" i="3"/>
  <c r="H295" i="3"/>
  <c r="I295" i="3"/>
  <c r="J295" i="3"/>
  <c r="K295" i="3"/>
  <c r="M295" i="3"/>
  <c r="N295" i="3"/>
  <c r="O295" i="3"/>
  <c r="P295" i="3"/>
  <c r="Q295" i="3"/>
  <c r="R295" i="3"/>
  <c r="T295" i="3"/>
  <c r="U295" i="3"/>
  <c r="V295" i="3"/>
  <c r="W295" i="3"/>
  <c r="X295" i="3"/>
  <c r="E296" i="3"/>
  <c r="F296" i="3"/>
  <c r="G296" i="3"/>
  <c r="H296" i="3"/>
  <c r="I296" i="3"/>
  <c r="J296" i="3"/>
  <c r="K296" i="3"/>
  <c r="M296" i="3"/>
  <c r="N296" i="3"/>
  <c r="O296" i="3"/>
  <c r="P296" i="3"/>
  <c r="Q296" i="3"/>
  <c r="R296" i="3"/>
  <c r="T296" i="3"/>
  <c r="U296" i="3"/>
  <c r="V296" i="3"/>
  <c r="W296" i="3"/>
  <c r="X296" i="3"/>
  <c r="E297" i="3"/>
  <c r="E285" i="3" s="1"/>
  <c r="F297" i="3"/>
  <c r="F285" i="3" s="1"/>
  <c r="G297" i="3"/>
  <c r="G285" i="3" s="1"/>
  <c r="G229" i="3" s="1"/>
  <c r="H297" i="3"/>
  <c r="I297" i="3"/>
  <c r="J297" i="3"/>
  <c r="K297" i="3"/>
  <c r="M297" i="3"/>
  <c r="M285" i="3" s="1"/>
  <c r="N297" i="3"/>
  <c r="N285" i="3" s="1"/>
  <c r="O297" i="3"/>
  <c r="O285" i="3" s="1"/>
  <c r="P297" i="3"/>
  <c r="P285" i="3" s="1"/>
  <c r="Q297" i="3"/>
  <c r="Q285" i="3" s="1"/>
  <c r="R297" i="3"/>
  <c r="R285" i="3" s="1"/>
  <c r="T297" i="3"/>
  <c r="U297" i="3"/>
  <c r="U285" i="3" s="1"/>
  <c r="V297" i="3"/>
  <c r="W297" i="3"/>
  <c r="X297" i="3"/>
  <c r="X285" i="3" s="1"/>
  <c r="E298" i="3"/>
  <c r="E286" i="3" s="1"/>
  <c r="E231" i="3" s="1"/>
  <c r="E353" i="3" s="1"/>
  <c r="F298" i="3"/>
  <c r="G298" i="3"/>
  <c r="G286" i="3" s="1"/>
  <c r="G231" i="3" s="1"/>
  <c r="H298" i="3"/>
  <c r="I298" i="3"/>
  <c r="J298" i="3"/>
  <c r="J286" i="3" s="1"/>
  <c r="J231" i="3" s="1"/>
  <c r="J353" i="3" s="1"/>
  <c r="K298" i="3"/>
  <c r="M298" i="3"/>
  <c r="N298" i="3"/>
  <c r="O298" i="3"/>
  <c r="P298" i="3"/>
  <c r="Q298" i="3"/>
  <c r="Q286" i="3" s="1"/>
  <c r="Q231" i="3" s="1"/>
  <c r="Q353" i="3" s="1"/>
  <c r="R298" i="3"/>
  <c r="S298" i="3"/>
  <c r="S286" i="3" s="1"/>
  <c r="S231" i="3" s="1"/>
  <c r="T298" i="3"/>
  <c r="U298" i="3"/>
  <c r="V298" i="3"/>
  <c r="W298" i="3"/>
  <c r="X298" i="3"/>
  <c r="E299" i="3"/>
  <c r="F299" i="3"/>
  <c r="G299" i="3"/>
  <c r="H299" i="3"/>
  <c r="I299" i="3"/>
  <c r="Z299" i="3" s="1"/>
  <c r="J299" i="3"/>
  <c r="K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E300" i="3"/>
  <c r="F300" i="3"/>
  <c r="G300" i="3"/>
  <c r="H300" i="3"/>
  <c r="I300" i="3"/>
  <c r="J300" i="3"/>
  <c r="K300" i="3"/>
  <c r="M300" i="3"/>
  <c r="N300" i="3"/>
  <c r="O300" i="3"/>
  <c r="P300" i="3"/>
  <c r="Q300" i="3"/>
  <c r="R300" i="3"/>
  <c r="S300" i="3"/>
  <c r="Y300" i="3" s="1"/>
  <c r="T300" i="3"/>
  <c r="U300" i="3"/>
  <c r="V300" i="3"/>
  <c r="W300" i="3"/>
  <c r="X300" i="3"/>
  <c r="E301" i="3"/>
  <c r="F301" i="3"/>
  <c r="G301" i="3"/>
  <c r="H301" i="3"/>
  <c r="I301" i="3"/>
  <c r="L301" i="3" s="1"/>
  <c r="J301" i="3"/>
  <c r="K301" i="3"/>
  <c r="K284" i="3" s="1"/>
  <c r="M301" i="3"/>
  <c r="N301" i="3"/>
  <c r="O301" i="3"/>
  <c r="P301" i="3"/>
  <c r="Q301" i="3"/>
  <c r="R301" i="3"/>
  <c r="S301" i="3"/>
  <c r="T301" i="3"/>
  <c r="U301" i="3"/>
  <c r="V301" i="3"/>
  <c r="W301" i="3"/>
  <c r="X301" i="3"/>
  <c r="E302" i="3"/>
  <c r="F302" i="3"/>
  <c r="G302" i="3"/>
  <c r="H302" i="3"/>
  <c r="I302" i="3"/>
  <c r="L302" i="3" s="1"/>
  <c r="J302" i="3"/>
  <c r="K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E303" i="3"/>
  <c r="F303" i="3"/>
  <c r="G303" i="3"/>
  <c r="H303" i="3"/>
  <c r="I303" i="3"/>
  <c r="J303" i="3"/>
  <c r="K303" i="3"/>
  <c r="M303" i="3"/>
  <c r="N303" i="3"/>
  <c r="O303" i="3"/>
  <c r="P303" i="3"/>
  <c r="Q303" i="3"/>
  <c r="R303" i="3"/>
  <c r="T303" i="3"/>
  <c r="U303" i="3"/>
  <c r="V303" i="3"/>
  <c r="W303" i="3"/>
  <c r="X303" i="3"/>
  <c r="E304" i="3"/>
  <c r="F304" i="3"/>
  <c r="G304" i="3"/>
  <c r="H304" i="3"/>
  <c r="I304" i="3"/>
  <c r="J304" i="3"/>
  <c r="K304" i="3"/>
  <c r="M304" i="3"/>
  <c r="N304" i="3"/>
  <c r="O304" i="3"/>
  <c r="P304" i="3"/>
  <c r="Q304" i="3"/>
  <c r="R304" i="3"/>
  <c r="S304" i="3"/>
  <c r="Z304" i="3" s="1"/>
  <c r="T304" i="3"/>
  <c r="U304" i="3"/>
  <c r="V304" i="3"/>
  <c r="W304" i="3"/>
  <c r="X304" i="3"/>
  <c r="F306" i="3"/>
  <c r="G306" i="3"/>
  <c r="H306" i="3"/>
  <c r="I306" i="3"/>
  <c r="N306" i="3"/>
  <c r="O306" i="3"/>
  <c r="R306" i="3"/>
  <c r="U306" i="3"/>
  <c r="U307" i="3"/>
  <c r="F308" i="3"/>
  <c r="G308" i="3"/>
  <c r="J308" i="3"/>
  <c r="K308" i="3"/>
  <c r="U308" i="3"/>
  <c r="V308" i="3"/>
  <c r="E310" i="3"/>
  <c r="N310" i="3"/>
  <c r="P310" i="3"/>
  <c r="Q310" i="3"/>
  <c r="W310" i="3"/>
  <c r="M311" i="3"/>
  <c r="M307" i="3" s="1"/>
  <c r="P311" i="3"/>
  <c r="P307" i="3" s="1"/>
  <c r="S311" i="3"/>
  <c r="S307" i="3" s="1"/>
  <c r="X311" i="3"/>
  <c r="X307" i="3" s="1"/>
  <c r="E312" i="3"/>
  <c r="E308" i="3" s="1"/>
  <c r="F312" i="3"/>
  <c r="G312" i="3"/>
  <c r="H312" i="3"/>
  <c r="H308" i="3" s="1"/>
  <c r="O312" i="3"/>
  <c r="O308" i="3" s="1"/>
  <c r="Q312" i="3"/>
  <c r="Q308" i="3" s="1"/>
  <c r="R312" i="3"/>
  <c r="R308" i="3" s="1"/>
  <c r="U312" i="3"/>
  <c r="E313" i="3"/>
  <c r="G313" i="3"/>
  <c r="J313" i="3"/>
  <c r="P313" i="3"/>
  <c r="P309" i="3" s="1"/>
  <c r="Q313" i="3"/>
  <c r="U313" i="3"/>
  <c r="V313" i="3"/>
  <c r="E314" i="3"/>
  <c r="F314" i="3"/>
  <c r="G314" i="3"/>
  <c r="H314" i="3"/>
  <c r="H310" i="3" s="1"/>
  <c r="I314" i="3"/>
  <c r="I310" i="3" s="1"/>
  <c r="J314" i="3"/>
  <c r="K314" i="3"/>
  <c r="M314" i="3"/>
  <c r="M310" i="3" s="1"/>
  <c r="N314" i="3"/>
  <c r="O314" i="3"/>
  <c r="P314" i="3"/>
  <c r="Q314" i="3"/>
  <c r="R314" i="3"/>
  <c r="T314" i="3"/>
  <c r="U314" i="3"/>
  <c r="V314" i="3"/>
  <c r="W314" i="3"/>
  <c r="X314" i="3"/>
  <c r="X310" i="3" s="1"/>
  <c r="E315" i="3"/>
  <c r="F315" i="3"/>
  <c r="F313" i="3" s="1"/>
  <c r="G315" i="3"/>
  <c r="H315" i="3"/>
  <c r="H313" i="3" s="1"/>
  <c r="H309" i="3" s="1"/>
  <c r="I315" i="3"/>
  <c r="I313" i="3" s="1"/>
  <c r="I309" i="3" s="1"/>
  <c r="J315" i="3"/>
  <c r="K315" i="3"/>
  <c r="K313" i="3" s="1"/>
  <c r="K309" i="3" s="1"/>
  <c r="M315" i="3"/>
  <c r="M313" i="3" s="1"/>
  <c r="N315" i="3"/>
  <c r="N313" i="3" s="1"/>
  <c r="N309" i="3" s="1"/>
  <c r="N352" i="3" s="1"/>
  <c r="O501" i="1" s="1"/>
  <c r="O315" i="3"/>
  <c r="O313" i="3" s="1"/>
  <c r="P315" i="3"/>
  <c r="Q315" i="3"/>
  <c r="R315" i="3"/>
  <c r="R313" i="3" s="1"/>
  <c r="T315" i="3"/>
  <c r="T313" i="3" s="1"/>
  <c r="T309" i="3" s="1"/>
  <c r="U315" i="3"/>
  <c r="V315" i="3"/>
  <c r="W315" i="3"/>
  <c r="W313" i="3" s="1"/>
  <c r="W309" i="3" s="1"/>
  <c r="X315" i="3"/>
  <c r="X313" i="3" s="1"/>
  <c r="E316" i="3"/>
  <c r="F316" i="3"/>
  <c r="G316" i="3"/>
  <c r="H316" i="3"/>
  <c r="I316" i="3"/>
  <c r="J316" i="3"/>
  <c r="J312" i="3" s="1"/>
  <c r="K316" i="3"/>
  <c r="K312" i="3" s="1"/>
  <c r="M316" i="3"/>
  <c r="M312" i="3" s="1"/>
  <c r="M308" i="3" s="1"/>
  <c r="N316" i="3"/>
  <c r="N312" i="3" s="1"/>
  <c r="N308" i="3" s="1"/>
  <c r="O316" i="3"/>
  <c r="P316" i="3"/>
  <c r="P312" i="3" s="1"/>
  <c r="P308" i="3" s="1"/>
  <c r="Q316" i="3"/>
  <c r="R316" i="3"/>
  <c r="T316" i="3"/>
  <c r="T312" i="3" s="1"/>
  <c r="T308" i="3" s="1"/>
  <c r="U316" i="3"/>
  <c r="V316" i="3"/>
  <c r="V312" i="3" s="1"/>
  <c r="W316" i="3"/>
  <c r="W312" i="3" s="1"/>
  <c r="W308" i="3" s="1"/>
  <c r="X316" i="3"/>
  <c r="X312" i="3" s="1"/>
  <c r="X308" i="3" s="1"/>
  <c r="E317" i="3"/>
  <c r="F317" i="3"/>
  <c r="G317" i="3"/>
  <c r="H317" i="3"/>
  <c r="I317" i="3"/>
  <c r="L317" i="3" s="1"/>
  <c r="J317" i="3"/>
  <c r="K317" i="3"/>
  <c r="M317" i="3"/>
  <c r="N317" i="3"/>
  <c r="O317" i="3"/>
  <c r="O310" i="3" s="1"/>
  <c r="P317" i="3"/>
  <c r="Q317" i="3"/>
  <c r="R317" i="3"/>
  <c r="S317" i="3"/>
  <c r="T317" i="3"/>
  <c r="U317" i="3"/>
  <c r="V317" i="3"/>
  <c r="W317" i="3"/>
  <c r="X317" i="3"/>
  <c r="E318" i="3"/>
  <c r="E311" i="3" s="1"/>
  <c r="E307" i="3" s="1"/>
  <c r="F318" i="3"/>
  <c r="F311" i="3" s="1"/>
  <c r="F307" i="3" s="1"/>
  <c r="G318" i="3"/>
  <c r="G311" i="3" s="1"/>
  <c r="G307" i="3" s="1"/>
  <c r="H318" i="3"/>
  <c r="H311" i="3" s="1"/>
  <c r="H307" i="3" s="1"/>
  <c r="H352" i="3" s="1"/>
  <c r="I501" i="1" s="1"/>
  <c r="I318" i="3"/>
  <c r="I311" i="3" s="1"/>
  <c r="Z311" i="3" s="1"/>
  <c r="J318" i="3"/>
  <c r="J311" i="3" s="1"/>
  <c r="J307" i="3" s="1"/>
  <c r="K318" i="3"/>
  <c r="K311" i="3" s="1"/>
  <c r="K307" i="3" s="1"/>
  <c r="M318" i="3"/>
  <c r="N318" i="3"/>
  <c r="N311" i="3" s="1"/>
  <c r="N307" i="3" s="1"/>
  <c r="O318" i="3"/>
  <c r="O311" i="3" s="1"/>
  <c r="O307" i="3" s="1"/>
  <c r="P318" i="3"/>
  <c r="Q318" i="3"/>
  <c r="Q311" i="3" s="1"/>
  <c r="Q307" i="3" s="1"/>
  <c r="R318" i="3"/>
  <c r="R311" i="3" s="1"/>
  <c r="R307" i="3" s="1"/>
  <c r="S318" i="3"/>
  <c r="T318" i="3"/>
  <c r="T311" i="3" s="1"/>
  <c r="T307" i="3" s="1"/>
  <c r="U318" i="3"/>
  <c r="U311" i="3" s="1"/>
  <c r="V318" i="3"/>
  <c r="V311" i="3" s="1"/>
  <c r="V307" i="3" s="1"/>
  <c r="W318" i="3"/>
  <c r="W311" i="3" s="1"/>
  <c r="W307" i="3" s="1"/>
  <c r="X318" i="3"/>
  <c r="H319" i="3"/>
  <c r="P319" i="3"/>
  <c r="Q319" i="3"/>
  <c r="I320" i="3"/>
  <c r="J320" i="3"/>
  <c r="K320" i="3"/>
  <c r="M320" i="3"/>
  <c r="M309" i="3" s="1"/>
  <c r="M352" i="3" s="1"/>
  <c r="N501" i="1" s="1"/>
  <c r="V320" i="3"/>
  <c r="W320" i="3"/>
  <c r="E321" i="3"/>
  <c r="E319" i="3" s="1"/>
  <c r="E305" i="3" s="1"/>
  <c r="F321" i="3"/>
  <c r="F319" i="3" s="1"/>
  <c r="G321" i="3"/>
  <c r="H321" i="3"/>
  <c r="I321" i="3"/>
  <c r="J321" i="3"/>
  <c r="K321" i="3"/>
  <c r="M321" i="3"/>
  <c r="M319" i="3" s="1"/>
  <c r="N321" i="3"/>
  <c r="N319" i="3" s="1"/>
  <c r="O321" i="3"/>
  <c r="P321" i="3"/>
  <c r="Q321" i="3"/>
  <c r="R321" i="3"/>
  <c r="R319" i="3" s="1"/>
  <c r="S321" i="3"/>
  <c r="T321" i="3"/>
  <c r="T319" i="3" s="1"/>
  <c r="U321" i="3"/>
  <c r="V321" i="3"/>
  <c r="W321" i="3"/>
  <c r="W319" i="3" s="1"/>
  <c r="X321" i="3"/>
  <c r="X319" i="3" s="1"/>
  <c r="E322" i="3"/>
  <c r="F322" i="3"/>
  <c r="G322" i="3"/>
  <c r="G319" i="3" s="1"/>
  <c r="H322" i="3"/>
  <c r="I322" i="3"/>
  <c r="L322" i="3" s="1"/>
  <c r="J322" i="3"/>
  <c r="J319" i="3" s="1"/>
  <c r="K322" i="3"/>
  <c r="M322" i="3"/>
  <c r="N322" i="3"/>
  <c r="O322" i="3"/>
  <c r="P322" i="3"/>
  <c r="Q322" i="3"/>
  <c r="R322" i="3"/>
  <c r="T322" i="3"/>
  <c r="U322" i="3"/>
  <c r="U319" i="3" s="1"/>
  <c r="V322" i="3"/>
  <c r="V319" i="3" s="1"/>
  <c r="W322" i="3"/>
  <c r="X322" i="3"/>
  <c r="E323" i="3"/>
  <c r="E320" i="3" s="1"/>
  <c r="F323" i="3"/>
  <c r="F320" i="3" s="1"/>
  <c r="G323" i="3"/>
  <c r="G320" i="3" s="1"/>
  <c r="H323" i="3"/>
  <c r="H320" i="3" s="1"/>
  <c r="I323" i="3"/>
  <c r="J323" i="3"/>
  <c r="K323" i="3"/>
  <c r="M323" i="3"/>
  <c r="N323" i="3"/>
  <c r="N320" i="3" s="1"/>
  <c r="O323" i="3"/>
  <c r="O320" i="3" s="1"/>
  <c r="P323" i="3"/>
  <c r="P320" i="3" s="1"/>
  <c r="Q323" i="3"/>
  <c r="Q320" i="3" s="1"/>
  <c r="R323" i="3"/>
  <c r="R320" i="3" s="1"/>
  <c r="S323" i="3"/>
  <c r="S320" i="3" s="1"/>
  <c r="T323" i="3"/>
  <c r="T320" i="3" s="1"/>
  <c r="U323" i="3"/>
  <c r="U320" i="3" s="1"/>
  <c r="V323" i="3"/>
  <c r="W323" i="3"/>
  <c r="X323" i="3"/>
  <c r="X320" i="3" s="1"/>
  <c r="X309" i="3" s="1"/>
  <c r="G324" i="3"/>
  <c r="O324" i="3"/>
  <c r="E325" i="3"/>
  <c r="F325" i="3"/>
  <c r="G325" i="3"/>
  <c r="H325" i="3"/>
  <c r="I325" i="3"/>
  <c r="J325" i="3"/>
  <c r="K325" i="3"/>
  <c r="M325" i="3"/>
  <c r="N325" i="3"/>
  <c r="O325" i="3"/>
  <c r="P325" i="3"/>
  <c r="Q325" i="3"/>
  <c r="Q324" i="3" s="1"/>
  <c r="R325" i="3"/>
  <c r="S325" i="3"/>
  <c r="T325" i="3"/>
  <c r="U325" i="3"/>
  <c r="V325" i="3"/>
  <c r="W325" i="3"/>
  <c r="X325" i="3"/>
  <c r="E326" i="3"/>
  <c r="F326" i="3"/>
  <c r="F324" i="3" s="1"/>
  <c r="G326" i="3"/>
  <c r="H326" i="3"/>
  <c r="I326" i="3"/>
  <c r="Z326" i="3" s="1"/>
  <c r="J326" i="3"/>
  <c r="K326" i="3"/>
  <c r="M326" i="3"/>
  <c r="N326" i="3"/>
  <c r="O326" i="3"/>
  <c r="P326" i="3"/>
  <c r="Q326" i="3"/>
  <c r="R326" i="3"/>
  <c r="R324" i="3" s="1"/>
  <c r="S326" i="3"/>
  <c r="T326" i="3"/>
  <c r="U326" i="3"/>
  <c r="V326" i="3"/>
  <c r="W326" i="3"/>
  <c r="X326" i="3"/>
  <c r="E327" i="3"/>
  <c r="E324" i="3" s="1"/>
  <c r="F327" i="3"/>
  <c r="G327" i="3"/>
  <c r="H327" i="3"/>
  <c r="H324" i="3" s="1"/>
  <c r="I327" i="3"/>
  <c r="J327" i="3"/>
  <c r="K327" i="3"/>
  <c r="K324" i="3" s="1"/>
  <c r="M327" i="3"/>
  <c r="M324" i="3" s="1"/>
  <c r="N327" i="3"/>
  <c r="N324" i="3" s="1"/>
  <c r="O327" i="3"/>
  <c r="P327" i="3"/>
  <c r="Q327" i="3"/>
  <c r="R327" i="3"/>
  <c r="T327" i="3"/>
  <c r="T324" i="3" s="1"/>
  <c r="U327" i="3"/>
  <c r="U324" i="3" s="1"/>
  <c r="V327" i="3"/>
  <c r="W327" i="3"/>
  <c r="W324" i="3" s="1"/>
  <c r="X327" i="3"/>
  <c r="X324" i="3" s="1"/>
  <c r="E328" i="3"/>
  <c r="G328" i="3"/>
  <c r="J328" i="3"/>
  <c r="K328" i="3"/>
  <c r="N328" i="3"/>
  <c r="O328" i="3"/>
  <c r="P328" i="3"/>
  <c r="Q328" i="3"/>
  <c r="S328" i="3"/>
  <c r="V328" i="3"/>
  <c r="W328" i="3"/>
  <c r="E329" i="3"/>
  <c r="F329" i="3"/>
  <c r="F328" i="3" s="1"/>
  <c r="G329" i="3"/>
  <c r="H329" i="3"/>
  <c r="H328" i="3" s="1"/>
  <c r="I329" i="3"/>
  <c r="I328" i="3" s="1"/>
  <c r="J329" i="3"/>
  <c r="K329" i="3"/>
  <c r="M329" i="3"/>
  <c r="M328" i="3" s="1"/>
  <c r="N329" i="3"/>
  <c r="O329" i="3"/>
  <c r="P329" i="3"/>
  <c r="Q329" i="3"/>
  <c r="R329" i="3"/>
  <c r="R328" i="3" s="1"/>
  <c r="S329" i="3"/>
  <c r="T329" i="3"/>
  <c r="T328" i="3" s="1"/>
  <c r="U329" i="3"/>
  <c r="U328" i="3" s="1"/>
  <c r="V329" i="3"/>
  <c r="W329" i="3"/>
  <c r="X329" i="3"/>
  <c r="X328" i="3" s="1"/>
  <c r="E330" i="3"/>
  <c r="F330" i="3"/>
  <c r="G330" i="3"/>
  <c r="H330" i="3"/>
  <c r="I330" i="3"/>
  <c r="J330" i="3"/>
  <c r="K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E331" i="3"/>
  <c r="E306" i="3" s="1"/>
  <c r="F331" i="3"/>
  <c r="G331" i="3"/>
  <c r="H331" i="3"/>
  <c r="I331" i="3"/>
  <c r="J331" i="3"/>
  <c r="J306" i="3" s="1"/>
  <c r="K331" i="3"/>
  <c r="K306" i="3" s="1"/>
  <c r="M331" i="3"/>
  <c r="M306" i="3" s="1"/>
  <c r="N331" i="3"/>
  <c r="O331" i="3"/>
  <c r="P331" i="3"/>
  <c r="P306" i="3" s="1"/>
  <c r="Q331" i="3"/>
  <c r="Q306" i="3" s="1"/>
  <c r="R331" i="3"/>
  <c r="S331" i="3"/>
  <c r="S306" i="3" s="1"/>
  <c r="T331" i="3"/>
  <c r="T306" i="3" s="1"/>
  <c r="U331" i="3"/>
  <c r="V331" i="3"/>
  <c r="V306" i="3" s="1"/>
  <c r="W331" i="3"/>
  <c r="W306" i="3" s="1"/>
  <c r="X331" i="3"/>
  <c r="X306" i="3" s="1"/>
  <c r="E332" i="3"/>
  <c r="F332" i="3"/>
  <c r="G332" i="3"/>
  <c r="H332" i="3"/>
  <c r="I332" i="3"/>
  <c r="L332" i="3" s="1"/>
  <c r="J332" i="3"/>
  <c r="K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E333" i="3"/>
  <c r="H333" i="3"/>
  <c r="I333" i="3"/>
  <c r="K333" i="3"/>
  <c r="T333" i="3"/>
  <c r="U333" i="3"/>
  <c r="W333" i="3"/>
  <c r="X333" i="3"/>
  <c r="E334" i="3"/>
  <c r="F334" i="3"/>
  <c r="F333" i="3" s="1"/>
  <c r="G334" i="3"/>
  <c r="G333" i="3" s="1"/>
  <c r="H334" i="3"/>
  <c r="I334" i="3"/>
  <c r="J334" i="3"/>
  <c r="J333" i="3" s="1"/>
  <c r="K334" i="3"/>
  <c r="M334" i="3"/>
  <c r="M333" i="3" s="1"/>
  <c r="N334" i="3"/>
  <c r="N333" i="3" s="1"/>
  <c r="O334" i="3"/>
  <c r="O333" i="3" s="1"/>
  <c r="P334" i="3"/>
  <c r="P333" i="3" s="1"/>
  <c r="Q334" i="3"/>
  <c r="Q333" i="3" s="1"/>
  <c r="R334" i="3"/>
  <c r="R333" i="3" s="1"/>
  <c r="S334" i="3"/>
  <c r="S333" i="3" s="1"/>
  <c r="T334" i="3"/>
  <c r="U334" i="3"/>
  <c r="V334" i="3"/>
  <c r="V333" i="3" s="1"/>
  <c r="W334" i="3"/>
  <c r="X334" i="3"/>
  <c r="F335" i="3"/>
  <c r="H336" i="3"/>
  <c r="Q336" i="3"/>
  <c r="T336" i="3"/>
  <c r="E337" i="3"/>
  <c r="H337" i="3"/>
  <c r="I337" i="3"/>
  <c r="K337" i="3"/>
  <c r="M337" i="3"/>
  <c r="M335" i="3" s="1"/>
  <c r="P337" i="3"/>
  <c r="Q337" i="3"/>
  <c r="Q335" i="3" s="1"/>
  <c r="T337" i="3"/>
  <c r="U337" i="3"/>
  <c r="E338" i="3"/>
  <c r="F338" i="3"/>
  <c r="F337" i="3" s="1"/>
  <c r="G338" i="3"/>
  <c r="G337" i="3" s="1"/>
  <c r="G335" i="3" s="1"/>
  <c r="H338" i="3"/>
  <c r="I338" i="3"/>
  <c r="J338" i="3"/>
  <c r="J337" i="3" s="1"/>
  <c r="K338" i="3"/>
  <c r="M338" i="3"/>
  <c r="N338" i="3"/>
  <c r="N337" i="3" s="1"/>
  <c r="O338" i="3"/>
  <c r="O337" i="3" s="1"/>
  <c r="P338" i="3"/>
  <c r="Q338" i="3"/>
  <c r="R338" i="3"/>
  <c r="R337" i="3" s="1"/>
  <c r="R335" i="3" s="1"/>
  <c r="S338" i="3"/>
  <c r="S337" i="3" s="1"/>
  <c r="T338" i="3"/>
  <c r="U338" i="3"/>
  <c r="V338" i="3"/>
  <c r="V337" i="3" s="1"/>
  <c r="W338" i="3"/>
  <c r="W337" i="3" s="1"/>
  <c r="X338" i="3"/>
  <c r="X337" i="3" s="1"/>
  <c r="H339" i="3"/>
  <c r="K339" i="3"/>
  <c r="M339" i="3"/>
  <c r="N339" i="3"/>
  <c r="O339" i="3"/>
  <c r="T339" i="3"/>
  <c r="W339" i="3"/>
  <c r="G340" i="3"/>
  <c r="G336" i="3" s="1"/>
  <c r="J340" i="3"/>
  <c r="J336" i="3" s="1"/>
  <c r="M340" i="3"/>
  <c r="M336" i="3" s="1"/>
  <c r="N340" i="3"/>
  <c r="N336" i="3" s="1"/>
  <c r="O340" i="3"/>
  <c r="O336" i="3" s="1"/>
  <c r="P340" i="3"/>
  <c r="P336" i="3" s="1"/>
  <c r="Q340" i="3"/>
  <c r="V340" i="3"/>
  <c r="V336" i="3" s="1"/>
  <c r="E341" i="3"/>
  <c r="E339" i="3" s="1"/>
  <c r="F341" i="3"/>
  <c r="F339" i="3" s="1"/>
  <c r="G341" i="3"/>
  <c r="G339" i="3" s="1"/>
  <c r="H341" i="3"/>
  <c r="I341" i="3"/>
  <c r="I339" i="3" s="1"/>
  <c r="J341" i="3"/>
  <c r="J339" i="3" s="1"/>
  <c r="K341" i="3"/>
  <c r="M341" i="3"/>
  <c r="N341" i="3"/>
  <c r="O341" i="3"/>
  <c r="P341" i="3"/>
  <c r="P339" i="3" s="1"/>
  <c r="P335" i="3" s="1"/>
  <c r="Q341" i="3"/>
  <c r="Q339" i="3" s="1"/>
  <c r="R341" i="3"/>
  <c r="R339" i="3" s="1"/>
  <c r="S341" i="3"/>
  <c r="S339" i="3" s="1"/>
  <c r="T341" i="3"/>
  <c r="U341" i="3"/>
  <c r="U339" i="3" s="1"/>
  <c r="U335" i="3" s="1"/>
  <c r="V341" i="3"/>
  <c r="V339" i="3" s="1"/>
  <c r="W341" i="3"/>
  <c r="X341" i="3"/>
  <c r="X339" i="3" s="1"/>
  <c r="E342" i="3"/>
  <c r="E340" i="3" s="1"/>
  <c r="E336" i="3" s="1"/>
  <c r="F342" i="3"/>
  <c r="F340" i="3" s="1"/>
  <c r="F336" i="3" s="1"/>
  <c r="G342" i="3"/>
  <c r="H342" i="3"/>
  <c r="H340" i="3" s="1"/>
  <c r="I342" i="3"/>
  <c r="I340" i="3" s="1"/>
  <c r="I336" i="3" s="1"/>
  <c r="J342" i="3"/>
  <c r="K342" i="3"/>
  <c r="K340" i="3" s="1"/>
  <c r="K336" i="3" s="1"/>
  <c r="M342" i="3"/>
  <c r="N342" i="3"/>
  <c r="O342" i="3"/>
  <c r="P342" i="3"/>
  <c r="Q342" i="3"/>
  <c r="R342" i="3"/>
  <c r="R340" i="3" s="1"/>
  <c r="R336" i="3" s="1"/>
  <c r="S342" i="3"/>
  <c r="S340" i="3" s="1"/>
  <c r="S336" i="3" s="1"/>
  <c r="T342" i="3"/>
  <c r="T340" i="3" s="1"/>
  <c r="U342" i="3"/>
  <c r="U340" i="3" s="1"/>
  <c r="U336" i="3" s="1"/>
  <c r="V342" i="3"/>
  <c r="W342" i="3"/>
  <c r="W340" i="3" s="1"/>
  <c r="W336" i="3" s="1"/>
  <c r="X342" i="3"/>
  <c r="X340" i="3" s="1"/>
  <c r="X336" i="3" s="1"/>
  <c r="E343" i="3"/>
  <c r="M343" i="3"/>
  <c r="P343" i="3"/>
  <c r="E344" i="3"/>
  <c r="F344" i="3"/>
  <c r="F343" i="3" s="1"/>
  <c r="G344" i="3"/>
  <c r="G343" i="3" s="1"/>
  <c r="H344" i="3"/>
  <c r="I344" i="3"/>
  <c r="J344" i="3"/>
  <c r="J343" i="3" s="1"/>
  <c r="K344" i="3"/>
  <c r="K343" i="3" s="1"/>
  <c r="M344" i="3"/>
  <c r="N344" i="3"/>
  <c r="O344" i="3"/>
  <c r="P344" i="3"/>
  <c r="Q344" i="3"/>
  <c r="Q343" i="3" s="1"/>
  <c r="R344" i="3"/>
  <c r="R343" i="3" s="1"/>
  <c r="S344" i="3"/>
  <c r="T344" i="3"/>
  <c r="U344" i="3"/>
  <c r="U343" i="3" s="1"/>
  <c r="V344" i="3"/>
  <c r="V343" i="3" s="1"/>
  <c r="W344" i="3"/>
  <c r="W343" i="3" s="1"/>
  <c r="X344" i="3"/>
  <c r="E345" i="3"/>
  <c r="F345" i="3"/>
  <c r="G345" i="3"/>
  <c r="H345" i="3"/>
  <c r="H343" i="3" s="1"/>
  <c r="I345" i="3"/>
  <c r="J345" i="3"/>
  <c r="K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E346" i="3"/>
  <c r="F346" i="3"/>
  <c r="G346" i="3"/>
  <c r="H346" i="3"/>
  <c r="I346" i="3"/>
  <c r="I343" i="3" s="1"/>
  <c r="L343" i="3" s="1"/>
  <c r="J346" i="3"/>
  <c r="K346" i="3"/>
  <c r="M346" i="3"/>
  <c r="N346" i="3"/>
  <c r="O346" i="3"/>
  <c r="P346" i="3"/>
  <c r="Q346" i="3"/>
  <c r="R346" i="3"/>
  <c r="T346" i="3"/>
  <c r="U346" i="3"/>
  <c r="V346" i="3"/>
  <c r="W346" i="3"/>
  <c r="X346" i="3"/>
  <c r="E347" i="3"/>
  <c r="F347" i="3"/>
  <c r="G347" i="3"/>
  <c r="H347" i="3"/>
  <c r="I347" i="3"/>
  <c r="J347" i="3"/>
  <c r="K347" i="3"/>
  <c r="M347" i="3"/>
  <c r="N347" i="3"/>
  <c r="O347" i="3"/>
  <c r="P347" i="3"/>
  <c r="Q347" i="3"/>
  <c r="R347" i="3"/>
  <c r="T347" i="3"/>
  <c r="U347" i="3"/>
  <c r="V347" i="3"/>
  <c r="W347" i="3"/>
  <c r="X347" i="3"/>
  <c r="H351" i="3"/>
  <c r="F353" i="3"/>
  <c r="P353" i="3"/>
  <c r="R353" i="3"/>
  <c r="U353" i="3"/>
  <c r="F354" i="3"/>
  <c r="R354" i="3"/>
  <c r="T354" i="3"/>
  <c r="F479" i="1"/>
  <c r="F478" i="1" s="1"/>
  <c r="G479" i="1"/>
  <c r="G478" i="1" s="1"/>
  <c r="H479" i="1"/>
  <c r="H478" i="1" s="1"/>
  <c r="I479" i="1"/>
  <c r="I478" i="1" s="1"/>
  <c r="J479" i="1"/>
  <c r="J478" i="1" s="1"/>
  <c r="K479" i="1"/>
  <c r="K478" i="1" s="1"/>
  <c r="L479" i="1"/>
  <c r="L478" i="1" s="1"/>
  <c r="N479" i="1"/>
  <c r="N478" i="1" s="1"/>
  <c r="O479" i="1"/>
  <c r="O478" i="1" s="1"/>
  <c r="P479" i="1"/>
  <c r="P478" i="1" s="1"/>
  <c r="Q479" i="1"/>
  <c r="Q478" i="1" s="1"/>
  <c r="R479" i="1"/>
  <c r="R478" i="1" s="1"/>
  <c r="S479" i="1"/>
  <c r="S478" i="1" s="1"/>
  <c r="U479" i="1"/>
  <c r="U478" i="1" s="1"/>
  <c r="V479" i="1"/>
  <c r="V478" i="1" s="1"/>
  <c r="W479" i="1"/>
  <c r="W478" i="1" s="1"/>
  <c r="X479" i="1"/>
  <c r="X478" i="1" s="1"/>
  <c r="Y479" i="1"/>
  <c r="Y478" i="1" s="1"/>
  <c r="F480" i="1"/>
  <c r="G480" i="1"/>
  <c r="H480" i="1"/>
  <c r="I480" i="1"/>
  <c r="L480" i="1"/>
  <c r="N480" i="1"/>
  <c r="O480" i="1"/>
  <c r="P480" i="1"/>
  <c r="Q480" i="1"/>
  <c r="R480" i="1"/>
  <c r="S480" i="1"/>
  <c r="U480" i="1"/>
  <c r="V480" i="1"/>
  <c r="W480" i="1"/>
  <c r="X480" i="1"/>
  <c r="Y480" i="1"/>
  <c r="F462" i="1"/>
  <c r="F461" i="1" s="1"/>
  <c r="G462" i="1"/>
  <c r="G461" i="1" s="1"/>
  <c r="H462" i="1"/>
  <c r="H461" i="1" s="1"/>
  <c r="I462" i="1"/>
  <c r="I461" i="1" s="1"/>
  <c r="J462" i="1"/>
  <c r="K462" i="1"/>
  <c r="K461" i="1" s="1"/>
  <c r="L462" i="1"/>
  <c r="L461" i="1" s="1"/>
  <c r="N462" i="1"/>
  <c r="N461" i="1" s="1"/>
  <c r="O462" i="1"/>
  <c r="O461" i="1" s="1"/>
  <c r="P462" i="1"/>
  <c r="P461" i="1" s="1"/>
  <c r="Q462" i="1"/>
  <c r="Q461" i="1" s="1"/>
  <c r="R462" i="1"/>
  <c r="R461" i="1" s="1"/>
  <c r="S462" i="1"/>
  <c r="S461" i="1" s="1"/>
  <c r="U462" i="1"/>
  <c r="U461" i="1" s="1"/>
  <c r="V462" i="1"/>
  <c r="V461" i="1" s="1"/>
  <c r="W462" i="1"/>
  <c r="W461" i="1" s="1"/>
  <c r="X462" i="1"/>
  <c r="X461" i="1" s="1"/>
  <c r="Y462" i="1"/>
  <c r="Y461" i="1" s="1"/>
  <c r="F463" i="1"/>
  <c r="G463" i="1"/>
  <c r="H463" i="1"/>
  <c r="I463" i="1"/>
  <c r="J463" i="1"/>
  <c r="K463" i="1"/>
  <c r="L463" i="1"/>
  <c r="N463" i="1"/>
  <c r="O463" i="1"/>
  <c r="P463" i="1"/>
  <c r="Q463" i="1"/>
  <c r="R463" i="1"/>
  <c r="S463" i="1"/>
  <c r="U463" i="1"/>
  <c r="V463" i="1"/>
  <c r="W463" i="1"/>
  <c r="X463" i="1"/>
  <c r="Y463" i="1"/>
  <c r="F464" i="1"/>
  <c r="G464" i="1"/>
  <c r="H464" i="1"/>
  <c r="I464" i="1"/>
  <c r="J464" i="1"/>
  <c r="K464" i="1"/>
  <c r="L464" i="1"/>
  <c r="N464" i="1"/>
  <c r="O464" i="1"/>
  <c r="P464" i="1"/>
  <c r="Q464" i="1"/>
  <c r="R464" i="1"/>
  <c r="S464" i="1"/>
  <c r="U464" i="1"/>
  <c r="V464" i="1"/>
  <c r="W464" i="1"/>
  <c r="X464" i="1"/>
  <c r="Y464" i="1"/>
  <c r="F451" i="1"/>
  <c r="F450" i="1" s="1"/>
  <c r="G451" i="1"/>
  <c r="G450" i="1" s="1"/>
  <c r="H451" i="1"/>
  <c r="H450" i="1" s="1"/>
  <c r="I451" i="1"/>
  <c r="I450" i="1" s="1"/>
  <c r="J451" i="1"/>
  <c r="J450" i="1" s="1"/>
  <c r="K451" i="1"/>
  <c r="K450" i="1" s="1"/>
  <c r="L451" i="1"/>
  <c r="L450" i="1" s="1"/>
  <c r="N451" i="1"/>
  <c r="N450" i="1" s="1"/>
  <c r="O451" i="1"/>
  <c r="O450" i="1" s="1"/>
  <c r="P451" i="1"/>
  <c r="P450" i="1" s="1"/>
  <c r="Q451" i="1"/>
  <c r="Q450" i="1" s="1"/>
  <c r="R451" i="1"/>
  <c r="R450" i="1" s="1"/>
  <c r="S451" i="1"/>
  <c r="S450" i="1" s="1"/>
  <c r="U451" i="1"/>
  <c r="U450" i="1" s="1"/>
  <c r="V451" i="1"/>
  <c r="V450" i="1" s="1"/>
  <c r="W451" i="1"/>
  <c r="W450" i="1" s="1"/>
  <c r="X451" i="1"/>
  <c r="X450" i="1" s="1"/>
  <c r="Y451" i="1"/>
  <c r="Y450" i="1" s="1"/>
  <c r="F441" i="1"/>
  <c r="F440" i="1" s="1"/>
  <c r="G441" i="1"/>
  <c r="G440" i="1" s="1"/>
  <c r="H441" i="1"/>
  <c r="H440" i="1" s="1"/>
  <c r="I441" i="1"/>
  <c r="I440" i="1" s="1"/>
  <c r="J441" i="1"/>
  <c r="J440" i="1" s="1"/>
  <c r="K441" i="1"/>
  <c r="K440" i="1" s="1"/>
  <c r="L441" i="1"/>
  <c r="L440" i="1" s="1"/>
  <c r="N441" i="1"/>
  <c r="N440" i="1" s="1"/>
  <c r="O441" i="1"/>
  <c r="O440" i="1" s="1"/>
  <c r="P441" i="1"/>
  <c r="P440" i="1" s="1"/>
  <c r="Q441" i="1"/>
  <c r="Q440" i="1" s="1"/>
  <c r="R441" i="1"/>
  <c r="R440" i="1" s="1"/>
  <c r="S441" i="1"/>
  <c r="S440" i="1" s="1"/>
  <c r="U441" i="1"/>
  <c r="U440" i="1" s="1"/>
  <c r="V441" i="1"/>
  <c r="V440" i="1" s="1"/>
  <c r="W441" i="1"/>
  <c r="W440" i="1" s="1"/>
  <c r="X441" i="1"/>
  <c r="X440" i="1" s="1"/>
  <c r="Y441" i="1"/>
  <c r="Y440" i="1" s="1"/>
  <c r="F442" i="1"/>
  <c r="G442" i="1"/>
  <c r="H442" i="1"/>
  <c r="I442" i="1"/>
  <c r="J442" i="1"/>
  <c r="K442" i="1"/>
  <c r="L442" i="1"/>
  <c r="N442" i="1"/>
  <c r="O442" i="1"/>
  <c r="P442" i="1"/>
  <c r="Q442" i="1"/>
  <c r="R442" i="1"/>
  <c r="S442" i="1"/>
  <c r="U442" i="1"/>
  <c r="V442" i="1"/>
  <c r="W442" i="1"/>
  <c r="X442" i="1"/>
  <c r="Y442" i="1"/>
  <c r="F429" i="1"/>
  <c r="F428" i="1" s="1"/>
  <c r="G429" i="1"/>
  <c r="G428" i="1" s="1"/>
  <c r="H429" i="1"/>
  <c r="H428" i="1" s="1"/>
  <c r="I429" i="1"/>
  <c r="I428" i="1" s="1"/>
  <c r="J429" i="1"/>
  <c r="K429" i="1"/>
  <c r="K428" i="1" s="1"/>
  <c r="L429" i="1"/>
  <c r="L428" i="1" s="1"/>
  <c r="N429" i="1"/>
  <c r="N428" i="1" s="1"/>
  <c r="O429" i="1"/>
  <c r="O428" i="1" s="1"/>
  <c r="P429" i="1"/>
  <c r="P428" i="1" s="1"/>
  <c r="Q429" i="1"/>
  <c r="Q428" i="1" s="1"/>
  <c r="R429" i="1"/>
  <c r="R428" i="1" s="1"/>
  <c r="S429" i="1"/>
  <c r="S428" i="1" s="1"/>
  <c r="U429" i="1"/>
  <c r="U428" i="1" s="1"/>
  <c r="V429" i="1"/>
  <c r="V428" i="1" s="1"/>
  <c r="W429" i="1"/>
  <c r="W428" i="1" s="1"/>
  <c r="X429" i="1"/>
  <c r="X428" i="1" s="1"/>
  <c r="Y429" i="1"/>
  <c r="Y428" i="1" s="1"/>
  <c r="F426" i="1"/>
  <c r="F425" i="1" s="1"/>
  <c r="G426" i="1"/>
  <c r="G425" i="1" s="1"/>
  <c r="H426" i="1"/>
  <c r="H425" i="1" s="1"/>
  <c r="I426" i="1"/>
  <c r="I425" i="1" s="1"/>
  <c r="J426" i="1"/>
  <c r="J425" i="1" s="1"/>
  <c r="K426" i="1"/>
  <c r="K425" i="1" s="1"/>
  <c r="L426" i="1"/>
  <c r="L425" i="1" s="1"/>
  <c r="N426" i="1"/>
  <c r="N425" i="1" s="1"/>
  <c r="O426" i="1"/>
  <c r="O425" i="1" s="1"/>
  <c r="P426" i="1"/>
  <c r="P425" i="1" s="1"/>
  <c r="Q426" i="1"/>
  <c r="Q425" i="1" s="1"/>
  <c r="R426" i="1"/>
  <c r="R425" i="1" s="1"/>
  <c r="S426" i="1"/>
  <c r="S425" i="1" s="1"/>
  <c r="U426" i="1"/>
  <c r="U425" i="1" s="1"/>
  <c r="V426" i="1"/>
  <c r="V425" i="1" s="1"/>
  <c r="W426" i="1"/>
  <c r="W425" i="1" s="1"/>
  <c r="X426" i="1"/>
  <c r="X425" i="1" s="1"/>
  <c r="Y426" i="1"/>
  <c r="Y425" i="1" s="1"/>
  <c r="F382" i="1"/>
  <c r="F381" i="1" s="1"/>
  <c r="G382" i="1"/>
  <c r="G381" i="1" s="1"/>
  <c r="H382" i="1"/>
  <c r="H381" i="1" s="1"/>
  <c r="I382" i="1"/>
  <c r="I381" i="1" s="1"/>
  <c r="J382" i="1"/>
  <c r="K382" i="1"/>
  <c r="K381" i="1" s="1"/>
  <c r="L382" i="1"/>
  <c r="L381" i="1" s="1"/>
  <c r="N382" i="1"/>
  <c r="N381" i="1" s="1"/>
  <c r="O382" i="1"/>
  <c r="O381" i="1" s="1"/>
  <c r="P382" i="1"/>
  <c r="P381" i="1" s="1"/>
  <c r="Q382" i="1"/>
  <c r="Q381" i="1" s="1"/>
  <c r="R382" i="1"/>
  <c r="R381" i="1" s="1"/>
  <c r="S382" i="1"/>
  <c r="S381" i="1" s="1"/>
  <c r="U382" i="1"/>
  <c r="U381" i="1" s="1"/>
  <c r="V382" i="1"/>
  <c r="V381" i="1" s="1"/>
  <c r="W382" i="1"/>
  <c r="W381" i="1" s="1"/>
  <c r="X382" i="1"/>
  <c r="X381" i="1" s="1"/>
  <c r="Y382" i="1"/>
  <c r="Y381" i="1" s="1"/>
  <c r="F383" i="1"/>
  <c r="G383" i="1"/>
  <c r="H383" i="1"/>
  <c r="I383" i="1"/>
  <c r="J383" i="1"/>
  <c r="K383" i="1"/>
  <c r="L383" i="1"/>
  <c r="N383" i="1"/>
  <c r="O383" i="1"/>
  <c r="P383" i="1"/>
  <c r="Q383" i="1"/>
  <c r="R383" i="1"/>
  <c r="S383" i="1"/>
  <c r="U383" i="1"/>
  <c r="V383" i="1"/>
  <c r="W383" i="1"/>
  <c r="X383" i="1"/>
  <c r="Y383" i="1"/>
  <c r="F384" i="1"/>
  <c r="G384" i="1"/>
  <c r="H384" i="1"/>
  <c r="I384" i="1"/>
  <c r="J384" i="1"/>
  <c r="K384" i="1"/>
  <c r="L384" i="1"/>
  <c r="N384" i="1"/>
  <c r="O384" i="1"/>
  <c r="P384" i="1"/>
  <c r="Q384" i="1"/>
  <c r="R384" i="1"/>
  <c r="S384" i="1"/>
  <c r="U384" i="1"/>
  <c r="V384" i="1"/>
  <c r="W384" i="1"/>
  <c r="X384" i="1"/>
  <c r="Y384" i="1"/>
  <c r="F385" i="1"/>
  <c r="G385" i="1"/>
  <c r="H385" i="1"/>
  <c r="I385" i="1"/>
  <c r="J385" i="1"/>
  <c r="K385" i="1"/>
  <c r="L385" i="1"/>
  <c r="N385" i="1"/>
  <c r="O385" i="1"/>
  <c r="P385" i="1"/>
  <c r="Q385" i="1"/>
  <c r="R385" i="1"/>
  <c r="S385" i="1"/>
  <c r="U385" i="1"/>
  <c r="V385" i="1"/>
  <c r="W385" i="1"/>
  <c r="X385" i="1"/>
  <c r="Y385" i="1"/>
  <c r="F386" i="1"/>
  <c r="G386" i="1"/>
  <c r="H386" i="1"/>
  <c r="I386" i="1"/>
  <c r="J386" i="1"/>
  <c r="K386" i="1"/>
  <c r="L386" i="1"/>
  <c r="N386" i="1"/>
  <c r="O386" i="1"/>
  <c r="P386" i="1"/>
  <c r="Q386" i="1"/>
  <c r="R386" i="1"/>
  <c r="S386" i="1"/>
  <c r="U386" i="1"/>
  <c r="V386" i="1"/>
  <c r="W386" i="1"/>
  <c r="X386" i="1"/>
  <c r="Y386" i="1"/>
  <c r="F387" i="1"/>
  <c r="G387" i="1"/>
  <c r="H387" i="1"/>
  <c r="I387" i="1"/>
  <c r="J387" i="1"/>
  <c r="K387" i="1"/>
  <c r="L387" i="1"/>
  <c r="N387" i="1"/>
  <c r="O387" i="1"/>
  <c r="P387" i="1"/>
  <c r="Q387" i="1"/>
  <c r="R387" i="1"/>
  <c r="S387" i="1"/>
  <c r="U387" i="1"/>
  <c r="V387" i="1"/>
  <c r="W387" i="1"/>
  <c r="X387" i="1"/>
  <c r="Y387" i="1"/>
  <c r="F297" i="1"/>
  <c r="F296" i="1" s="1"/>
  <c r="G297" i="1"/>
  <c r="G296" i="1" s="1"/>
  <c r="H297" i="1"/>
  <c r="H296" i="1" s="1"/>
  <c r="I297" i="1"/>
  <c r="I296" i="1" s="1"/>
  <c r="J297" i="1"/>
  <c r="J296" i="1" s="1"/>
  <c r="K297" i="1"/>
  <c r="K296" i="1" s="1"/>
  <c r="L297" i="1"/>
  <c r="L296" i="1" s="1"/>
  <c r="O297" i="1"/>
  <c r="O296" i="1" s="1"/>
  <c r="P297" i="1"/>
  <c r="P296" i="1" s="1"/>
  <c r="Q297" i="1"/>
  <c r="Q296" i="1" s="1"/>
  <c r="R297" i="1"/>
  <c r="R296" i="1" s="1"/>
  <c r="S297" i="1"/>
  <c r="S296" i="1" s="1"/>
  <c r="U297" i="1"/>
  <c r="U296" i="1" s="1"/>
  <c r="V297" i="1"/>
  <c r="V296" i="1" s="1"/>
  <c r="W297" i="1"/>
  <c r="W296" i="1" s="1"/>
  <c r="X297" i="1"/>
  <c r="X296" i="1" s="1"/>
  <c r="Y297" i="1"/>
  <c r="Y296" i="1" s="1"/>
  <c r="F298" i="1"/>
  <c r="G298" i="1"/>
  <c r="H298" i="1"/>
  <c r="I298" i="1"/>
  <c r="J298" i="1"/>
  <c r="K298" i="1"/>
  <c r="L298" i="1"/>
  <c r="N298" i="1"/>
  <c r="O298" i="1"/>
  <c r="P298" i="1"/>
  <c r="Q298" i="1"/>
  <c r="R298" i="1"/>
  <c r="S298" i="1"/>
  <c r="U298" i="1"/>
  <c r="V298" i="1"/>
  <c r="W298" i="1"/>
  <c r="X298" i="1"/>
  <c r="Y298" i="1"/>
  <c r="F299" i="1"/>
  <c r="G299" i="1"/>
  <c r="H299" i="1"/>
  <c r="I299" i="1"/>
  <c r="J299" i="1"/>
  <c r="K299" i="1"/>
  <c r="L299" i="1"/>
  <c r="N299" i="1"/>
  <c r="O299" i="1"/>
  <c r="P299" i="1"/>
  <c r="Q299" i="1"/>
  <c r="R299" i="1"/>
  <c r="S299" i="1"/>
  <c r="U299" i="1"/>
  <c r="V299" i="1"/>
  <c r="W299" i="1"/>
  <c r="X299" i="1"/>
  <c r="Y299" i="1"/>
  <c r="F300" i="1"/>
  <c r="G300" i="1"/>
  <c r="H300" i="1"/>
  <c r="I300" i="1"/>
  <c r="J300" i="1"/>
  <c r="K300" i="1"/>
  <c r="L300" i="1"/>
  <c r="N300" i="1"/>
  <c r="O300" i="1"/>
  <c r="P300" i="1"/>
  <c r="Q300" i="1"/>
  <c r="R300" i="1"/>
  <c r="S300" i="1"/>
  <c r="U300" i="1"/>
  <c r="V300" i="1"/>
  <c r="W300" i="1"/>
  <c r="X300" i="1"/>
  <c r="Y300" i="1"/>
  <c r="F301" i="1"/>
  <c r="G301" i="1"/>
  <c r="H301" i="1"/>
  <c r="I301" i="1"/>
  <c r="J301" i="1"/>
  <c r="K301" i="1"/>
  <c r="L301" i="1"/>
  <c r="N301" i="1"/>
  <c r="O301" i="1"/>
  <c r="P301" i="1"/>
  <c r="Q301" i="1"/>
  <c r="R301" i="1"/>
  <c r="S301" i="1"/>
  <c r="U301" i="1"/>
  <c r="V301" i="1"/>
  <c r="W301" i="1"/>
  <c r="X301" i="1"/>
  <c r="Y301" i="1"/>
  <c r="F302" i="1"/>
  <c r="G302" i="1"/>
  <c r="H302" i="1"/>
  <c r="I302" i="1"/>
  <c r="J302" i="1"/>
  <c r="K302" i="1"/>
  <c r="L302" i="1"/>
  <c r="N302" i="1"/>
  <c r="O302" i="1"/>
  <c r="P302" i="1"/>
  <c r="Q302" i="1"/>
  <c r="R302" i="1"/>
  <c r="S302" i="1"/>
  <c r="U302" i="1"/>
  <c r="V302" i="1"/>
  <c r="W302" i="1"/>
  <c r="X302" i="1"/>
  <c r="Y302" i="1"/>
  <c r="F303" i="1"/>
  <c r="G303" i="1"/>
  <c r="H303" i="1"/>
  <c r="I303" i="1"/>
  <c r="J303" i="1"/>
  <c r="K303" i="1"/>
  <c r="L303" i="1"/>
  <c r="N303" i="1"/>
  <c r="O303" i="1"/>
  <c r="P303" i="1"/>
  <c r="Q303" i="1"/>
  <c r="R303" i="1"/>
  <c r="S303" i="1"/>
  <c r="U303" i="1"/>
  <c r="V303" i="1"/>
  <c r="W303" i="1"/>
  <c r="X303" i="1"/>
  <c r="Y303" i="1"/>
  <c r="F304" i="1"/>
  <c r="G304" i="1"/>
  <c r="H304" i="1"/>
  <c r="I304" i="1"/>
  <c r="J304" i="1"/>
  <c r="K304" i="1"/>
  <c r="L304" i="1"/>
  <c r="N304" i="1"/>
  <c r="O304" i="1"/>
  <c r="P304" i="1"/>
  <c r="Q304" i="1"/>
  <c r="R304" i="1"/>
  <c r="S304" i="1"/>
  <c r="U304" i="1"/>
  <c r="V304" i="1"/>
  <c r="W304" i="1"/>
  <c r="X304" i="1"/>
  <c r="Y304" i="1"/>
  <c r="F305" i="1"/>
  <c r="G305" i="1"/>
  <c r="H305" i="1"/>
  <c r="I305" i="1"/>
  <c r="J305" i="1"/>
  <c r="K305" i="1"/>
  <c r="L305" i="1"/>
  <c r="N305" i="1"/>
  <c r="O305" i="1"/>
  <c r="P305" i="1"/>
  <c r="Q305" i="1"/>
  <c r="R305" i="1"/>
  <c r="S305" i="1"/>
  <c r="U305" i="1"/>
  <c r="V305" i="1"/>
  <c r="W305" i="1"/>
  <c r="X305" i="1"/>
  <c r="Y305" i="1"/>
  <c r="F306" i="1"/>
  <c r="G306" i="1"/>
  <c r="H306" i="1"/>
  <c r="I306" i="1"/>
  <c r="J306" i="1"/>
  <c r="K306" i="1"/>
  <c r="L306" i="1"/>
  <c r="N306" i="1"/>
  <c r="O306" i="1"/>
  <c r="P306" i="1"/>
  <c r="Q306" i="1"/>
  <c r="R306" i="1"/>
  <c r="S306" i="1"/>
  <c r="U306" i="1"/>
  <c r="V306" i="1"/>
  <c r="W306" i="1"/>
  <c r="X306" i="1"/>
  <c r="Y306" i="1"/>
  <c r="F307" i="1"/>
  <c r="G307" i="1"/>
  <c r="H307" i="1"/>
  <c r="I307" i="1"/>
  <c r="J307" i="1"/>
  <c r="K307" i="1"/>
  <c r="L307" i="1"/>
  <c r="O307" i="1"/>
  <c r="P307" i="1"/>
  <c r="Q307" i="1"/>
  <c r="R307" i="1"/>
  <c r="S307" i="1"/>
  <c r="U307" i="1"/>
  <c r="V307" i="1"/>
  <c r="W307" i="1"/>
  <c r="X307" i="1"/>
  <c r="Y307" i="1"/>
  <c r="F308" i="1"/>
  <c r="G308" i="1"/>
  <c r="H308" i="1"/>
  <c r="I308" i="1"/>
  <c r="J308" i="1"/>
  <c r="K308" i="1"/>
  <c r="L308" i="1"/>
  <c r="N308" i="1"/>
  <c r="O308" i="1"/>
  <c r="P308" i="1"/>
  <c r="Q308" i="1"/>
  <c r="R308" i="1"/>
  <c r="S308" i="1"/>
  <c r="U308" i="1"/>
  <c r="V308" i="1"/>
  <c r="W308" i="1"/>
  <c r="X308" i="1"/>
  <c r="Y308" i="1"/>
  <c r="F309" i="1"/>
  <c r="G309" i="1"/>
  <c r="H309" i="1"/>
  <c r="I309" i="1"/>
  <c r="J309" i="1"/>
  <c r="K309" i="1"/>
  <c r="L309" i="1"/>
  <c r="N309" i="1"/>
  <c r="O309" i="1"/>
  <c r="P309" i="1"/>
  <c r="Q309" i="1"/>
  <c r="R309" i="1"/>
  <c r="S309" i="1"/>
  <c r="U309" i="1"/>
  <c r="V309" i="1"/>
  <c r="W309" i="1"/>
  <c r="X309" i="1"/>
  <c r="Y309" i="1"/>
  <c r="F283" i="1"/>
  <c r="F282" i="1" s="1"/>
  <c r="G283" i="1"/>
  <c r="G282" i="1" s="1"/>
  <c r="H283" i="1"/>
  <c r="H282" i="1" s="1"/>
  <c r="I283" i="1"/>
  <c r="I282" i="1" s="1"/>
  <c r="J283" i="1"/>
  <c r="J282" i="1" s="1"/>
  <c r="K283" i="1"/>
  <c r="K282" i="1" s="1"/>
  <c r="L283" i="1"/>
  <c r="L282" i="1" s="1"/>
  <c r="N283" i="1"/>
  <c r="N282" i="1" s="1"/>
  <c r="O283" i="1"/>
  <c r="O282" i="1" s="1"/>
  <c r="P283" i="1"/>
  <c r="P282" i="1" s="1"/>
  <c r="Q283" i="1"/>
  <c r="Q282" i="1" s="1"/>
  <c r="R283" i="1"/>
  <c r="R282" i="1" s="1"/>
  <c r="S283" i="1"/>
  <c r="S282" i="1" s="1"/>
  <c r="U283" i="1"/>
  <c r="U282" i="1" s="1"/>
  <c r="V283" i="1"/>
  <c r="V282" i="1" s="1"/>
  <c r="W283" i="1"/>
  <c r="W282" i="1" s="1"/>
  <c r="X283" i="1"/>
  <c r="X282" i="1" s="1"/>
  <c r="Y283" i="1"/>
  <c r="Y282" i="1" s="1"/>
  <c r="F284" i="1"/>
  <c r="G284" i="1"/>
  <c r="H284" i="1"/>
  <c r="I284" i="1"/>
  <c r="J284" i="1"/>
  <c r="K284" i="1"/>
  <c r="L284" i="1"/>
  <c r="N284" i="1"/>
  <c r="O284" i="1"/>
  <c r="P284" i="1"/>
  <c r="Q284" i="1"/>
  <c r="R284" i="1"/>
  <c r="S284" i="1"/>
  <c r="U284" i="1"/>
  <c r="V284" i="1"/>
  <c r="W284" i="1"/>
  <c r="X284" i="1"/>
  <c r="Y284" i="1"/>
  <c r="F274" i="1"/>
  <c r="F273" i="1" s="1"/>
  <c r="G274" i="1"/>
  <c r="G273" i="1" s="1"/>
  <c r="H274" i="1"/>
  <c r="H273" i="1" s="1"/>
  <c r="I274" i="1"/>
  <c r="I273" i="1" s="1"/>
  <c r="J274" i="1"/>
  <c r="K274" i="1"/>
  <c r="K273" i="1" s="1"/>
  <c r="L274" i="1"/>
  <c r="L273" i="1" s="1"/>
  <c r="N274" i="1"/>
  <c r="N273" i="1" s="1"/>
  <c r="O274" i="1"/>
  <c r="O273" i="1" s="1"/>
  <c r="P274" i="1"/>
  <c r="P273" i="1" s="1"/>
  <c r="Q274" i="1"/>
  <c r="Q273" i="1" s="1"/>
  <c r="R274" i="1"/>
  <c r="R273" i="1" s="1"/>
  <c r="S274" i="1"/>
  <c r="S273" i="1" s="1"/>
  <c r="U274" i="1"/>
  <c r="U273" i="1" s="1"/>
  <c r="V274" i="1"/>
  <c r="V273" i="1" s="1"/>
  <c r="W274" i="1"/>
  <c r="W273" i="1" s="1"/>
  <c r="X274" i="1"/>
  <c r="X273" i="1" s="1"/>
  <c r="Y274" i="1"/>
  <c r="Y273" i="1" s="1"/>
  <c r="F222" i="1"/>
  <c r="F221" i="1" s="1"/>
  <c r="G222" i="1"/>
  <c r="G221" i="1" s="1"/>
  <c r="H222" i="1"/>
  <c r="H221" i="1" s="1"/>
  <c r="I222" i="1"/>
  <c r="I221" i="1" s="1"/>
  <c r="J222" i="1"/>
  <c r="K222" i="1"/>
  <c r="K221" i="1" s="1"/>
  <c r="L222" i="1"/>
  <c r="L221" i="1" s="1"/>
  <c r="O222" i="1"/>
  <c r="O221" i="1" s="1"/>
  <c r="P222" i="1"/>
  <c r="P221" i="1" s="1"/>
  <c r="Q222" i="1"/>
  <c r="Q221" i="1" s="1"/>
  <c r="R222" i="1"/>
  <c r="R221" i="1" s="1"/>
  <c r="S222" i="1"/>
  <c r="S221" i="1" s="1"/>
  <c r="U222" i="1"/>
  <c r="U221" i="1" s="1"/>
  <c r="V222" i="1"/>
  <c r="V221" i="1" s="1"/>
  <c r="W222" i="1"/>
  <c r="W221" i="1" s="1"/>
  <c r="X222" i="1"/>
  <c r="X221" i="1" s="1"/>
  <c r="Y222" i="1"/>
  <c r="Y221" i="1" s="1"/>
  <c r="F223" i="1"/>
  <c r="G223" i="1"/>
  <c r="H223" i="1"/>
  <c r="I223" i="1"/>
  <c r="J223" i="1"/>
  <c r="K223" i="1"/>
  <c r="L223" i="1"/>
  <c r="N223" i="1"/>
  <c r="O223" i="1"/>
  <c r="P223" i="1"/>
  <c r="Q223" i="1"/>
  <c r="R223" i="1"/>
  <c r="S223" i="1"/>
  <c r="U223" i="1"/>
  <c r="V223" i="1"/>
  <c r="W223" i="1"/>
  <c r="X223" i="1"/>
  <c r="Y223" i="1"/>
  <c r="F224" i="1"/>
  <c r="G224" i="1"/>
  <c r="H224" i="1"/>
  <c r="I224" i="1"/>
  <c r="J224" i="1"/>
  <c r="K224" i="1"/>
  <c r="L224" i="1"/>
  <c r="N224" i="1"/>
  <c r="O224" i="1"/>
  <c r="P224" i="1"/>
  <c r="Q224" i="1"/>
  <c r="R224" i="1"/>
  <c r="S224" i="1"/>
  <c r="U224" i="1"/>
  <c r="V224" i="1"/>
  <c r="W224" i="1"/>
  <c r="X224" i="1"/>
  <c r="Y224" i="1"/>
  <c r="F225" i="1"/>
  <c r="G225" i="1"/>
  <c r="H225" i="1"/>
  <c r="I225" i="1"/>
  <c r="J225" i="1"/>
  <c r="K225" i="1"/>
  <c r="L225" i="1"/>
  <c r="N225" i="1"/>
  <c r="O225" i="1"/>
  <c r="P225" i="1"/>
  <c r="Q225" i="1"/>
  <c r="R225" i="1"/>
  <c r="S225" i="1"/>
  <c r="U225" i="1"/>
  <c r="V225" i="1"/>
  <c r="W225" i="1"/>
  <c r="X225" i="1"/>
  <c r="Y225" i="1"/>
  <c r="F226" i="1"/>
  <c r="G226" i="1"/>
  <c r="H226" i="1"/>
  <c r="I226" i="1"/>
  <c r="J226" i="1"/>
  <c r="K226" i="1"/>
  <c r="L226" i="1"/>
  <c r="N226" i="1"/>
  <c r="O226" i="1"/>
  <c r="P226" i="1"/>
  <c r="Q226" i="1"/>
  <c r="R226" i="1"/>
  <c r="S226" i="1"/>
  <c r="U226" i="1"/>
  <c r="V226" i="1"/>
  <c r="W226" i="1"/>
  <c r="X226" i="1"/>
  <c r="Y226" i="1"/>
  <c r="F227" i="1"/>
  <c r="G227" i="1"/>
  <c r="H227" i="1"/>
  <c r="I227" i="1"/>
  <c r="J227" i="1"/>
  <c r="K227" i="1"/>
  <c r="L227" i="1"/>
  <c r="N227" i="1"/>
  <c r="O227" i="1"/>
  <c r="P227" i="1"/>
  <c r="Q227" i="1"/>
  <c r="R227" i="1"/>
  <c r="S227" i="1"/>
  <c r="U227" i="1"/>
  <c r="V227" i="1"/>
  <c r="W227" i="1"/>
  <c r="X227" i="1"/>
  <c r="Y227" i="1"/>
  <c r="F228" i="1"/>
  <c r="G228" i="1"/>
  <c r="H228" i="1"/>
  <c r="I228" i="1"/>
  <c r="J228" i="1"/>
  <c r="K228" i="1"/>
  <c r="L228" i="1"/>
  <c r="N228" i="1"/>
  <c r="O228" i="1"/>
  <c r="P228" i="1"/>
  <c r="Q228" i="1"/>
  <c r="R228" i="1"/>
  <c r="S228" i="1"/>
  <c r="U228" i="1"/>
  <c r="V228" i="1"/>
  <c r="W228" i="1"/>
  <c r="X228" i="1"/>
  <c r="Y228" i="1"/>
  <c r="F229" i="1"/>
  <c r="G229" i="1"/>
  <c r="H229" i="1"/>
  <c r="I229" i="1"/>
  <c r="J229" i="1"/>
  <c r="K229" i="1"/>
  <c r="L229" i="1"/>
  <c r="N229" i="1"/>
  <c r="O229" i="1"/>
  <c r="P229" i="1"/>
  <c r="Q229" i="1"/>
  <c r="R229" i="1"/>
  <c r="S229" i="1"/>
  <c r="U229" i="1"/>
  <c r="V229" i="1"/>
  <c r="W229" i="1"/>
  <c r="X229" i="1"/>
  <c r="Y229" i="1"/>
  <c r="F176" i="1"/>
  <c r="F175" i="1" s="1"/>
  <c r="G176" i="1"/>
  <c r="G175" i="1" s="1"/>
  <c r="H176" i="1"/>
  <c r="H175" i="1" s="1"/>
  <c r="I176" i="1"/>
  <c r="I175" i="1" s="1"/>
  <c r="J176" i="1"/>
  <c r="K176" i="1"/>
  <c r="K175" i="1" s="1"/>
  <c r="L176" i="1"/>
  <c r="L175" i="1" s="1"/>
  <c r="N176" i="1"/>
  <c r="N175" i="1" s="1"/>
  <c r="O176" i="1"/>
  <c r="O175" i="1" s="1"/>
  <c r="P176" i="1"/>
  <c r="P175" i="1" s="1"/>
  <c r="Q176" i="1"/>
  <c r="Q175" i="1" s="1"/>
  <c r="R176" i="1"/>
  <c r="R175" i="1" s="1"/>
  <c r="S176" i="1"/>
  <c r="S175" i="1" s="1"/>
  <c r="U176" i="1"/>
  <c r="U175" i="1" s="1"/>
  <c r="V176" i="1"/>
  <c r="V175" i="1" s="1"/>
  <c r="W176" i="1"/>
  <c r="W175" i="1" s="1"/>
  <c r="X176" i="1"/>
  <c r="X175" i="1" s="1"/>
  <c r="Y176" i="1"/>
  <c r="Y175" i="1" s="1"/>
  <c r="F177" i="1"/>
  <c r="G177" i="1"/>
  <c r="H177" i="1"/>
  <c r="I177" i="1"/>
  <c r="J177" i="1"/>
  <c r="K177" i="1"/>
  <c r="L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AA177" i="1"/>
  <c r="F178" i="1"/>
  <c r="G178" i="1"/>
  <c r="H178" i="1"/>
  <c r="I178" i="1"/>
  <c r="J178" i="1"/>
  <c r="K178" i="1"/>
  <c r="L178" i="1"/>
  <c r="N178" i="1"/>
  <c r="O178" i="1"/>
  <c r="P178" i="1"/>
  <c r="Q178" i="1"/>
  <c r="R178" i="1"/>
  <c r="S178" i="1"/>
  <c r="U178" i="1"/>
  <c r="V178" i="1"/>
  <c r="W178" i="1"/>
  <c r="X178" i="1"/>
  <c r="Y178" i="1"/>
  <c r="F179" i="1"/>
  <c r="G179" i="1"/>
  <c r="H179" i="1"/>
  <c r="I179" i="1"/>
  <c r="J179" i="1"/>
  <c r="K179" i="1"/>
  <c r="L179" i="1"/>
  <c r="N179" i="1"/>
  <c r="O179" i="1"/>
  <c r="P179" i="1"/>
  <c r="Q179" i="1"/>
  <c r="R179" i="1"/>
  <c r="S179" i="1"/>
  <c r="U179" i="1"/>
  <c r="V179" i="1"/>
  <c r="W179" i="1"/>
  <c r="X179" i="1"/>
  <c r="Y179" i="1"/>
  <c r="F180" i="1"/>
  <c r="G180" i="1"/>
  <c r="H180" i="1"/>
  <c r="I180" i="1"/>
  <c r="J180" i="1"/>
  <c r="K180" i="1"/>
  <c r="L180" i="1"/>
  <c r="N180" i="1"/>
  <c r="O180" i="1"/>
  <c r="P180" i="1"/>
  <c r="Q180" i="1"/>
  <c r="R180" i="1"/>
  <c r="S180" i="1"/>
  <c r="U180" i="1"/>
  <c r="V180" i="1"/>
  <c r="W180" i="1"/>
  <c r="X180" i="1"/>
  <c r="Y180" i="1"/>
  <c r="F181" i="1"/>
  <c r="G181" i="1"/>
  <c r="H181" i="1"/>
  <c r="I181" i="1"/>
  <c r="J181" i="1"/>
  <c r="K181" i="1"/>
  <c r="L181" i="1"/>
  <c r="N181" i="1"/>
  <c r="O181" i="1"/>
  <c r="P181" i="1"/>
  <c r="Q181" i="1"/>
  <c r="R181" i="1"/>
  <c r="S181" i="1"/>
  <c r="U181" i="1"/>
  <c r="V181" i="1"/>
  <c r="W181" i="1"/>
  <c r="X181" i="1"/>
  <c r="Y181" i="1"/>
  <c r="F182" i="1"/>
  <c r="G182" i="1"/>
  <c r="H182" i="1"/>
  <c r="I182" i="1"/>
  <c r="J182" i="1"/>
  <c r="K182" i="1"/>
  <c r="L182" i="1"/>
  <c r="N182" i="1"/>
  <c r="O182" i="1"/>
  <c r="P182" i="1"/>
  <c r="Q182" i="1"/>
  <c r="R182" i="1"/>
  <c r="S182" i="1"/>
  <c r="U182" i="1"/>
  <c r="V182" i="1"/>
  <c r="W182" i="1"/>
  <c r="X182" i="1"/>
  <c r="Y182" i="1"/>
  <c r="F183" i="1"/>
  <c r="G183" i="1"/>
  <c r="H183" i="1"/>
  <c r="I183" i="1"/>
  <c r="J183" i="1"/>
  <c r="K183" i="1"/>
  <c r="L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AA183" i="1"/>
  <c r="F184" i="1"/>
  <c r="F488" i="1" s="1"/>
  <c r="G184" i="1"/>
  <c r="H184" i="1"/>
  <c r="I184" i="1"/>
  <c r="J184" i="1"/>
  <c r="K184" i="1"/>
  <c r="L184" i="1"/>
  <c r="L488" i="1" s="1"/>
  <c r="N184" i="1"/>
  <c r="O184" i="1"/>
  <c r="P184" i="1"/>
  <c r="Q184" i="1"/>
  <c r="R184" i="1"/>
  <c r="S184" i="1"/>
  <c r="S488" i="1" s="1"/>
  <c r="U184" i="1"/>
  <c r="V184" i="1"/>
  <c r="W184" i="1"/>
  <c r="X184" i="1"/>
  <c r="Y184" i="1"/>
  <c r="Y488" i="1" s="1"/>
  <c r="F185" i="1"/>
  <c r="G185" i="1"/>
  <c r="H185" i="1"/>
  <c r="I185" i="1"/>
  <c r="J185" i="1"/>
  <c r="K185" i="1"/>
  <c r="L185" i="1"/>
  <c r="N185" i="1"/>
  <c r="O185" i="1"/>
  <c r="P185" i="1"/>
  <c r="Q185" i="1"/>
  <c r="R185" i="1"/>
  <c r="S185" i="1"/>
  <c r="U185" i="1"/>
  <c r="V185" i="1"/>
  <c r="W185" i="1"/>
  <c r="X185" i="1"/>
  <c r="Y185" i="1"/>
  <c r="F186" i="1"/>
  <c r="G186" i="1"/>
  <c r="H186" i="1"/>
  <c r="I186" i="1"/>
  <c r="J186" i="1"/>
  <c r="K186" i="1"/>
  <c r="L186" i="1"/>
  <c r="N186" i="1"/>
  <c r="O186" i="1"/>
  <c r="P186" i="1"/>
  <c r="Q186" i="1"/>
  <c r="R186" i="1"/>
  <c r="S186" i="1"/>
  <c r="U186" i="1"/>
  <c r="V186" i="1"/>
  <c r="W186" i="1"/>
  <c r="X186" i="1"/>
  <c r="Y186" i="1"/>
  <c r="F187" i="1"/>
  <c r="G187" i="1"/>
  <c r="H187" i="1"/>
  <c r="I187" i="1"/>
  <c r="J187" i="1"/>
  <c r="K187" i="1"/>
  <c r="L187" i="1"/>
  <c r="N187" i="1"/>
  <c r="O187" i="1"/>
  <c r="P187" i="1"/>
  <c r="Q187" i="1"/>
  <c r="R187" i="1"/>
  <c r="S187" i="1"/>
  <c r="U187" i="1"/>
  <c r="V187" i="1"/>
  <c r="W187" i="1"/>
  <c r="X187" i="1"/>
  <c r="Y187" i="1"/>
  <c r="F78" i="1"/>
  <c r="F77" i="1" s="1"/>
  <c r="G78" i="1"/>
  <c r="G77" i="1" s="1"/>
  <c r="H78" i="1"/>
  <c r="H77" i="1" s="1"/>
  <c r="I78" i="1"/>
  <c r="I77" i="1" s="1"/>
  <c r="J78" i="1"/>
  <c r="J77" i="1" s="1"/>
  <c r="K78" i="1"/>
  <c r="K77" i="1" s="1"/>
  <c r="L78" i="1"/>
  <c r="L77" i="1" s="1"/>
  <c r="N78" i="1"/>
  <c r="N77" i="1" s="1"/>
  <c r="O78" i="1"/>
  <c r="O77" i="1" s="1"/>
  <c r="P78" i="1"/>
  <c r="P77" i="1" s="1"/>
  <c r="Q78" i="1"/>
  <c r="Q77" i="1" s="1"/>
  <c r="R78" i="1"/>
  <c r="R77" i="1" s="1"/>
  <c r="S78" i="1"/>
  <c r="S77" i="1" s="1"/>
  <c r="U78" i="1"/>
  <c r="U77" i="1" s="1"/>
  <c r="V78" i="1"/>
  <c r="V77" i="1" s="1"/>
  <c r="W78" i="1"/>
  <c r="W77" i="1" s="1"/>
  <c r="X78" i="1"/>
  <c r="X77" i="1" s="1"/>
  <c r="Y78" i="1"/>
  <c r="Y77" i="1" s="1"/>
  <c r="F79" i="1"/>
  <c r="G79" i="1"/>
  <c r="H79" i="1"/>
  <c r="I79" i="1"/>
  <c r="J79" i="1"/>
  <c r="K79" i="1"/>
  <c r="L79" i="1"/>
  <c r="N79" i="1"/>
  <c r="O79" i="1"/>
  <c r="P79" i="1"/>
  <c r="Q79" i="1"/>
  <c r="R79" i="1"/>
  <c r="S79" i="1"/>
  <c r="U79" i="1"/>
  <c r="V79" i="1"/>
  <c r="W79" i="1"/>
  <c r="X79" i="1"/>
  <c r="Y79" i="1"/>
  <c r="F80" i="1"/>
  <c r="G80" i="1"/>
  <c r="H80" i="1"/>
  <c r="I80" i="1"/>
  <c r="J80" i="1"/>
  <c r="K80" i="1"/>
  <c r="L80" i="1"/>
  <c r="N80" i="1"/>
  <c r="O80" i="1"/>
  <c r="P80" i="1"/>
  <c r="Q80" i="1"/>
  <c r="R80" i="1"/>
  <c r="S80" i="1"/>
  <c r="U80" i="1"/>
  <c r="V80" i="1"/>
  <c r="W80" i="1"/>
  <c r="X80" i="1"/>
  <c r="Y80" i="1"/>
  <c r="F81" i="1"/>
  <c r="G81" i="1"/>
  <c r="H81" i="1"/>
  <c r="I81" i="1"/>
  <c r="J81" i="1"/>
  <c r="K81" i="1"/>
  <c r="L81" i="1"/>
  <c r="N81" i="1"/>
  <c r="O81" i="1"/>
  <c r="P81" i="1"/>
  <c r="Q81" i="1"/>
  <c r="R81" i="1"/>
  <c r="S81" i="1"/>
  <c r="U81" i="1"/>
  <c r="V81" i="1"/>
  <c r="W81" i="1"/>
  <c r="X81" i="1"/>
  <c r="Y81" i="1"/>
  <c r="F82" i="1"/>
  <c r="G82" i="1"/>
  <c r="H82" i="1"/>
  <c r="I82" i="1"/>
  <c r="J82" i="1"/>
  <c r="K82" i="1"/>
  <c r="L82" i="1"/>
  <c r="N82" i="1"/>
  <c r="O82" i="1"/>
  <c r="P82" i="1"/>
  <c r="Q82" i="1"/>
  <c r="R82" i="1"/>
  <c r="S82" i="1"/>
  <c r="U82" i="1"/>
  <c r="V82" i="1"/>
  <c r="W82" i="1"/>
  <c r="X82" i="1"/>
  <c r="Y82" i="1"/>
  <c r="F83" i="1"/>
  <c r="G83" i="1"/>
  <c r="H83" i="1"/>
  <c r="I83" i="1"/>
  <c r="J83" i="1"/>
  <c r="K83" i="1"/>
  <c r="L83" i="1"/>
  <c r="N83" i="1"/>
  <c r="O83" i="1"/>
  <c r="P83" i="1"/>
  <c r="Q83" i="1"/>
  <c r="R83" i="1"/>
  <c r="S83" i="1"/>
  <c r="U83" i="1"/>
  <c r="V83" i="1"/>
  <c r="W83" i="1"/>
  <c r="X83" i="1"/>
  <c r="Y83" i="1"/>
  <c r="F84" i="1"/>
  <c r="G84" i="1"/>
  <c r="H84" i="1"/>
  <c r="I84" i="1"/>
  <c r="J84" i="1"/>
  <c r="K84" i="1"/>
  <c r="L84" i="1"/>
  <c r="N84" i="1"/>
  <c r="O84" i="1"/>
  <c r="P84" i="1"/>
  <c r="Q84" i="1"/>
  <c r="R84" i="1"/>
  <c r="S84" i="1"/>
  <c r="U84" i="1"/>
  <c r="V84" i="1"/>
  <c r="W84" i="1"/>
  <c r="X84" i="1"/>
  <c r="Y84" i="1"/>
  <c r="F85" i="1"/>
  <c r="G85" i="1"/>
  <c r="H85" i="1"/>
  <c r="I85" i="1"/>
  <c r="J85" i="1"/>
  <c r="K85" i="1"/>
  <c r="L85" i="1"/>
  <c r="N85" i="1"/>
  <c r="O85" i="1"/>
  <c r="P85" i="1"/>
  <c r="Q85" i="1"/>
  <c r="R85" i="1"/>
  <c r="S85" i="1"/>
  <c r="U85" i="1"/>
  <c r="V85" i="1"/>
  <c r="W85" i="1"/>
  <c r="X85" i="1"/>
  <c r="Y85" i="1"/>
  <c r="F86" i="1"/>
  <c r="G86" i="1"/>
  <c r="H86" i="1"/>
  <c r="I86" i="1"/>
  <c r="J86" i="1"/>
  <c r="K86" i="1"/>
  <c r="L86" i="1"/>
  <c r="N86" i="1"/>
  <c r="O86" i="1"/>
  <c r="P86" i="1"/>
  <c r="Q86" i="1"/>
  <c r="R86" i="1"/>
  <c r="S86" i="1"/>
  <c r="U86" i="1"/>
  <c r="V86" i="1"/>
  <c r="W86" i="1"/>
  <c r="X86" i="1"/>
  <c r="Y86" i="1"/>
  <c r="F87" i="1"/>
  <c r="G87" i="1"/>
  <c r="H87" i="1"/>
  <c r="I87" i="1"/>
  <c r="J87" i="1"/>
  <c r="K87" i="1"/>
  <c r="L87" i="1"/>
  <c r="N87" i="1"/>
  <c r="O87" i="1"/>
  <c r="P87" i="1"/>
  <c r="Q87" i="1"/>
  <c r="R87" i="1"/>
  <c r="S87" i="1"/>
  <c r="U87" i="1"/>
  <c r="V87" i="1"/>
  <c r="W87" i="1"/>
  <c r="X87" i="1"/>
  <c r="Y87" i="1"/>
  <c r="F88" i="1"/>
  <c r="G88" i="1"/>
  <c r="H88" i="1"/>
  <c r="I88" i="1"/>
  <c r="J88" i="1"/>
  <c r="K88" i="1"/>
  <c r="L88" i="1"/>
  <c r="N88" i="1"/>
  <c r="O88" i="1"/>
  <c r="P88" i="1"/>
  <c r="Q88" i="1"/>
  <c r="R88" i="1"/>
  <c r="S88" i="1"/>
  <c r="U88" i="1"/>
  <c r="V88" i="1"/>
  <c r="W88" i="1"/>
  <c r="X88" i="1"/>
  <c r="Y88" i="1"/>
  <c r="F89" i="1"/>
  <c r="G89" i="1"/>
  <c r="H89" i="1"/>
  <c r="I89" i="1"/>
  <c r="J89" i="1"/>
  <c r="K89" i="1"/>
  <c r="L89" i="1"/>
  <c r="N89" i="1"/>
  <c r="O89" i="1"/>
  <c r="P89" i="1"/>
  <c r="Q89" i="1"/>
  <c r="R89" i="1"/>
  <c r="S89" i="1"/>
  <c r="U89" i="1"/>
  <c r="V89" i="1"/>
  <c r="W89" i="1"/>
  <c r="X89" i="1"/>
  <c r="Y89" i="1"/>
  <c r="F90" i="1"/>
  <c r="G90" i="1"/>
  <c r="H90" i="1"/>
  <c r="I90" i="1"/>
  <c r="J90" i="1"/>
  <c r="K90" i="1"/>
  <c r="L90" i="1"/>
  <c r="N90" i="1"/>
  <c r="O90" i="1"/>
  <c r="P90" i="1"/>
  <c r="Q90" i="1"/>
  <c r="R90" i="1"/>
  <c r="S90" i="1"/>
  <c r="U90" i="1"/>
  <c r="V90" i="1"/>
  <c r="W90" i="1"/>
  <c r="X90" i="1"/>
  <c r="Y90" i="1"/>
  <c r="F91" i="1"/>
  <c r="G91" i="1"/>
  <c r="H91" i="1"/>
  <c r="I91" i="1"/>
  <c r="J91" i="1"/>
  <c r="K91" i="1"/>
  <c r="L91" i="1"/>
  <c r="N91" i="1"/>
  <c r="O91" i="1"/>
  <c r="P91" i="1"/>
  <c r="Q91" i="1"/>
  <c r="R91" i="1"/>
  <c r="S91" i="1"/>
  <c r="U91" i="1"/>
  <c r="V91" i="1"/>
  <c r="W91" i="1"/>
  <c r="X91" i="1"/>
  <c r="Y91" i="1"/>
  <c r="F92" i="1"/>
  <c r="G92" i="1"/>
  <c r="H92" i="1"/>
  <c r="I92" i="1"/>
  <c r="J92" i="1"/>
  <c r="K92" i="1"/>
  <c r="L92" i="1"/>
  <c r="N92" i="1"/>
  <c r="O92" i="1"/>
  <c r="P92" i="1"/>
  <c r="Q92" i="1"/>
  <c r="R92" i="1"/>
  <c r="S92" i="1"/>
  <c r="S486" i="1" s="1"/>
  <c r="U92" i="1"/>
  <c r="V92" i="1"/>
  <c r="W92" i="1"/>
  <c r="X92" i="1"/>
  <c r="Y92" i="1"/>
  <c r="F18" i="1"/>
  <c r="F17" i="1" s="1"/>
  <c r="G18" i="1"/>
  <c r="G17" i="1" s="1"/>
  <c r="H18" i="1"/>
  <c r="H17" i="1" s="1"/>
  <c r="I18" i="1"/>
  <c r="I17" i="1" s="1"/>
  <c r="J18" i="1"/>
  <c r="K18" i="1"/>
  <c r="K17" i="1" s="1"/>
  <c r="L18" i="1"/>
  <c r="L17" i="1" s="1"/>
  <c r="N18" i="1"/>
  <c r="N17" i="1" s="1"/>
  <c r="O18" i="1"/>
  <c r="O17" i="1" s="1"/>
  <c r="P18" i="1"/>
  <c r="P17" i="1" s="1"/>
  <c r="Q18" i="1"/>
  <c r="Q17" i="1" s="1"/>
  <c r="R18" i="1"/>
  <c r="R17" i="1" s="1"/>
  <c r="S18" i="1"/>
  <c r="S17" i="1" s="1"/>
  <c r="U18" i="1"/>
  <c r="U17" i="1" s="1"/>
  <c r="V18" i="1"/>
  <c r="V17" i="1" s="1"/>
  <c r="W18" i="1"/>
  <c r="W17" i="1" s="1"/>
  <c r="X18" i="1"/>
  <c r="X17" i="1" s="1"/>
  <c r="Y18" i="1"/>
  <c r="Y17" i="1" s="1"/>
  <c r="F19" i="1"/>
  <c r="G19" i="1"/>
  <c r="H19" i="1"/>
  <c r="I19" i="1"/>
  <c r="J19" i="1"/>
  <c r="K19" i="1"/>
  <c r="L19" i="1"/>
  <c r="N19" i="1"/>
  <c r="O19" i="1"/>
  <c r="P19" i="1"/>
  <c r="Q19" i="1"/>
  <c r="R19" i="1"/>
  <c r="S19" i="1"/>
  <c r="U19" i="1"/>
  <c r="V19" i="1"/>
  <c r="W19" i="1"/>
  <c r="X19" i="1"/>
  <c r="Y19" i="1"/>
  <c r="F20" i="1"/>
  <c r="G20" i="1"/>
  <c r="H20" i="1"/>
  <c r="I20" i="1"/>
  <c r="J20" i="1"/>
  <c r="K20" i="1"/>
  <c r="L20" i="1"/>
  <c r="N20" i="1"/>
  <c r="O20" i="1"/>
  <c r="P20" i="1"/>
  <c r="Q20" i="1"/>
  <c r="R20" i="1"/>
  <c r="S20" i="1"/>
  <c r="U20" i="1"/>
  <c r="V20" i="1"/>
  <c r="W20" i="1"/>
  <c r="X20" i="1"/>
  <c r="Y20" i="1"/>
  <c r="F21" i="1"/>
  <c r="G21" i="1"/>
  <c r="H21" i="1"/>
  <c r="I21" i="1"/>
  <c r="J21" i="1"/>
  <c r="K21" i="1"/>
  <c r="L21" i="1"/>
  <c r="N21" i="1"/>
  <c r="O21" i="1"/>
  <c r="P21" i="1"/>
  <c r="Q21" i="1"/>
  <c r="R21" i="1"/>
  <c r="S21" i="1"/>
  <c r="U21" i="1"/>
  <c r="V21" i="1"/>
  <c r="W21" i="1"/>
  <c r="X21" i="1"/>
  <c r="Y21" i="1"/>
  <c r="F22" i="1"/>
  <c r="G22" i="1"/>
  <c r="H22" i="1"/>
  <c r="I22" i="1"/>
  <c r="J22" i="1"/>
  <c r="K22" i="1"/>
  <c r="L22" i="1"/>
  <c r="N22" i="1"/>
  <c r="O22" i="1"/>
  <c r="P22" i="1"/>
  <c r="Q22" i="1"/>
  <c r="R22" i="1"/>
  <c r="S22" i="1"/>
  <c r="U22" i="1"/>
  <c r="V22" i="1"/>
  <c r="W22" i="1"/>
  <c r="X22" i="1"/>
  <c r="Y22" i="1"/>
  <c r="F23" i="1"/>
  <c r="F489" i="1" s="1"/>
  <c r="G23" i="1"/>
  <c r="H23" i="1"/>
  <c r="I23" i="1"/>
  <c r="I489" i="1" s="1"/>
  <c r="J23" i="1"/>
  <c r="J489" i="1" s="1"/>
  <c r="K23" i="1"/>
  <c r="K489" i="1" s="1"/>
  <c r="L23" i="1"/>
  <c r="N23" i="1"/>
  <c r="O23" i="1"/>
  <c r="O489" i="1" s="1"/>
  <c r="P23" i="1"/>
  <c r="Q23" i="1"/>
  <c r="Q489" i="1" s="1"/>
  <c r="R23" i="1"/>
  <c r="R489" i="1" s="1"/>
  <c r="S23" i="1"/>
  <c r="S489" i="1" s="1"/>
  <c r="U23" i="1"/>
  <c r="U489" i="1" s="1"/>
  <c r="V23" i="1"/>
  <c r="W23" i="1"/>
  <c r="W489" i="1" s="1"/>
  <c r="X23" i="1"/>
  <c r="X489" i="1" s="1"/>
  <c r="Y23" i="1"/>
  <c r="Y489" i="1" s="1"/>
  <c r="AA159" i="1"/>
  <c r="AA253" i="1"/>
  <c r="AA291" i="1"/>
  <c r="AA344" i="1"/>
  <c r="AA377" i="1"/>
  <c r="AA423" i="1"/>
  <c r="AA469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AA63" i="1" s="1"/>
  <c r="T64" i="1"/>
  <c r="T65" i="1"/>
  <c r="T66" i="1"/>
  <c r="T67" i="1"/>
  <c r="T68" i="1"/>
  <c r="T69" i="1"/>
  <c r="T70" i="1"/>
  <c r="T71" i="1"/>
  <c r="T72" i="1"/>
  <c r="T73" i="1"/>
  <c r="T74" i="1"/>
  <c r="T75" i="1"/>
  <c r="AA75" i="1" s="1"/>
  <c r="T76" i="1"/>
  <c r="T93" i="1"/>
  <c r="AA93" i="1" s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AA113" i="1" s="1"/>
  <c r="T114" i="1"/>
  <c r="T115" i="1"/>
  <c r="T116" i="1"/>
  <c r="T117" i="1"/>
  <c r="T118" i="1"/>
  <c r="T119" i="1"/>
  <c r="T120" i="1"/>
  <c r="T121" i="1"/>
  <c r="T122" i="1"/>
  <c r="T123" i="1"/>
  <c r="T124" i="1"/>
  <c r="T125" i="1"/>
  <c r="AA125" i="1" s="1"/>
  <c r="T126" i="1"/>
  <c r="T127" i="1"/>
  <c r="T128" i="1"/>
  <c r="T129" i="1"/>
  <c r="T130" i="1"/>
  <c r="T131" i="1"/>
  <c r="T132" i="1"/>
  <c r="T133" i="1"/>
  <c r="T134" i="1"/>
  <c r="T135" i="1"/>
  <c r="T136" i="1"/>
  <c r="T137" i="1"/>
  <c r="AA137" i="1" s="1"/>
  <c r="T138" i="1"/>
  <c r="T139" i="1"/>
  <c r="T140" i="1"/>
  <c r="T141" i="1"/>
  <c r="T142" i="1"/>
  <c r="T143" i="1"/>
  <c r="T144" i="1"/>
  <c r="T145" i="1"/>
  <c r="T146" i="1"/>
  <c r="T147" i="1"/>
  <c r="T148" i="1"/>
  <c r="T149" i="1"/>
  <c r="AA149" i="1" s="1"/>
  <c r="T150" i="1"/>
  <c r="T151" i="1"/>
  <c r="T152" i="1"/>
  <c r="T153" i="1"/>
  <c r="T154" i="1"/>
  <c r="T155" i="1"/>
  <c r="T156" i="1"/>
  <c r="T157" i="1"/>
  <c r="T158" i="1"/>
  <c r="T159" i="1"/>
  <c r="T160" i="1"/>
  <c r="T161" i="1"/>
  <c r="AA161" i="1" s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88" i="1"/>
  <c r="T189" i="1"/>
  <c r="T190" i="1"/>
  <c r="T191" i="1"/>
  <c r="T192" i="1"/>
  <c r="T193" i="1"/>
  <c r="T194" i="1"/>
  <c r="T195" i="1"/>
  <c r="T178" i="1" s="1"/>
  <c r="T196" i="1"/>
  <c r="T197" i="1"/>
  <c r="AA197" i="1" s="1"/>
  <c r="T198" i="1"/>
  <c r="T199" i="1"/>
  <c r="T200" i="1"/>
  <c r="T201" i="1"/>
  <c r="T202" i="1"/>
  <c r="T203" i="1"/>
  <c r="T204" i="1"/>
  <c r="T205" i="1"/>
  <c r="T206" i="1"/>
  <c r="T207" i="1"/>
  <c r="T208" i="1"/>
  <c r="T209" i="1"/>
  <c r="AA209" i="1" s="1"/>
  <c r="T210" i="1"/>
  <c r="T212" i="1"/>
  <c r="T213" i="1"/>
  <c r="T214" i="1"/>
  <c r="T215" i="1"/>
  <c r="T216" i="1"/>
  <c r="T217" i="1"/>
  <c r="T218" i="1"/>
  <c r="T219" i="1"/>
  <c r="AA219" i="1" s="1"/>
  <c r="T220" i="1"/>
  <c r="T230" i="1"/>
  <c r="T231" i="1"/>
  <c r="AA231" i="1" s="1"/>
  <c r="T232" i="1"/>
  <c r="T233" i="1"/>
  <c r="T234" i="1"/>
  <c r="T235" i="1"/>
  <c r="AA235" i="1" s="1"/>
  <c r="T236" i="1"/>
  <c r="T237" i="1"/>
  <c r="T238" i="1"/>
  <c r="T239" i="1"/>
  <c r="T240" i="1"/>
  <c r="T241" i="1"/>
  <c r="T242" i="1"/>
  <c r="T243" i="1"/>
  <c r="T244" i="1"/>
  <c r="T245" i="1"/>
  <c r="T224" i="1" s="1"/>
  <c r="T246" i="1"/>
  <c r="T247" i="1"/>
  <c r="T248" i="1"/>
  <c r="T249" i="1"/>
  <c r="T250" i="1"/>
  <c r="T251" i="1"/>
  <c r="T252" i="1"/>
  <c r="T253" i="1"/>
  <c r="T254" i="1"/>
  <c r="T255" i="1"/>
  <c r="T229" i="1" s="1"/>
  <c r="T256" i="1"/>
  <c r="T257" i="1"/>
  <c r="T258" i="1"/>
  <c r="T259" i="1"/>
  <c r="AA259" i="1" s="1"/>
  <c r="AA226" i="1" s="1"/>
  <c r="T260" i="1"/>
  <c r="T261" i="1"/>
  <c r="AA261" i="1" s="1"/>
  <c r="AA227" i="1" s="1"/>
  <c r="T262" i="1"/>
  <c r="T263" i="1"/>
  <c r="T264" i="1"/>
  <c r="T265" i="1"/>
  <c r="T266" i="1"/>
  <c r="T267" i="1"/>
  <c r="AA267" i="1" s="1"/>
  <c r="T268" i="1"/>
  <c r="T269" i="1"/>
  <c r="AA269" i="1" s="1"/>
  <c r="T270" i="1"/>
  <c r="T271" i="1"/>
  <c r="T272" i="1"/>
  <c r="T275" i="1"/>
  <c r="T276" i="1"/>
  <c r="AA276" i="1" s="1"/>
  <c r="T277" i="1"/>
  <c r="T278" i="1"/>
  <c r="T279" i="1"/>
  <c r="T280" i="1"/>
  <c r="T281" i="1"/>
  <c r="AA281" i="1" s="1"/>
  <c r="T285" i="1"/>
  <c r="T286" i="1"/>
  <c r="T287" i="1"/>
  <c r="T288" i="1"/>
  <c r="T289" i="1"/>
  <c r="AA289" i="1" s="1"/>
  <c r="AA284" i="1" s="1"/>
  <c r="T290" i="1"/>
  <c r="T291" i="1"/>
  <c r="T292" i="1"/>
  <c r="T293" i="1"/>
  <c r="T294" i="1"/>
  <c r="T295" i="1"/>
  <c r="T310" i="1"/>
  <c r="T311" i="1"/>
  <c r="T312" i="1"/>
  <c r="T313" i="1"/>
  <c r="S177" i="3" s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04" i="1" s="1"/>
  <c r="T330" i="1"/>
  <c r="T331" i="1"/>
  <c r="T332" i="1"/>
  <c r="T333" i="1"/>
  <c r="T334" i="1"/>
  <c r="T335" i="1"/>
  <c r="T336" i="1"/>
  <c r="T337" i="1"/>
  <c r="T338" i="1"/>
  <c r="T339" i="1"/>
  <c r="T299" i="1" s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06" i="1" s="1"/>
  <c r="T352" i="1"/>
  <c r="T353" i="1"/>
  <c r="T354" i="1"/>
  <c r="T355" i="1"/>
  <c r="T356" i="1"/>
  <c r="T357" i="1"/>
  <c r="T358" i="1"/>
  <c r="T359" i="1"/>
  <c r="T360" i="1"/>
  <c r="T361" i="1"/>
  <c r="T362" i="1"/>
  <c r="AA362" i="1" s="1"/>
  <c r="AA308" i="1" s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AA375" i="1" s="1"/>
  <c r="T376" i="1"/>
  <c r="T377" i="1"/>
  <c r="T378" i="1"/>
  <c r="T379" i="1"/>
  <c r="T380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AA401" i="1" s="1"/>
  <c r="T402" i="1"/>
  <c r="T403" i="1"/>
  <c r="T404" i="1"/>
  <c r="T405" i="1"/>
  <c r="T406" i="1"/>
  <c r="AA406" i="1" s="1"/>
  <c r="T407" i="1"/>
  <c r="T408" i="1"/>
  <c r="T409" i="1"/>
  <c r="T410" i="1"/>
  <c r="AA410" i="1" s="1"/>
  <c r="AA383" i="1" s="1"/>
  <c r="T411" i="1"/>
  <c r="T412" i="1"/>
  <c r="T413" i="1"/>
  <c r="T386" i="1" s="1"/>
  <c r="T414" i="1"/>
  <c r="T415" i="1"/>
  <c r="T416" i="1"/>
  <c r="T417" i="1"/>
  <c r="T418" i="1"/>
  <c r="T419" i="1"/>
  <c r="T420" i="1"/>
  <c r="T421" i="1"/>
  <c r="T422" i="1"/>
  <c r="T423" i="1"/>
  <c r="T424" i="1"/>
  <c r="T427" i="1"/>
  <c r="T430" i="1"/>
  <c r="T431" i="1"/>
  <c r="T432" i="1"/>
  <c r="T433" i="1"/>
  <c r="T434" i="1"/>
  <c r="T435" i="1"/>
  <c r="AA435" i="1" s="1"/>
  <c r="T436" i="1"/>
  <c r="T437" i="1"/>
  <c r="T438" i="1"/>
  <c r="T439" i="1"/>
  <c r="T443" i="1"/>
  <c r="T444" i="1"/>
  <c r="T445" i="1"/>
  <c r="T446" i="1"/>
  <c r="T447" i="1"/>
  <c r="AA447" i="1" s="1"/>
  <c r="T448" i="1"/>
  <c r="T449" i="1"/>
  <c r="T442" i="1" s="1"/>
  <c r="T452" i="1"/>
  <c r="AA452" i="1" s="1"/>
  <c r="T453" i="1"/>
  <c r="T454" i="1"/>
  <c r="T455" i="1"/>
  <c r="T456" i="1"/>
  <c r="T457" i="1"/>
  <c r="T458" i="1"/>
  <c r="T459" i="1"/>
  <c r="T460" i="1"/>
  <c r="T465" i="1"/>
  <c r="T466" i="1"/>
  <c r="AA466" i="1" s="1"/>
  <c r="AA464" i="1" s="1"/>
  <c r="T467" i="1"/>
  <c r="T468" i="1"/>
  <c r="T469" i="1"/>
  <c r="T470" i="1"/>
  <c r="T471" i="1"/>
  <c r="T472" i="1"/>
  <c r="T473" i="1"/>
  <c r="T463" i="1" s="1"/>
  <c r="T474" i="1"/>
  <c r="T475" i="1"/>
  <c r="T476" i="1"/>
  <c r="T477" i="1"/>
  <c r="T481" i="1"/>
  <c r="AA481" i="1" s="1"/>
  <c r="AA479" i="1" s="1"/>
  <c r="AA478" i="1" s="1"/>
  <c r="T482" i="1"/>
  <c r="AA482" i="1" s="1"/>
  <c r="AA480" i="1" s="1"/>
  <c r="J221" i="1" l="1"/>
  <c r="P352" i="3"/>
  <c r="Q501" i="1" s="1"/>
  <c r="I285" i="3"/>
  <c r="L285" i="3" s="1"/>
  <c r="X232" i="3"/>
  <c r="X354" i="3" s="1"/>
  <c r="Y503" i="1" s="1"/>
  <c r="S232" i="3"/>
  <c r="Y304" i="3"/>
  <c r="U232" i="3"/>
  <c r="U354" i="3" s="1"/>
  <c r="S108" i="3"/>
  <c r="Z108" i="3" s="1"/>
  <c r="U36" i="3"/>
  <c r="Y108" i="3"/>
  <c r="S101" i="3"/>
  <c r="Z93" i="3"/>
  <c r="AA96" i="1"/>
  <c r="S48" i="3"/>
  <c r="Y49" i="3"/>
  <c r="S292" i="3"/>
  <c r="X353" i="3"/>
  <c r="Y502" i="1" s="1"/>
  <c r="T353" i="3"/>
  <c r="S253" i="3"/>
  <c r="X240" i="3"/>
  <c r="S245" i="3"/>
  <c r="S104" i="3"/>
  <c r="S316" i="3"/>
  <c r="Z316" i="3"/>
  <c r="S315" i="3"/>
  <c r="S297" i="3"/>
  <c r="S183" i="3"/>
  <c r="Y181" i="3"/>
  <c r="Y143" i="3"/>
  <c r="Z181" i="3"/>
  <c r="T142" i="3"/>
  <c r="S179" i="3"/>
  <c r="S117" i="3"/>
  <c r="X352" i="3"/>
  <c r="T352" i="3"/>
  <c r="S116" i="3"/>
  <c r="Y116" i="3" s="1"/>
  <c r="S268" i="3"/>
  <c r="Z106" i="3"/>
  <c r="X34" i="3"/>
  <c r="S98" i="3"/>
  <c r="X41" i="3"/>
  <c r="S91" i="3"/>
  <c r="S78" i="3"/>
  <c r="S36" i="3"/>
  <c r="T36" i="3"/>
  <c r="T351" i="3" s="1"/>
  <c r="S74" i="3"/>
  <c r="S47" i="3"/>
  <c r="Z110" i="3"/>
  <c r="L31" i="3"/>
  <c r="L98" i="3"/>
  <c r="L95" i="3"/>
  <c r="L39" i="3"/>
  <c r="Z95" i="3"/>
  <c r="I37" i="3"/>
  <c r="Z91" i="3"/>
  <c r="I35" i="3"/>
  <c r="L35" i="3" s="1"/>
  <c r="L68" i="3"/>
  <c r="Z68" i="3"/>
  <c r="L30" i="3"/>
  <c r="I29" i="3"/>
  <c r="L29" i="3" s="1"/>
  <c r="L65" i="3"/>
  <c r="L61" i="3"/>
  <c r="Z35" i="3"/>
  <c r="Z61" i="3"/>
  <c r="Z29" i="3"/>
  <c r="L60" i="3"/>
  <c r="Z60" i="3"/>
  <c r="I207" i="3"/>
  <c r="L207" i="3" s="1"/>
  <c r="Z192" i="3"/>
  <c r="Z168" i="3"/>
  <c r="L140" i="3"/>
  <c r="L165" i="3"/>
  <c r="L139" i="3"/>
  <c r="Z165" i="3"/>
  <c r="I138" i="3"/>
  <c r="Z138" i="3" s="1"/>
  <c r="L153" i="3"/>
  <c r="Z149" i="3"/>
  <c r="L149" i="3"/>
  <c r="L138" i="3"/>
  <c r="S134" i="3"/>
  <c r="T113" i="3"/>
  <c r="X113" i="3"/>
  <c r="Z132" i="3"/>
  <c r="S113" i="3"/>
  <c r="Y113" i="3" s="1"/>
  <c r="L117" i="3"/>
  <c r="Z117" i="3"/>
  <c r="L116" i="3"/>
  <c r="L113" i="3"/>
  <c r="I307" i="3"/>
  <c r="L318" i="3"/>
  <c r="Z318" i="3"/>
  <c r="I312" i="3"/>
  <c r="L316" i="3"/>
  <c r="S201" i="3"/>
  <c r="S213" i="3"/>
  <c r="T343" i="3"/>
  <c r="T335" i="3" s="1"/>
  <c r="S346" i="3"/>
  <c r="Y346" i="3" s="1"/>
  <c r="S343" i="3"/>
  <c r="Y343" i="3" s="1"/>
  <c r="S347" i="3"/>
  <c r="Y347" i="3" s="1"/>
  <c r="S327" i="3"/>
  <c r="Y327" i="3" s="1"/>
  <c r="S322" i="3"/>
  <c r="S319" i="3" s="1"/>
  <c r="AA71" i="1"/>
  <c r="T310" i="3"/>
  <c r="V310" i="3"/>
  <c r="U310" i="3"/>
  <c r="S314" i="3"/>
  <c r="Y314" i="3" s="1"/>
  <c r="S303" i="3"/>
  <c r="Z300" i="3"/>
  <c r="X284" i="3"/>
  <c r="S296" i="3"/>
  <c r="S295" i="3"/>
  <c r="S294" i="3"/>
  <c r="S290" i="3"/>
  <c r="Y290" i="3" s="1"/>
  <c r="S283" i="3"/>
  <c r="S267" i="3"/>
  <c r="S263" i="3"/>
  <c r="S256" i="3"/>
  <c r="S254" i="3"/>
  <c r="S252" i="3"/>
  <c r="S251" i="3"/>
  <c r="Y247" i="3"/>
  <c r="T236" i="3"/>
  <c r="S244" i="3"/>
  <c r="X236" i="3"/>
  <c r="X223" i="3" s="1"/>
  <c r="S242" i="3"/>
  <c r="S222" i="3"/>
  <c r="S221" i="3"/>
  <c r="S217" i="3"/>
  <c r="S215" i="3"/>
  <c r="S211" i="3"/>
  <c r="T195" i="3"/>
  <c r="AA47" i="1"/>
  <c r="S204" i="3"/>
  <c r="Y204" i="3" s="1"/>
  <c r="S200" i="3"/>
  <c r="X188" i="3"/>
  <c r="S191" i="3"/>
  <c r="S190" i="3"/>
  <c r="S184" i="3"/>
  <c r="S182" i="3"/>
  <c r="S180" i="3"/>
  <c r="S178" i="3"/>
  <c r="U349" i="3"/>
  <c r="U350" i="3"/>
  <c r="Z177" i="3"/>
  <c r="Q206" i="3"/>
  <c r="N135" i="3"/>
  <c r="G135" i="3"/>
  <c r="E135" i="3"/>
  <c r="Q19" i="3"/>
  <c r="W19" i="3"/>
  <c r="U19" i="3"/>
  <c r="S24" i="3"/>
  <c r="P206" i="3"/>
  <c r="S209" i="3"/>
  <c r="F135" i="3"/>
  <c r="Z24" i="3"/>
  <c r="I20" i="3"/>
  <c r="K19" i="3"/>
  <c r="G19" i="3"/>
  <c r="G349" i="3"/>
  <c r="U206" i="3"/>
  <c r="S210" i="3"/>
  <c r="E206" i="3"/>
  <c r="R135" i="3"/>
  <c r="Q135" i="3"/>
  <c r="O135" i="3"/>
  <c r="H135" i="3"/>
  <c r="E19" i="3"/>
  <c r="S22" i="3"/>
  <c r="T19" i="3"/>
  <c r="O19" i="3"/>
  <c r="H19" i="3"/>
  <c r="X135" i="3"/>
  <c r="W135" i="3"/>
  <c r="AA35" i="1"/>
  <c r="S162" i="3"/>
  <c r="T135" i="3"/>
  <c r="V135" i="3"/>
  <c r="S156" i="3"/>
  <c r="U135" i="3"/>
  <c r="S133" i="3"/>
  <c r="S131" i="3"/>
  <c r="S130" i="3"/>
  <c r="AA205" i="1"/>
  <c r="S129" i="3"/>
  <c r="U111" i="3"/>
  <c r="T111" i="3"/>
  <c r="S124" i="3"/>
  <c r="Y124" i="3" s="1"/>
  <c r="X111" i="3"/>
  <c r="S115" i="3"/>
  <c r="S107" i="3"/>
  <c r="S105" i="3"/>
  <c r="Y105" i="3" s="1"/>
  <c r="S103" i="3"/>
  <c r="S102" i="3"/>
  <c r="S100" i="3"/>
  <c r="S99" i="3"/>
  <c r="S97" i="3"/>
  <c r="Z90" i="3"/>
  <c r="S90" i="3"/>
  <c r="Y90" i="3" s="1"/>
  <c r="Z88" i="3"/>
  <c r="S84" i="3"/>
  <c r="S81" i="3"/>
  <c r="S79" i="3"/>
  <c r="AA120" i="1"/>
  <c r="S77" i="3"/>
  <c r="S73" i="3"/>
  <c r="S72" i="3"/>
  <c r="S71" i="3"/>
  <c r="S58" i="3"/>
  <c r="S55" i="3"/>
  <c r="U28" i="3"/>
  <c r="W28" i="3"/>
  <c r="V28" i="3"/>
  <c r="S46" i="3"/>
  <c r="S44" i="3"/>
  <c r="S21" i="3"/>
  <c r="S19" i="3" s="1"/>
  <c r="Z346" i="3"/>
  <c r="Z343" i="3"/>
  <c r="L346" i="3"/>
  <c r="I335" i="3"/>
  <c r="Z332" i="3"/>
  <c r="L326" i="3"/>
  <c r="I324" i="3"/>
  <c r="L324" i="3"/>
  <c r="Z322" i="3"/>
  <c r="I319" i="3"/>
  <c r="K319" i="3"/>
  <c r="L321" i="3"/>
  <c r="Z321" i="3"/>
  <c r="K310" i="3"/>
  <c r="J310" i="3"/>
  <c r="Z317" i="3"/>
  <c r="L314" i="3"/>
  <c r="L310" i="3"/>
  <c r="Z301" i="3"/>
  <c r="L299" i="3"/>
  <c r="L290" i="3"/>
  <c r="Z289" i="3"/>
  <c r="I269" i="3"/>
  <c r="Z269" i="3" s="1"/>
  <c r="L275" i="3"/>
  <c r="L273" i="3"/>
  <c r="Z273" i="3"/>
  <c r="I234" i="3"/>
  <c r="I206" i="3"/>
  <c r="Z222" i="3"/>
  <c r="L214" i="3"/>
  <c r="L205" i="3"/>
  <c r="K195" i="3"/>
  <c r="L204" i="3"/>
  <c r="L203" i="3"/>
  <c r="L200" i="3"/>
  <c r="I195" i="3"/>
  <c r="L199" i="3"/>
  <c r="Z194" i="3"/>
  <c r="L194" i="3"/>
  <c r="J188" i="3"/>
  <c r="Z190" i="3"/>
  <c r="L185" i="3"/>
  <c r="Z184" i="3"/>
  <c r="Z173" i="3"/>
  <c r="L167" i="3"/>
  <c r="Z161" i="3"/>
  <c r="J135" i="3"/>
  <c r="Z158" i="3"/>
  <c r="K135" i="3"/>
  <c r="L156" i="3"/>
  <c r="Z154" i="3"/>
  <c r="Z151" i="3"/>
  <c r="L148" i="3"/>
  <c r="I135" i="3"/>
  <c r="L124" i="3"/>
  <c r="L122" i="3"/>
  <c r="I111" i="3"/>
  <c r="L119" i="3"/>
  <c r="L115" i="3"/>
  <c r="Z115" i="3"/>
  <c r="L105" i="3"/>
  <c r="L96" i="3"/>
  <c r="L94" i="3"/>
  <c r="L92" i="3"/>
  <c r="L90" i="3"/>
  <c r="L88" i="3"/>
  <c r="L84" i="3"/>
  <c r="L80" i="3"/>
  <c r="L75" i="3"/>
  <c r="L66" i="3"/>
  <c r="L64" i="3"/>
  <c r="L58" i="3"/>
  <c r="J28" i="3"/>
  <c r="Z55" i="3"/>
  <c r="I28" i="3"/>
  <c r="L28" i="3" s="1"/>
  <c r="K28" i="3"/>
  <c r="L44" i="3"/>
  <c r="I19" i="3"/>
  <c r="L21" i="3"/>
  <c r="V335" i="3"/>
  <c r="E335" i="3"/>
  <c r="G353" i="3"/>
  <c r="W352" i="3"/>
  <c r="X501" i="1" s="1"/>
  <c r="K352" i="3"/>
  <c r="L501" i="1" s="1"/>
  <c r="U309" i="3"/>
  <c r="U352" i="3" s="1"/>
  <c r="K349" i="3"/>
  <c r="O309" i="3"/>
  <c r="O352" i="3" s="1"/>
  <c r="P501" i="1" s="1"/>
  <c r="M305" i="3"/>
  <c r="Q305" i="3"/>
  <c r="N349" i="3"/>
  <c r="V305" i="3"/>
  <c r="J305" i="3"/>
  <c r="G350" i="3"/>
  <c r="W335" i="3"/>
  <c r="J335" i="3"/>
  <c r="T305" i="3"/>
  <c r="H305" i="3"/>
  <c r="J309" i="3"/>
  <c r="W285" i="3"/>
  <c r="W229" i="3" s="1"/>
  <c r="K285" i="3"/>
  <c r="O232" i="3"/>
  <c r="O354" i="3" s="1"/>
  <c r="W286" i="3"/>
  <c r="W231" i="3" s="1"/>
  <c r="W353" i="3" s="1"/>
  <c r="K286" i="3"/>
  <c r="K231" i="3" s="1"/>
  <c r="K353" i="3" s="1"/>
  <c r="Q229" i="3"/>
  <c r="Q349" i="3" s="1"/>
  <c r="E229" i="3"/>
  <c r="E349" i="3" s="1"/>
  <c r="G236" i="3"/>
  <c r="G223" i="3" s="1"/>
  <c r="X206" i="3"/>
  <c r="V206" i="3"/>
  <c r="J206" i="3"/>
  <c r="O343" i="3"/>
  <c r="O335" i="3" s="1"/>
  <c r="S310" i="3"/>
  <c r="Z310" i="3" s="1"/>
  <c r="G310" i="3"/>
  <c r="G305" i="3" s="1"/>
  <c r="N305" i="3"/>
  <c r="V285" i="3"/>
  <c r="V229" i="3" s="1"/>
  <c r="V350" i="3" s="1"/>
  <c r="J285" i="3"/>
  <c r="J229" i="3" s="1"/>
  <c r="J350" i="3" s="1"/>
  <c r="P229" i="3"/>
  <c r="X229" i="3"/>
  <c r="T284" i="3"/>
  <c r="N343" i="3"/>
  <c r="H335" i="3"/>
  <c r="R310" i="3"/>
  <c r="R305" i="3" s="1"/>
  <c r="F310" i="3"/>
  <c r="F305" i="3" s="1"/>
  <c r="M232" i="3"/>
  <c r="M354" i="3" s="1"/>
  <c r="G284" i="3"/>
  <c r="Q284" i="3"/>
  <c r="E284" i="3"/>
  <c r="Q269" i="3"/>
  <c r="Q223" i="3" s="1"/>
  <c r="E269" i="3"/>
  <c r="E223" i="3" s="1"/>
  <c r="O269" i="3"/>
  <c r="O223" i="3" s="1"/>
  <c r="Q236" i="3"/>
  <c r="E236" i="3"/>
  <c r="N229" i="3"/>
  <c r="N350" i="3" s="1"/>
  <c r="K335" i="3"/>
  <c r="U305" i="3"/>
  <c r="H284" i="3"/>
  <c r="H223" i="3" s="1"/>
  <c r="P324" i="3"/>
  <c r="P305" i="3" s="1"/>
  <c r="G309" i="3"/>
  <c r="G352" i="3" s="1"/>
  <c r="H501" i="1" s="1"/>
  <c r="P284" i="3"/>
  <c r="P236" i="3"/>
  <c r="P223" i="3" s="1"/>
  <c r="I229" i="3"/>
  <c r="L229" i="3" s="1"/>
  <c r="X343" i="3"/>
  <c r="X335" i="3" s="1"/>
  <c r="N335" i="3"/>
  <c r="R309" i="3"/>
  <c r="R352" i="3" s="1"/>
  <c r="S501" i="1" s="1"/>
  <c r="F309" i="3"/>
  <c r="F352" i="3" s="1"/>
  <c r="G501" i="1" s="1"/>
  <c r="E309" i="3"/>
  <c r="E352" i="3" s="1"/>
  <c r="F501" i="1" s="1"/>
  <c r="M269" i="3"/>
  <c r="M223" i="3" s="1"/>
  <c r="M240" i="3"/>
  <c r="M229" i="3" s="1"/>
  <c r="O236" i="3"/>
  <c r="V309" i="3"/>
  <c r="Q195" i="3"/>
  <c r="E195" i="3"/>
  <c r="K229" i="3"/>
  <c r="K350" i="3" s="1"/>
  <c r="R229" i="3"/>
  <c r="F229" i="3"/>
  <c r="W305" i="3"/>
  <c r="N232" i="3"/>
  <c r="N354" i="3" s="1"/>
  <c r="W236" i="3"/>
  <c r="W223" i="3" s="1"/>
  <c r="K236" i="3"/>
  <c r="K223" i="3" s="1"/>
  <c r="V324" i="3"/>
  <c r="J324" i="3"/>
  <c r="O319" i="3"/>
  <c r="O305" i="3" s="1"/>
  <c r="Q309" i="3"/>
  <c r="Q352" i="3" s="1"/>
  <c r="R501" i="1" s="1"/>
  <c r="N286" i="3"/>
  <c r="N231" i="3" s="1"/>
  <c r="N353" i="3" s="1"/>
  <c r="V284" i="3"/>
  <c r="J284" i="3"/>
  <c r="K232" i="3"/>
  <c r="K354" i="3" s="1"/>
  <c r="V269" i="3"/>
  <c r="J269" i="3"/>
  <c r="T269" i="3"/>
  <c r="H269" i="3"/>
  <c r="V236" i="3"/>
  <c r="V223" i="3" s="1"/>
  <c r="J236" i="3"/>
  <c r="J223" i="3" s="1"/>
  <c r="Q232" i="3"/>
  <c r="Q354" i="3" s="1"/>
  <c r="E232" i="3"/>
  <c r="E354" i="3" s="1"/>
  <c r="U284" i="3"/>
  <c r="I284" i="3"/>
  <c r="U236" i="3"/>
  <c r="U223" i="3" s="1"/>
  <c r="I236" i="3"/>
  <c r="P195" i="3"/>
  <c r="P111" i="3"/>
  <c r="T34" i="3"/>
  <c r="H34" i="3"/>
  <c r="N28" i="3"/>
  <c r="X207" i="3"/>
  <c r="T206" i="3"/>
  <c r="H206" i="3"/>
  <c r="O195" i="3"/>
  <c r="G206" i="3"/>
  <c r="V136" i="3"/>
  <c r="V142" i="3"/>
  <c r="J136" i="3"/>
  <c r="J142" i="3"/>
  <c r="V138" i="3"/>
  <c r="J138" i="3"/>
  <c r="J352" i="3" s="1"/>
  <c r="P135" i="3"/>
  <c r="V111" i="3"/>
  <c r="J111" i="3"/>
  <c r="N111" i="3"/>
  <c r="R34" i="3"/>
  <c r="R350" i="3" s="1"/>
  <c r="F34" i="3"/>
  <c r="F350" i="3" s="1"/>
  <c r="T28" i="3"/>
  <c r="H28" i="3"/>
  <c r="P20" i="3"/>
  <c r="P350" i="3" s="1"/>
  <c r="N19" i="3"/>
  <c r="R206" i="3"/>
  <c r="F206" i="3"/>
  <c r="N195" i="3"/>
  <c r="X195" i="3"/>
  <c r="N41" i="3"/>
  <c r="N38" i="3"/>
  <c r="P28" i="3"/>
  <c r="R28" i="3"/>
  <c r="F28" i="3"/>
  <c r="X19" i="3"/>
  <c r="T229" i="3"/>
  <c r="H229" i="3"/>
  <c r="W206" i="3"/>
  <c r="K206" i="3"/>
  <c r="O206" i="3"/>
  <c r="V195" i="3"/>
  <c r="J195" i="3"/>
  <c r="X36" i="3"/>
  <c r="V29" i="3"/>
  <c r="J29" i="3"/>
  <c r="R223" i="3"/>
  <c r="F223" i="3"/>
  <c r="N206" i="3"/>
  <c r="U195" i="3"/>
  <c r="Q207" i="3"/>
  <c r="Q350" i="3" s="1"/>
  <c r="E207" i="3"/>
  <c r="V35" i="3"/>
  <c r="V351" i="3" s="1"/>
  <c r="J35" i="3"/>
  <c r="T29" i="3"/>
  <c r="H29" i="3"/>
  <c r="G195" i="3"/>
  <c r="N188" i="3"/>
  <c r="O229" i="3"/>
  <c r="R29" i="3"/>
  <c r="F29" i="3"/>
  <c r="F349" i="3" s="1"/>
  <c r="X28" i="3"/>
  <c r="R19" i="3"/>
  <c r="F19" i="3"/>
  <c r="S142" i="3"/>
  <c r="G142" i="3"/>
  <c r="G351" i="3" s="1"/>
  <c r="R142" i="3"/>
  <c r="R351" i="3" s="1"/>
  <c r="F142" i="3"/>
  <c r="F351" i="3" s="1"/>
  <c r="Q142" i="3"/>
  <c r="Q351" i="3" s="1"/>
  <c r="E142" i="3"/>
  <c r="E351" i="3" s="1"/>
  <c r="U41" i="3"/>
  <c r="I41" i="3"/>
  <c r="O38" i="3"/>
  <c r="P142" i="3"/>
  <c r="P351" i="3" s="1"/>
  <c r="T41" i="3"/>
  <c r="H41" i="3"/>
  <c r="O142" i="3"/>
  <c r="O351" i="3" s="1"/>
  <c r="S41" i="3"/>
  <c r="Y41" i="3" s="1"/>
  <c r="G41" i="3"/>
  <c r="M38" i="3"/>
  <c r="M351" i="3" s="1"/>
  <c r="N142" i="3"/>
  <c r="N351" i="3" s="1"/>
  <c r="X142" i="3"/>
  <c r="W142" i="3"/>
  <c r="W351" i="3" s="1"/>
  <c r="K142" i="3"/>
  <c r="K351" i="3" s="1"/>
  <c r="U142" i="3"/>
  <c r="U351" i="3" s="1"/>
  <c r="I142" i="3"/>
  <c r="I351" i="3" s="1"/>
  <c r="AA420" i="1"/>
  <c r="AA341" i="1"/>
  <c r="AA250" i="1"/>
  <c r="AA156" i="1"/>
  <c r="AA68" i="1"/>
  <c r="J17" i="1"/>
  <c r="AA417" i="1"/>
  <c r="AA338" i="1"/>
  <c r="AA247" i="1"/>
  <c r="AA153" i="1"/>
  <c r="AA83" i="1" s="1"/>
  <c r="AA66" i="1"/>
  <c r="H489" i="1"/>
  <c r="W487" i="1"/>
  <c r="AA411" i="1"/>
  <c r="AA332" i="1"/>
  <c r="AA241" i="1"/>
  <c r="AA147" i="1"/>
  <c r="AA65" i="1"/>
  <c r="AA23" i="1" s="1"/>
  <c r="T23" i="1"/>
  <c r="X488" i="1"/>
  <c r="J487" i="1"/>
  <c r="J428" i="1"/>
  <c r="AA399" i="1"/>
  <c r="AA320" i="1"/>
  <c r="AA220" i="1"/>
  <c r="AA135" i="1"/>
  <c r="AA56" i="1"/>
  <c r="W488" i="1"/>
  <c r="AA396" i="1"/>
  <c r="AA384" i="1" s="1"/>
  <c r="AA317" i="1"/>
  <c r="AA217" i="1"/>
  <c r="AA132" i="1"/>
  <c r="AA89" i="1" s="1"/>
  <c r="AA54" i="1"/>
  <c r="L499" i="1"/>
  <c r="AA472" i="1"/>
  <c r="AA380" i="1"/>
  <c r="AA294" i="1"/>
  <c r="AA208" i="1"/>
  <c r="AA123" i="1"/>
  <c r="AA53" i="1"/>
  <c r="U487" i="1"/>
  <c r="U501" i="1" s="1"/>
  <c r="H484" i="1"/>
  <c r="H498" i="1" s="1"/>
  <c r="AA202" i="1"/>
  <c r="AA180" i="1" s="1"/>
  <c r="AA117" i="1"/>
  <c r="AA456" i="1"/>
  <c r="AA368" i="1"/>
  <c r="AA279" i="1"/>
  <c r="AA196" i="1"/>
  <c r="AA111" i="1"/>
  <c r="AA374" i="1"/>
  <c r="AA439" i="1"/>
  <c r="AA356" i="1"/>
  <c r="AA265" i="1"/>
  <c r="AA171" i="1"/>
  <c r="AA99" i="1"/>
  <c r="L489" i="1"/>
  <c r="T20" i="1"/>
  <c r="AA288" i="1"/>
  <c r="AA436" i="1"/>
  <c r="AA353" i="1"/>
  <c r="AA262" i="1"/>
  <c r="AA168" i="1"/>
  <c r="S483" i="1"/>
  <c r="F483" i="1"/>
  <c r="Q483" i="1"/>
  <c r="W484" i="1"/>
  <c r="R488" i="1"/>
  <c r="AA43" i="1"/>
  <c r="AA42" i="1"/>
  <c r="G489" i="1"/>
  <c r="O499" i="1"/>
  <c r="H487" i="1"/>
  <c r="AA468" i="1"/>
  <c r="AA419" i="1"/>
  <c r="AA376" i="1"/>
  <c r="AA340" i="1"/>
  <c r="AA290" i="1"/>
  <c r="AA249" i="1"/>
  <c r="AA204" i="1"/>
  <c r="AA155" i="1"/>
  <c r="AA119" i="1"/>
  <c r="AA67" i="1"/>
  <c r="AA41" i="1"/>
  <c r="F486" i="1"/>
  <c r="U484" i="1"/>
  <c r="Q488" i="1"/>
  <c r="O488" i="1"/>
  <c r="T307" i="1"/>
  <c r="Q486" i="1"/>
  <c r="AA453" i="1"/>
  <c r="AA408" i="1"/>
  <c r="AA365" i="1"/>
  <c r="AA329" i="1"/>
  <c r="AA304" i="1" s="1"/>
  <c r="AA238" i="1"/>
  <c r="AA193" i="1"/>
  <c r="AA144" i="1"/>
  <c r="AA108" i="1"/>
  <c r="AA59" i="1"/>
  <c r="AA31" i="1"/>
  <c r="P489" i="1"/>
  <c r="T187" i="1"/>
  <c r="N488" i="1"/>
  <c r="AA192" i="1"/>
  <c r="AA187" i="1" s="1"/>
  <c r="AA407" i="1"/>
  <c r="AA364" i="1"/>
  <c r="AA328" i="1"/>
  <c r="AA275" i="1"/>
  <c r="AA237" i="1"/>
  <c r="AA143" i="1"/>
  <c r="AA82" i="1" s="1"/>
  <c r="AA107" i="1"/>
  <c r="AA30" i="1"/>
  <c r="P484" i="1"/>
  <c r="AA448" i="1"/>
  <c r="AA405" i="1"/>
  <c r="AA326" i="1"/>
  <c r="AA271" i="1"/>
  <c r="AA190" i="1"/>
  <c r="AA141" i="1"/>
  <c r="AA105" i="1"/>
  <c r="AA55" i="1"/>
  <c r="AA29" i="1"/>
  <c r="K488" i="1"/>
  <c r="T181" i="1"/>
  <c r="L487" i="1"/>
  <c r="K487" i="1"/>
  <c r="R483" i="1"/>
  <c r="K484" i="1"/>
  <c r="J381" i="1"/>
  <c r="L484" i="1"/>
  <c r="AA395" i="1"/>
  <c r="AA352" i="1"/>
  <c r="AA316" i="1"/>
  <c r="AA216" i="1"/>
  <c r="AA167" i="1"/>
  <c r="AA131" i="1"/>
  <c r="AA95" i="1"/>
  <c r="AA433" i="1"/>
  <c r="AA393" i="1"/>
  <c r="AA350" i="1"/>
  <c r="AA314" i="1"/>
  <c r="AA214" i="1"/>
  <c r="AA165" i="1"/>
  <c r="AA129" i="1"/>
  <c r="AA44" i="1"/>
  <c r="V489" i="1"/>
  <c r="W486" i="1"/>
  <c r="U488" i="1"/>
  <c r="U502" i="1" s="1"/>
  <c r="G488" i="1"/>
  <c r="AA179" i="1"/>
  <c r="AA182" i="1"/>
  <c r="L486" i="1"/>
  <c r="T222" i="1"/>
  <c r="T309" i="1"/>
  <c r="AA471" i="1"/>
  <c r="AA455" i="1"/>
  <c r="AA438" i="1"/>
  <c r="AA422" i="1"/>
  <c r="AA398" i="1"/>
  <c r="AA379" i="1"/>
  <c r="AA367" i="1"/>
  <c r="AA355" i="1"/>
  <c r="AA343" i="1"/>
  <c r="AA331" i="1"/>
  <c r="AA319" i="1"/>
  <c r="AA293" i="1"/>
  <c r="AA278" i="1"/>
  <c r="AA264" i="1"/>
  <c r="AA252" i="1"/>
  <c r="AA240" i="1"/>
  <c r="AA207" i="1"/>
  <c r="AA195" i="1"/>
  <c r="AA170" i="1"/>
  <c r="AA158" i="1"/>
  <c r="AA146" i="1"/>
  <c r="AA134" i="1"/>
  <c r="AA87" i="1" s="1"/>
  <c r="AA122" i="1"/>
  <c r="AA110" i="1"/>
  <c r="AA80" i="1" s="1"/>
  <c r="AA98" i="1"/>
  <c r="AA70" i="1"/>
  <c r="AA58" i="1"/>
  <c r="AA46" i="1"/>
  <c r="AA34" i="1"/>
  <c r="T92" i="1"/>
  <c r="T89" i="1"/>
  <c r="T86" i="1"/>
  <c r="P486" i="1"/>
  <c r="T83" i="1"/>
  <c r="T80" i="1"/>
  <c r="O484" i="1"/>
  <c r="O498" i="1" s="1"/>
  <c r="T184" i="1"/>
  <c r="T176" i="1"/>
  <c r="O487" i="1"/>
  <c r="T387" i="1"/>
  <c r="T462" i="1"/>
  <c r="T302" i="1"/>
  <c r="T429" i="1"/>
  <c r="T300" i="1"/>
  <c r="T283" i="1"/>
  <c r="T79" i="1"/>
  <c r="AA470" i="1"/>
  <c r="AA454" i="1"/>
  <c r="AA437" i="1"/>
  <c r="AA421" i="1"/>
  <c r="AA409" i="1"/>
  <c r="AA397" i="1"/>
  <c r="AA378" i="1"/>
  <c r="AA366" i="1"/>
  <c r="AA354" i="1"/>
  <c r="AA342" i="1"/>
  <c r="AA330" i="1"/>
  <c r="AA318" i="1"/>
  <c r="AA292" i="1"/>
  <c r="AA277" i="1"/>
  <c r="AA263" i="1"/>
  <c r="AA228" i="1" s="1"/>
  <c r="AA251" i="1"/>
  <c r="AA239" i="1"/>
  <c r="AA218" i="1"/>
  <c r="AA206" i="1"/>
  <c r="AA194" i="1"/>
  <c r="AA169" i="1"/>
  <c r="AA157" i="1"/>
  <c r="AA145" i="1"/>
  <c r="AA133" i="1"/>
  <c r="AA121" i="1"/>
  <c r="AA109" i="1"/>
  <c r="AA97" i="1"/>
  <c r="AA69" i="1"/>
  <c r="AA57" i="1"/>
  <c r="AA45" i="1"/>
  <c r="AA33" i="1"/>
  <c r="AA21" i="1" s="1"/>
  <c r="T22" i="1"/>
  <c r="T19" i="1"/>
  <c r="P483" i="1"/>
  <c r="O486" i="1"/>
  <c r="T179" i="1"/>
  <c r="N487" i="1"/>
  <c r="J484" i="1"/>
  <c r="AA467" i="1"/>
  <c r="AA449" i="1"/>
  <c r="AA442" i="1" s="1"/>
  <c r="AA434" i="1"/>
  <c r="AA418" i="1"/>
  <c r="AA394" i="1"/>
  <c r="AA363" i="1"/>
  <c r="AA351" i="1"/>
  <c r="AA306" i="1" s="1"/>
  <c r="AA339" i="1"/>
  <c r="AA299" i="1" s="1"/>
  <c r="AA327" i="1"/>
  <c r="AA315" i="1"/>
  <c r="AA272" i="1"/>
  <c r="AA260" i="1"/>
  <c r="AA248" i="1"/>
  <c r="AA236" i="1"/>
  <c r="AA215" i="1"/>
  <c r="AA184" i="1" s="1"/>
  <c r="AA203" i="1"/>
  <c r="AA191" i="1"/>
  <c r="AA166" i="1"/>
  <c r="AA154" i="1"/>
  <c r="AA142" i="1"/>
  <c r="AA130" i="1"/>
  <c r="AA118" i="1"/>
  <c r="AA106" i="1"/>
  <c r="AA94" i="1"/>
  <c r="Y483" i="1"/>
  <c r="L483" i="1"/>
  <c r="G483" i="1"/>
  <c r="T90" i="1"/>
  <c r="T87" i="1"/>
  <c r="X486" i="1"/>
  <c r="K486" i="1"/>
  <c r="T84" i="1"/>
  <c r="T81" i="1"/>
  <c r="X484" i="1"/>
  <c r="T185" i="1"/>
  <c r="P488" i="1"/>
  <c r="X487" i="1"/>
  <c r="N486" i="1"/>
  <c r="T441" i="1"/>
  <c r="Y487" i="1"/>
  <c r="P487" i="1"/>
  <c r="J486" i="1"/>
  <c r="J500" i="1" s="1"/>
  <c r="T225" i="1"/>
  <c r="I487" i="1"/>
  <c r="T298" i="1"/>
  <c r="T426" i="1"/>
  <c r="T182" i="1"/>
  <c r="T383" i="1"/>
  <c r="K483" i="1"/>
  <c r="I484" i="1"/>
  <c r="AA477" i="1"/>
  <c r="AA465" i="1"/>
  <c r="AA432" i="1"/>
  <c r="AA416" i="1"/>
  <c r="AA404" i="1"/>
  <c r="AA392" i="1"/>
  <c r="AA373" i="1"/>
  <c r="AA361" i="1"/>
  <c r="AA349" i="1"/>
  <c r="AA298" i="1" s="1"/>
  <c r="AA337" i="1"/>
  <c r="AA302" i="1" s="1"/>
  <c r="AA325" i="1"/>
  <c r="AA313" i="1"/>
  <c r="AA287" i="1"/>
  <c r="AA270" i="1"/>
  <c r="AA258" i="1"/>
  <c r="AA246" i="1"/>
  <c r="AA225" i="1" s="1"/>
  <c r="AA234" i="1"/>
  <c r="AA213" i="1"/>
  <c r="AA185" i="1" s="1"/>
  <c r="AA201" i="1"/>
  <c r="AA189" i="1"/>
  <c r="AA164" i="1"/>
  <c r="AA152" i="1"/>
  <c r="AA140" i="1"/>
  <c r="AA81" i="1" s="1"/>
  <c r="AA128" i="1"/>
  <c r="AA90" i="1" s="1"/>
  <c r="AA116" i="1"/>
  <c r="AA104" i="1"/>
  <c r="AA76" i="1"/>
  <c r="AA64" i="1"/>
  <c r="AA52" i="1"/>
  <c r="AA40" i="1"/>
  <c r="AA28" i="1"/>
  <c r="S499" i="1"/>
  <c r="W483" i="1"/>
  <c r="V486" i="1"/>
  <c r="I486" i="1"/>
  <c r="V484" i="1"/>
  <c r="V498" i="1" s="1"/>
  <c r="T180" i="1"/>
  <c r="V487" i="1"/>
  <c r="T305" i="1"/>
  <c r="Y484" i="1"/>
  <c r="T274" i="1"/>
  <c r="AA476" i="1"/>
  <c r="AA460" i="1"/>
  <c r="AA446" i="1"/>
  <c r="AA431" i="1"/>
  <c r="AA415" i="1"/>
  <c r="AA403" i="1"/>
  <c r="AA391" i="1"/>
  <c r="AA372" i="1"/>
  <c r="AA360" i="1"/>
  <c r="AA309" i="1" s="1"/>
  <c r="AA489" i="1" s="1"/>
  <c r="AA348" i="1"/>
  <c r="AA336" i="1"/>
  <c r="AA324" i="1"/>
  <c r="AA312" i="1"/>
  <c r="AA286" i="1"/>
  <c r="AA257" i="1"/>
  <c r="AA245" i="1"/>
  <c r="AA224" i="1" s="1"/>
  <c r="AA233" i="1"/>
  <c r="AA212" i="1"/>
  <c r="AA200" i="1"/>
  <c r="AA188" i="1"/>
  <c r="AA163" i="1"/>
  <c r="AA151" i="1"/>
  <c r="AA139" i="1"/>
  <c r="AA127" i="1"/>
  <c r="AA115" i="1"/>
  <c r="AA103" i="1"/>
  <c r="AA51" i="1"/>
  <c r="AA39" i="1"/>
  <c r="AA27" i="1"/>
  <c r="R499" i="1"/>
  <c r="I483" i="1"/>
  <c r="U486" i="1"/>
  <c r="U500" i="1" s="1"/>
  <c r="H486" i="1"/>
  <c r="G484" i="1"/>
  <c r="G498" i="1" s="1"/>
  <c r="T228" i="1"/>
  <c r="G487" i="1"/>
  <c r="T301" i="1"/>
  <c r="T297" i="1"/>
  <c r="T382" i="1"/>
  <c r="T227" i="1"/>
  <c r="AA475" i="1"/>
  <c r="AA459" i="1"/>
  <c r="AA445" i="1"/>
  <c r="AA430" i="1"/>
  <c r="AA414" i="1"/>
  <c r="AA387" i="1" s="1"/>
  <c r="AA402" i="1"/>
  <c r="AA390" i="1"/>
  <c r="AA371" i="1"/>
  <c r="AA359" i="1"/>
  <c r="AA347" i="1"/>
  <c r="AA335" i="1"/>
  <c r="AA300" i="1" s="1"/>
  <c r="AA323" i="1"/>
  <c r="AA301" i="1" s="1"/>
  <c r="AA311" i="1"/>
  <c r="AA285" i="1"/>
  <c r="AA268" i="1"/>
  <c r="AA256" i="1"/>
  <c r="AA244" i="1"/>
  <c r="AA232" i="1"/>
  <c r="AA211" i="1"/>
  <c r="AA199" i="1"/>
  <c r="AA174" i="1"/>
  <c r="AA162" i="1"/>
  <c r="AA92" i="1" s="1"/>
  <c r="AA150" i="1"/>
  <c r="AA138" i="1"/>
  <c r="AA126" i="1"/>
  <c r="AA114" i="1"/>
  <c r="AA102" i="1"/>
  <c r="AA74" i="1"/>
  <c r="AA62" i="1"/>
  <c r="AA50" i="1"/>
  <c r="AA38" i="1"/>
  <c r="AA26" i="1"/>
  <c r="Q499" i="1"/>
  <c r="U483" i="1"/>
  <c r="H483" i="1"/>
  <c r="T91" i="1"/>
  <c r="T88" i="1"/>
  <c r="T85" i="1"/>
  <c r="G486" i="1"/>
  <c r="T82" i="1"/>
  <c r="S484" i="1"/>
  <c r="F484" i="1"/>
  <c r="S487" i="1"/>
  <c r="F487" i="1"/>
  <c r="T384" i="1"/>
  <c r="O483" i="1"/>
  <c r="X483" i="1"/>
  <c r="T451" i="1"/>
  <c r="T480" i="1"/>
  <c r="T385" i="1"/>
  <c r="T284" i="1"/>
  <c r="AA474" i="1"/>
  <c r="AA458" i="1"/>
  <c r="AA444" i="1"/>
  <c r="AA427" i="1"/>
  <c r="AA426" i="1" s="1"/>
  <c r="AA425" i="1" s="1"/>
  <c r="AA413" i="1"/>
  <c r="AA386" i="1" s="1"/>
  <c r="AA389" i="1"/>
  <c r="AA370" i="1"/>
  <c r="AA358" i="1"/>
  <c r="AA346" i="1"/>
  <c r="AA334" i="1"/>
  <c r="AA322" i="1"/>
  <c r="AA310" i="1"/>
  <c r="AA255" i="1"/>
  <c r="AA229" i="1" s="1"/>
  <c r="AA243" i="1"/>
  <c r="AA210" i="1"/>
  <c r="AA198" i="1"/>
  <c r="AA173" i="1"/>
  <c r="AA101" i="1"/>
  <c r="AA73" i="1"/>
  <c r="AA61" i="1"/>
  <c r="AA49" i="1"/>
  <c r="AA37" i="1"/>
  <c r="AA25" i="1"/>
  <c r="T21" i="1"/>
  <c r="T18" i="1"/>
  <c r="R484" i="1"/>
  <c r="R498" i="1" s="1"/>
  <c r="T186" i="1"/>
  <c r="J175" i="1"/>
  <c r="R487" i="1"/>
  <c r="J461" i="1"/>
  <c r="T303" i="1"/>
  <c r="T479" i="1"/>
  <c r="T464" i="1"/>
  <c r="T308" i="1"/>
  <c r="T226" i="1"/>
  <c r="T223" i="1"/>
  <c r="T78" i="1"/>
  <c r="AA473" i="1"/>
  <c r="AA463" i="1" s="1"/>
  <c r="AA457" i="1"/>
  <c r="AA443" i="1"/>
  <c r="AA424" i="1"/>
  <c r="AA412" i="1"/>
  <c r="AA400" i="1"/>
  <c r="AA388" i="1"/>
  <c r="AA369" i="1"/>
  <c r="AA357" i="1"/>
  <c r="AA303" i="1" s="1"/>
  <c r="AA345" i="1"/>
  <c r="AA305" i="1" s="1"/>
  <c r="AA333" i="1"/>
  <c r="AA321" i="1"/>
  <c r="AA295" i="1"/>
  <c r="AA280" i="1"/>
  <c r="AA266" i="1"/>
  <c r="AA254" i="1"/>
  <c r="AA242" i="1"/>
  <c r="AA230" i="1"/>
  <c r="AA172" i="1"/>
  <c r="AA160" i="1"/>
  <c r="AA91" i="1" s="1"/>
  <c r="AA148" i="1"/>
  <c r="AA136" i="1"/>
  <c r="AA88" i="1" s="1"/>
  <c r="AA124" i="1"/>
  <c r="AA112" i="1"/>
  <c r="AA100" i="1"/>
  <c r="AA72" i="1"/>
  <c r="AA22" i="1" s="1"/>
  <c r="AA60" i="1"/>
  <c r="AA48" i="1"/>
  <c r="AA36" i="1"/>
  <c r="AA24" i="1"/>
  <c r="R486" i="1"/>
  <c r="Q484" i="1"/>
  <c r="V488" i="1"/>
  <c r="I488" i="1"/>
  <c r="Q487" i="1"/>
  <c r="J273" i="1"/>
  <c r="Y486" i="1"/>
  <c r="N489" i="1"/>
  <c r="V483" i="1"/>
  <c r="H488" i="1"/>
  <c r="J488" i="1"/>
  <c r="Z319" i="3" l="1"/>
  <c r="K305" i="3"/>
  <c r="V352" i="3"/>
  <c r="W501" i="1" s="1"/>
  <c r="T489" i="1"/>
  <c r="S354" i="3"/>
  <c r="Z232" i="3"/>
  <c r="Y232" i="3"/>
  <c r="V503" i="1"/>
  <c r="V500" i="1"/>
  <c r="S32" i="3"/>
  <c r="Y101" i="3"/>
  <c r="Z101" i="3"/>
  <c r="V501" i="1"/>
  <c r="Z48" i="3"/>
  <c r="S42" i="3"/>
  <c r="Y48" i="3"/>
  <c r="Y292" i="3"/>
  <c r="Z292" i="3"/>
  <c r="S287" i="3"/>
  <c r="Y253" i="3"/>
  <c r="Z253" i="3"/>
  <c r="S240" i="3"/>
  <c r="Z245" i="3"/>
  <c r="Y245" i="3"/>
  <c r="S43" i="3"/>
  <c r="Z104" i="3"/>
  <c r="Y104" i="3"/>
  <c r="Y316" i="3"/>
  <c r="S312" i="3"/>
  <c r="Y315" i="3"/>
  <c r="Z315" i="3"/>
  <c r="S313" i="3"/>
  <c r="S285" i="3"/>
  <c r="Z297" i="3"/>
  <c r="Y297" i="3"/>
  <c r="T350" i="3"/>
  <c r="S144" i="3"/>
  <c r="Z183" i="3"/>
  <c r="Y183" i="3"/>
  <c r="Y142" i="3"/>
  <c r="Z142" i="3"/>
  <c r="S136" i="3"/>
  <c r="Y179" i="3"/>
  <c r="Z179" i="3"/>
  <c r="Y501" i="1"/>
  <c r="S114" i="3"/>
  <c r="Y117" i="3"/>
  <c r="X350" i="3"/>
  <c r="Y499" i="1" s="1"/>
  <c r="Z116" i="3"/>
  <c r="Z268" i="3"/>
  <c r="S239" i="3"/>
  <c r="Y268" i="3"/>
  <c r="S31" i="3"/>
  <c r="Y98" i="3"/>
  <c r="Z98" i="3"/>
  <c r="S38" i="3"/>
  <c r="Y91" i="3"/>
  <c r="Y36" i="3"/>
  <c r="Z36" i="3"/>
  <c r="Z78" i="3"/>
  <c r="Y78" i="3"/>
  <c r="Y74" i="3"/>
  <c r="Z74" i="3"/>
  <c r="Z47" i="3"/>
  <c r="Y47" i="3"/>
  <c r="S34" i="3"/>
  <c r="Z37" i="3"/>
  <c r="L37" i="3"/>
  <c r="Z41" i="3"/>
  <c r="L41" i="3"/>
  <c r="L351" i="3"/>
  <c r="K499" i="1"/>
  <c r="I352" i="3"/>
  <c r="S112" i="3"/>
  <c r="Y134" i="3"/>
  <c r="Z134" i="3"/>
  <c r="Z113" i="3"/>
  <c r="Z307" i="3"/>
  <c r="L307" i="3"/>
  <c r="Z312" i="3"/>
  <c r="L312" i="3"/>
  <c r="I308" i="3"/>
  <c r="Y201" i="3"/>
  <c r="S197" i="3"/>
  <c r="Z201" i="3"/>
  <c r="Y213" i="3"/>
  <c r="Z213" i="3"/>
  <c r="S335" i="3"/>
  <c r="Y335" i="3" s="1"/>
  <c r="Z347" i="3"/>
  <c r="Z327" i="3"/>
  <c r="S324" i="3"/>
  <c r="Y324" i="3" s="1"/>
  <c r="Z314" i="3"/>
  <c r="Y310" i="3"/>
  <c r="Z303" i="3"/>
  <c r="Y303" i="3"/>
  <c r="Z296" i="3"/>
  <c r="Y296" i="3"/>
  <c r="Z295" i="3"/>
  <c r="Y295" i="3"/>
  <c r="Z294" i="3"/>
  <c r="Y294" i="3"/>
  <c r="T223" i="3"/>
  <c r="T348" i="3" s="1"/>
  <c r="U497" i="1" s="1"/>
  <c r="S284" i="3"/>
  <c r="Y284" i="3" s="1"/>
  <c r="Z290" i="3"/>
  <c r="Y283" i="3"/>
  <c r="Z283" i="3"/>
  <c r="S282" i="3"/>
  <c r="Z267" i="3"/>
  <c r="Y267" i="3"/>
  <c r="Z263" i="3"/>
  <c r="Y263" i="3"/>
  <c r="Y256" i="3"/>
  <c r="Z256" i="3"/>
  <c r="S236" i="3"/>
  <c r="Z254" i="3"/>
  <c r="Y254" i="3"/>
  <c r="Z252" i="3"/>
  <c r="Y252" i="3"/>
  <c r="Z251" i="3"/>
  <c r="Y251" i="3"/>
  <c r="Z244" i="3"/>
  <c r="Y244" i="3"/>
  <c r="Z242" i="3"/>
  <c r="Y242" i="3"/>
  <c r="Z221" i="3"/>
  <c r="Y221" i="3"/>
  <c r="Z217" i="3"/>
  <c r="Y217" i="3"/>
  <c r="Z215" i="3"/>
  <c r="Y215" i="3"/>
  <c r="X349" i="3"/>
  <c r="Y498" i="1" s="1"/>
  <c r="S207" i="3"/>
  <c r="Y211" i="3"/>
  <c r="Z211" i="3"/>
  <c r="U499" i="1"/>
  <c r="Z204" i="3"/>
  <c r="S195" i="3"/>
  <c r="Y195" i="3" s="1"/>
  <c r="Z200" i="3"/>
  <c r="Z191" i="3"/>
  <c r="S188" i="3"/>
  <c r="Z182" i="3"/>
  <c r="Y182" i="3"/>
  <c r="Y180" i="3"/>
  <c r="Z180" i="3"/>
  <c r="S135" i="3"/>
  <c r="Z135" i="3" s="1"/>
  <c r="Z178" i="3"/>
  <c r="Y178" i="3"/>
  <c r="V499" i="1"/>
  <c r="L498" i="1"/>
  <c r="Z162" i="3"/>
  <c r="N348" i="3"/>
  <c r="O497" i="1" s="1"/>
  <c r="S20" i="3"/>
  <c r="Z22" i="3"/>
  <c r="Z209" i="3"/>
  <c r="F498" i="1"/>
  <c r="H499" i="1"/>
  <c r="W499" i="1"/>
  <c r="G499" i="1"/>
  <c r="S206" i="3"/>
  <c r="Z206" i="3" s="1"/>
  <c r="Z210" i="3"/>
  <c r="Z156" i="3"/>
  <c r="Y133" i="3"/>
  <c r="Z133" i="3"/>
  <c r="Z131" i="3"/>
  <c r="Y131" i="3"/>
  <c r="Z130" i="3"/>
  <c r="Z129" i="3"/>
  <c r="Z124" i="3"/>
  <c r="S111" i="3"/>
  <c r="Y111" i="3" s="1"/>
  <c r="Y115" i="3"/>
  <c r="Y107" i="3"/>
  <c r="Z107" i="3"/>
  <c r="Z105" i="3"/>
  <c r="Y103" i="3"/>
  <c r="Z103" i="3"/>
  <c r="Y102" i="3"/>
  <c r="Z102" i="3"/>
  <c r="Y100" i="3"/>
  <c r="Z100" i="3"/>
  <c r="Z99" i="3"/>
  <c r="Y99" i="3"/>
  <c r="Z97" i="3"/>
  <c r="Y97" i="3"/>
  <c r="Z84" i="3"/>
  <c r="Z81" i="3"/>
  <c r="Z79" i="3"/>
  <c r="Z77" i="3"/>
  <c r="Y77" i="3"/>
  <c r="Z73" i="3"/>
  <c r="Y73" i="3"/>
  <c r="Y72" i="3"/>
  <c r="Z72" i="3"/>
  <c r="Z71" i="3"/>
  <c r="Z58" i="3"/>
  <c r="Y46" i="3"/>
  <c r="Z46" i="3"/>
  <c r="S28" i="3"/>
  <c r="Y28" i="3" s="1"/>
  <c r="Y44" i="3"/>
  <c r="Z44" i="3"/>
  <c r="Z21" i="3"/>
  <c r="Z335" i="3"/>
  <c r="L335" i="3"/>
  <c r="I305" i="3"/>
  <c r="I348" i="3" s="1"/>
  <c r="K501" i="1"/>
  <c r="L284" i="3"/>
  <c r="L269" i="3"/>
  <c r="L236" i="3"/>
  <c r="Z234" i="3"/>
  <c r="L234" i="3"/>
  <c r="I223" i="3"/>
  <c r="L195" i="3"/>
  <c r="L111" i="3"/>
  <c r="Z19" i="3"/>
  <c r="W350" i="3"/>
  <c r="X499" i="1" s="1"/>
  <c r="W349" i="3"/>
  <c r="X498" i="1" s="1"/>
  <c r="I350" i="3"/>
  <c r="I349" i="3"/>
  <c r="E350" i="3"/>
  <c r="F499" i="1" s="1"/>
  <c r="P348" i="3"/>
  <c r="Q497" i="1" s="1"/>
  <c r="R349" i="3"/>
  <c r="S498" i="1" s="1"/>
  <c r="H348" i="3"/>
  <c r="I497" i="1" s="1"/>
  <c r="O350" i="3"/>
  <c r="P499" i="1" s="1"/>
  <c r="O349" i="3"/>
  <c r="P498" i="1" s="1"/>
  <c r="W348" i="3"/>
  <c r="X497" i="1" s="1"/>
  <c r="H350" i="3"/>
  <c r="I499" i="1" s="1"/>
  <c r="E348" i="3"/>
  <c r="F497" i="1" s="1"/>
  <c r="P349" i="3"/>
  <c r="Q498" i="1" s="1"/>
  <c r="G348" i="3"/>
  <c r="H497" i="1" s="1"/>
  <c r="J349" i="3"/>
  <c r="K498" i="1" s="1"/>
  <c r="O348" i="3"/>
  <c r="P497" i="1" s="1"/>
  <c r="K348" i="3"/>
  <c r="L497" i="1" s="1"/>
  <c r="F348" i="3"/>
  <c r="G497" i="1" s="1"/>
  <c r="H349" i="3"/>
  <c r="I498" i="1" s="1"/>
  <c r="V349" i="3"/>
  <c r="W498" i="1" s="1"/>
  <c r="J348" i="3"/>
  <c r="K497" i="1" s="1"/>
  <c r="U348" i="3"/>
  <c r="V497" i="1" s="1"/>
  <c r="Q348" i="3"/>
  <c r="R497" i="1" s="1"/>
  <c r="R348" i="3"/>
  <c r="S497" i="1" s="1"/>
  <c r="T349" i="3"/>
  <c r="U498" i="1" s="1"/>
  <c r="X348" i="3"/>
  <c r="Y497" i="1" s="1"/>
  <c r="V348" i="3"/>
  <c r="W497" i="1" s="1"/>
  <c r="J351" i="3"/>
  <c r="K500" i="1" s="1"/>
  <c r="X351" i="3"/>
  <c r="Y500" i="1" s="1"/>
  <c r="AA20" i="1"/>
  <c r="AA429" i="1"/>
  <c r="AA428" i="1" s="1"/>
  <c r="AA86" i="1"/>
  <c r="AA274" i="1"/>
  <c r="AA273" i="1" s="1"/>
  <c r="AA79" i="1"/>
  <c r="AA283" i="1"/>
  <c r="AA282" i="1" s="1"/>
  <c r="AA451" i="1"/>
  <c r="AA450" i="1" s="1"/>
  <c r="AA78" i="1"/>
  <c r="AA77" i="1" s="1"/>
  <c r="AA385" i="1"/>
  <c r="T484" i="1"/>
  <c r="T487" i="1"/>
  <c r="AA85" i="1"/>
  <c r="AA84" i="1"/>
  <c r="J483" i="1"/>
  <c r="T273" i="1"/>
  <c r="T440" i="1"/>
  <c r="AA178" i="1"/>
  <c r="AA297" i="1"/>
  <c r="AA296" i="1" s="1"/>
  <c r="T425" i="1"/>
  <c r="T282" i="1"/>
  <c r="AA382" i="1"/>
  <c r="AA381" i="1" s="1"/>
  <c r="AA222" i="1"/>
  <c r="AA221" i="1" s="1"/>
  <c r="AA462" i="1"/>
  <c r="AA461" i="1" s="1"/>
  <c r="AA223" i="1"/>
  <c r="AA487" i="1" s="1"/>
  <c r="T175" i="1"/>
  <c r="T381" i="1"/>
  <c r="AA181" i="1"/>
  <c r="AA307" i="1"/>
  <c r="T488" i="1"/>
  <c r="T17" i="1"/>
  <c r="T486" i="1"/>
  <c r="T428" i="1"/>
  <c r="AA441" i="1"/>
  <c r="AA440" i="1" s="1"/>
  <c r="T478" i="1"/>
  <c r="T450" i="1"/>
  <c r="AA186" i="1"/>
  <c r="T296" i="1"/>
  <c r="T461" i="1"/>
  <c r="T77" i="1"/>
  <c r="AA176" i="1"/>
  <c r="AA175" i="1" s="1"/>
  <c r="AA488" i="1"/>
  <c r="T221" i="1"/>
  <c r="AA485" i="1" l="1"/>
  <c r="Z354" i="3"/>
  <c r="AA503" i="1" s="1"/>
  <c r="Y354" i="3"/>
  <c r="Z503" i="1" s="1"/>
  <c r="T503" i="1"/>
  <c r="Y32" i="3"/>
  <c r="Z32" i="3"/>
  <c r="Z42" i="3"/>
  <c r="Y42" i="3"/>
  <c r="Z287" i="3"/>
  <c r="S233" i="3"/>
  <c r="Y287" i="3"/>
  <c r="Z240" i="3"/>
  <c r="Y240" i="3"/>
  <c r="Y43" i="3"/>
  <c r="Z43" i="3"/>
  <c r="S308" i="3"/>
  <c r="Y308" i="3" s="1"/>
  <c r="Y312" i="3"/>
  <c r="Y313" i="3"/>
  <c r="Z313" i="3"/>
  <c r="S309" i="3"/>
  <c r="S352" i="3" s="1"/>
  <c r="Y285" i="3"/>
  <c r="Z285" i="3"/>
  <c r="S229" i="3"/>
  <c r="Z144" i="3"/>
  <c r="Y144" i="3"/>
  <c r="Z136" i="3"/>
  <c r="Y136" i="3"/>
  <c r="Z114" i="3"/>
  <c r="Y114" i="3"/>
  <c r="S228" i="3"/>
  <c r="Z239" i="3"/>
  <c r="Y239" i="3"/>
  <c r="Y31" i="3"/>
  <c r="Z31" i="3"/>
  <c r="Y38" i="3"/>
  <c r="Z38" i="3"/>
  <c r="Y34" i="3"/>
  <c r="Z34" i="3"/>
  <c r="J501" i="1"/>
  <c r="Y112" i="3"/>
  <c r="Z112" i="3"/>
  <c r="Z308" i="3"/>
  <c r="L308" i="3"/>
  <c r="Z197" i="3"/>
  <c r="Y197" i="3"/>
  <c r="S349" i="3"/>
  <c r="T498" i="1" s="1"/>
  <c r="Z284" i="3"/>
  <c r="S305" i="3"/>
  <c r="Z324" i="3"/>
  <c r="S223" i="3"/>
  <c r="Y223" i="3" s="1"/>
  <c r="Y282" i="3"/>
  <c r="Z282" i="3"/>
  <c r="Z236" i="3"/>
  <c r="Y236" i="3"/>
  <c r="Y207" i="3"/>
  <c r="Z207" i="3"/>
  <c r="Z195" i="3"/>
  <c r="Z188" i="3"/>
  <c r="S350" i="3"/>
  <c r="T499" i="1" s="1"/>
  <c r="J499" i="1"/>
  <c r="Z20" i="3"/>
  <c r="J498" i="1"/>
  <c r="Z111" i="3"/>
  <c r="Z28" i="3"/>
  <c r="Z223" i="3"/>
  <c r="L223" i="3"/>
  <c r="J497" i="1"/>
  <c r="AA486" i="1"/>
  <c r="AA483" i="1"/>
  <c r="AA484" i="1"/>
  <c r="T483" i="1"/>
  <c r="Y352" i="3" l="1"/>
  <c r="T501" i="1"/>
  <c r="Z352" i="3"/>
  <c r="AA501" i="1" s="1"/>
  <c r="Z501" i="1"/>
  <c r="Y233" i="3"/>
  <c r="Z233" i="3"/>
  <c r="S353" i="3"/>
  <c r="Y309" i="3"/>
  <c r="Z309" i="3"/>
  <c r="Z229" i="3"/>
  <c r="Y229" i="3"/>
  <c r="Z228" i="3"/>
  <c r="Y228" i="3"/>
  <c r="S351" i="3"/>
  <c r="Z350" i="3"/>
  <c r="AA499" i="1" s="1"/>
  <c r="Z349" i="3"/>
  <c r="AA498" i="1" s="1"/>
  <c r="Y305" i="3"/>
  <c r="Z305" i="3"/>
  <c r="S348" i="3"/>
  <c r="Z348" i="3" s="1"/>
  <c r="AA497" i="1" s="1"/>
  <c r="S143" i="1"/>
  <c r="S142" i="1"/>
  <c r="O143" i="1"/>
  <c r="O142" i="1"/>
  <c r="T497" i="1" l="1"/>
  <c r="Y353" i="3"/>
  <c r="Z502" i="1" s="1"/>
  <c r="Z353" i="3"/>
  <c r="AA502" i="1" s="1"/>
  <c r="T502" i="1"/>
  <c r="Y351" i="3"/>
  <c r="Z500" i="1" s="1"/>
  <c r="Z351" i="3"/>
  <c r="AA500" i="1" s="1"/>
  <c r="T500" i="1"/>
  <c r="AB462" i="1"/>
  <c r="E462" i="1"/>
  <c r="AA330" i="3"/>
  <c r="AA331" i="3"/>
  <c r="AA306" i="3" s="1"/>
  <c r="D331" i="3"/>
  <c r="D306" i="3" s="1"/>
  <c r="D330" i="3"/>
  <c r="AB463" i="1"/>
  <c r="E463" i="1"/>
  <c r="AB472" i="1"/>
  <c r="AB473" i="1"/>
  <c r="N472" i="1"/>
  <c r="N473" i="1"/>
  <c r="E471" i="1"/>
  <c r="E472" i="1"/>
  <c r="E473" i="1"/>
  <c r="P95" i="1" l="1"/>
  <c r="F95" i="1" l="1"/>
  <c r="S481" i="1" l="1"/>
  <c r="O481" i="1"/>
  <c r="F481" i="1"/>
  <c r="I352" i="1" l="1"/>
  <c r="I353" i="1"/>
  <c r="F234" i="1"/>
  <c r="F237" i="1"/>
  <c r="G24" i="1"/>
  <c r="F24" i="1"/>
  <c r="H465" i="1"/>
  <c r="F465" i="1"/>
  <c r="H287" i="1"/>
  <c r="F287" i="1"/>
  <c r="H288" i="1"/>
  <c r="F288" i="1"/>
  <c r="F291" i="1"/>
  <c r="F265" i="1"/>
  <c r="F252" i="1"/>
  <c r="F244" i="1"/>
  <c r="F233" i="1"/>
  <c r="F232" i="1"/>
  <c r="S191" i="1"/>
  <c r="S190" i="1"/>
  <c r="O191" i="1"/>
  <c r="O190" i="1"/>
  <c r="F191" i="1"/>
  <c r="F190" i="1"/>
  <c r="H71" i="1"/>
  <c r="H70" i="1"/>
  <c r="I354" i="1" l="1"/>
  <c r="N326" i="1"/>
  <c r="C145" i="3" l="1"/>
  <c r="F264" i="1"/>
  <c r="F254" i="1"/>
  <c r="E254" i="1" s="1"/>
  <c r="D174" i="3" s="1"/>
  <c r="F255" i="1"/>
  <c r="E255" i="1"/>
  <c r="D175" i="3" s="1"/>
  <c r="D145" i="3" s="1"/>
  <c r="N254" i="1"/>
  <c r="N255" i="1"/>
  <c r="E229" i="1" l="1"/>
  <c r="AB255" i="1"/>
  <c r="AB254" i="1"/>
  <c r="AA174" i="3" s="1"/>
  <c r="S406" i="1"/>
  <c r="O406" i="1"/>
  <c r="N402" i="1"/>
  <c r="E402" i="1"/>
  <c r="D248" i="3" s="1"/>
  <c r="AA175" i="3" l="1"/>
  <c r="AA145" i="3" s="1"/>
  <c r="AB229" i="1"/>
  <c r="AB402" i="1"/>
  <c r="AA248" i="3" s="1"/>
  <c r="F140" i="1" l="1"/>
  <c r="O140" i="1"/>
  <c r="S140" i="1"/>
  <c r="S139" i="1"/>
  <c r="O139" i="1"/>
  <c r="F139" i="1"/>
  <c r="F266" i="1" l="1"/>
  <c r="S407" i="1" l="1"/>
  <c r="S405" i="1" l="1"/>
  <c r="O405" i="1"/>
  <c r="S401" i="1"/>
  <c r="O401" i="1"/>
  <c r="S399" i="1"/>
  <c r="O399" i="1"/>
  <c r="S394" i="1"/>
  <c r="O394" i="1"/>
  <c r="O407" i="1"/>
  <c r="S398" i="1" l="1"/>
  <c r="O398" i="1"/>
  <c r="S389" i="1"/>
  <c r="O389" i="1"/>
  <c r="S400" i="1"/>
  <c r="O400" i="1"/>
  <c r="I315" i="1" l="1"/>
  <c r="S355" i="1"/>
  <c r="O355" i="1"/>
  <c r="G290" i="1" l="1"/>
  <c r="G276" i="1"/>
  <c r="G242" i="1"/>
  <c r="S132" i="1"/>
  <c r="S131" i="1"/>
  <c r="O132" i="1"/>
  <c r="O131" i="1"/>
  <c r="F132" i="1"/>
  <c r="F131" i="1"/>
  <c r="S129" i="1"/>
  <c r="O129" i="1"/>
  <c r="F129" i="1"/>
  <c r="H98" i="1"/>
  <c r="F98" i="1"/>
  <c r="H95" i="1"/>
  <c r="H40" i="1"/>
  <c r="G40" i="1"/>
  <c r="S71" i="1" l="1"/>
  <c r="O71" i="1"/>
  <c r="F94" i="1" l="1"/>
  <c r="G136" i="1" l="1"/>
  <c r="G135" i="1"/>
  <c r="G134" i="1"/>
  <c r="G133" i="1"/>
  <c r="S76" i="1" l="1"/>
  <c r="O76" i="1"/>
  <c r="F76" i="1"/>
  <c r="F136" i="1" l="1"/>
  <c r="F135" i="1"/>
  <c r="F134" i="1"/>
  <c r="F133" i="1"/>
  <c r="S260" i="1"/>
  <c r="S261" i="1"/>
  <c r="O261" i="1"/>
  <c r="O260" i="1"/>
  <c r="F248" i="1" l="1"/>
  <c r="F247" i="1"/>
  <c r="F239" i="1"/>
  <c r="F238" i="1"/>
  <c r="S343" i="1" l="1"/>
  <c r="O343" i="1"/>
  <c r="S75" i="1"/>
  <c r="O75" i="1"/>
  <c r="I326" i="1" l="1"/>
  <c r="F326" i="1" l="1"/>
  <c r="G37" i="1" l="1"/>
  <c r="F361" i="1" l="1"/>
  <c r="E475" i="1" l="1"/>
  <c r="F343" i="1" l="1"/>
  <c r="F37" i="1" l="1"/>
  <c r="F467" i="1" l="1"/>
  <c r="N344" i="1" l="1"/>
  <c r="N345" i="1"/>
  <c r="N346" i="1"/>
  <c r="N347" i="1"/>
  <c r="N348" i="1"/>
  <c r="N349" i="1"/>
  <c r="E344" i="1"/>
  <c r="AB344" i="1" l="1"/>
  <c r="AA264" i="3" s="1"/>
  <c r="AA241" i="3" s="1"/>
  <c r="AA230" i="3" s="1"/>
  <c r="D264" i="3"/>
  <c r="D241" i="3" s="1"/>
  <c r="D230" i="3" s="1"/>
  <c r="F365" i="1"/>
  <c r="S330" i="1"/>
  <c r="O330" i="1"/>
  <c r="S328" i="1"/>
  <c r="O328" i="1"/>
  <c r="I327" i="1"/>
  <c r="H326" i="1"/>
  <c r="H322" i="1"/>
  <c r="F322" i="1"/>
  <c r="F100" i="1"/>
  <c r="G287" i="1"/>
  <c r="G286" i="1"/>
  <c r="F286" i="1"/>
  <c r="F242" i="1"/>
  <c r="G155" i="1"/>
  <c r="F155" i="1"/>
  <c r="G120" i="1"/>
  <c r="F120" i="1"/>
  <c r="G125" i="1"/>
  <c r="F125" i="1"/>
  <c r="G114" i="1"/>
  <c r="F114" i="1"/>
  <c r="G113" i="1"/>
  <c r="F113" i="1"/>
  <c r="G100" i="1"/>
  <c r="G95" i="1"/>
  <c r="G98" i="1" l="1"/>
  <c r="G94" i="1"/>
  <c r="H481" i="1"/>
  <c r="G465" i="1"/>
  <c r="G430" i="1"/>
  <c r="H427" i="1"/>
  <c r="S361" i="1" l="1"/>
  <c r="O361" i="1"/>
  <c r="I320" i="1"/>
  <c r="F315" i="1"/>
  <c r="H290" i="1"/>
  <c r="F290" i="1"/>
  <c r="H285" i="1"/>
  <c r="F285" i="1"/>
  <c r="H286" i="1"/>
  <c r="G285" i="1"/>
  <c r="S94" i="1"/>
  <c r="O94" i="1"/>
  <c r="S113" i="1"/>
  <c r="O113" i="1"/>
  <c r="F154" i="1"/>
  <c r="F71" i="1"/>
  <c r="F38" i="1"/>
  <c r="F57" i="1"/>
  <c r="F66" i="1"/>
  <c r="F75" i="1"/>
  <c r="F153" i="1" l="1"/>
  <c r="F152" i="1"/>
  <c r="F192" i="1"/>
  <c r="S263" i="1"/>
  <c r="O263" i="1"/>
  <c r="S262" i="1"/>
  <c r="O262" i="1"/>
  <c r="S150" i="1"/>
  <c r="S149" i="1"/>
  <c r="P150" i="1"/>
  <c r="P149" i="1"/>
  <c r="F32" i="1" l="1"/>
  <c r="S32" i="1"/>
  <c r="O32" i="1"/>
  <c r="N192" i="1" l="1"/>
  <c r="E192" i="1"/>
  <c r="D117" i="3" s="1"/>
  <c r="D114" i="3" s="1"/>
  <c r="D228" i="1"/>
  <c r="C144" i="3"/>
  <c r="D323" i="3"/>
  <c r="D320" i="3" s="1"/>
  <c r="E22" i="1"/>
  <c r="D22" i="1"/>
  <c r="N72" i="1"/>
  <c r="D68" i="1"/>
  <c r="AB192" i="1" l="1"/>
  <c r="AB187" i="1" s="1"/>
  <c r="E187" i="1"/>
  <c r="AB72" i="1"/>
  <c r="AB22" i="1" s="1"/>
  <c r="AA117" i="3" l="1"/>
  <c r="AA114" i="3" s="1"/>
  <c r="AA323" i="3"/>
  <c r="AA320" i="3" s="1"/>
  <c r="G288" i="1" l="1"/>
  <c r="F48" i="1"/>
  <c r="F46" i="1"/>
  <c r="G44" i="1"/>
  <c r="F44" i="1"/>
  <c r="F40" i="1"/>
  <c r="G35" i="1"/>
  <c r="F35" i="1"/>
  <c r="G32" i="1"/>
  <c r="I316" i="1" l="1"/>
  <c r="G443" i="1" l="1"/>
  <c r="H443" i="1"/>
  <c r="S316" i="1"/>
  <c r="S315" i="1"/>
  <c r="F235" i="1" l="1"/>
  <c r="S164" i="1" l="1"/>
  <c r="O164" i="1"/>
  <c r="S148" i="1" l="1"/>
  <c r="S147" i="1"/>
  <c r="O148" i="1"/>
  <c r="O147" i="1"/>
  <c r="F148" i="1"/>
  <c r="F147" i="1"/>
  <c r="N449" i="1" l="1"/>
  <c r="E449" i="1"/>
  <c r="D302" i="3" s="1"/>
  <c r="D448" i="1"/>
  <c r="F448" i="1"/>
  <c r="F453" i="1"/>
  <c r="F474" i="1"/>
  <c r="F412" i="1"/>
  <c r="S412" i="1"/>
  <c r="O412" i="1"/>
  <c r="I322" i="1"/>
  <c r="F313" i="1"/>
  <c r="S356" i="1"/>
  <c r="O356" i="1"/>
  <c r="F267" i="1"/>
  <c r="N211" i="1"/>
  <c r="E211" i="1"/>
  <c r="D132" i="3" s="1"/>
  <c r="S210" i="1"/>
  <c r="O210" i="1"/>
  <c r="S214" i="1"/>
  <c r="O214" i="1"/>
  <c r="E442" i="1" l="1"/>
  <c r="AB449" i="1"/>
  <c r="AB211" i="1"/>
  <c r="AA302" i="3" l="1"/>
  <c r="AB442" i="1"/>
  <c r="AA132" i="3"/>
  <c r="H114" i="1" l="1"/>
  <c r="S95" i="1"/>
  <c r="O95" i="1"/>
  <c r="N45" i="1" l="1"/>
  <c r="E45" i="1"/>
  <c r="D201" i="3" s="1"/>
  <c r="D197" i="3" s="1"/>
  <c r="AB45" i="1" l="1"/>
  <c r="AA201" i="3"/>
  <c r="AA197" i="3" s="1"/>
  <c r="S44" i="1"/>
  <c r="O44" i="1"/>
  <c r="S24" i="1" l="1"/>
  <c r="O24" i="1"/>
  <c r="S397" i="1"/>
  <c r="N33" i="1"/>
  <c r="E33" i="1"/>
  <c r="E21" i="1" s="1"/>
  <c r="B33" i="1"/>
  <c r="C33" i="1"/>
  <c r="D33" i="1"/>
  <c r="D160" i="3" l="1"/>
  <c r="D141" i="3" s="1"/>
  <c r="AB33" i="1"/>
  <c r="AB21" i="1" l="1"/>
  <c r="AA160" i="3"/>
  <c r="AA141" i="3" s="1"/>
  <c r="N311" i="1"/>
  <c r="E311" i="1"/>
  <c r="D311" i="1"/>
  <c r="D310" i="1"/>
  <c r="G310" i="1"/>
  <c r="F310" i="1"/>
  <c r="F430" i="1"/>
  <c r="G388" i="1"/>
  <c r="F388" i="1"/>
  <c r="G230" i="1"/>
  <c r="F230" i="1"/>
  <c r="F363" i="1"/>
  <c r="C33" i="3"/>
  <c r="N153" i="1"/>
  <c r="E153" i="1"/>
  <c r="N152" i="1"/>
  <c r="E152" i="1"/>
  <c r="D109" i="3" s="1"/>
  <c r="B153" i="1"/>
  <c r="C153" i="1"/>
  <c r="D153" i="1"/>
  <c r="D83" i="1" s="1"/>
  <c r="C152" i="1"/>
  <c r="D152" i="1"/>
  <c r="B152" i="1"/>
  <c r="M22" i="3" l="1"/>
  <c r="N307" i="1"/>
  <c r="AB311" i="1"/>
  <c r="D110" i="3"/>
  <c r="D33" i="3" s="1"/>
  <c r="E83" i="1"/>
  <c r="AB152" i="1"/>
  <c r="AA109" i="3" s="1"/>
  <c r="AB153" i="1"/>
  <c r="AB83" i="1" s="1"/>
  <c r="C353" i="1"/>
  <c r="D353" i="1"/>
  <c r="B353" i="1"/>
  <c r="N484" i="1" l="1"/>
  <c r="M20" i="3"/>
  <c r="Y22" i="3"/>
  <c r="AA110" i="3"/>
  <c r="AA33" i="3" s="1"/>
  <c r="M349" i="3" l="1"/>
  <c r="Y349" i="3" s="1"/>
  <c r="M350" i="3"/>
  <c r="Y350" i="3" s="1"/>
  <c r="Y20" i="3"/>
  <c r="N499" i="1"/>
  <c r="N99" i="1"/>
  <c r="E99" i="1"/>
  <c r="AB99" i="1" s="1"/>
  <c r="AA56" i="3" s="1"/>
  <c r="F97" i="1"/>
  <c r="Z498" i="1" l="1"/>
  <c r="Z499" i="1"/>
  <c r="N498" i="1"/>
  <c r="D56" i="3"/>
  <c r="C38" i="3" l="1"/>
  <c r="C352" i="1" l="1"/>
  <c r="D352" i="1"/>
  <c r="B352" i="1"/>
  <c r="N353" i="1"/>
  <c r="E353" i="1"/>
  <c r="N352" i="1"/>
  <c r="E352" i="1"/>
  <c r="AB352" i="1" s="1"/>
  <c r="O60" i="1"/>
  <c r="I54" i="1"/>
  <c r="I52" i="1"/>
  <c r="S408" i="1"/>
  <c r="O408" i="1"/>
  <c r="F253" i="1"/>
  <c r="F43" i="1"/>
  <c r="F42" i="1"/>
  <c r="AB353" i="1" l="1"/>
  <c r="N400" i="1"/>
  <c r="E400" i="1"/>
  <c r="G481" i="1"/>
  <c r="G482" i="1"/>
  <c r="F482" i="1"/>
  <c r="N316" i="1"/>
  <c r="E316" i="1"/>
  <c r="N321" i="1"/>
  <c r="E321" i="1"/>
  <c r="D216" i="3" s="1"/>
  <c r="N356" i="1"/>
  <c r="E356" i="1"/>
  <c r="D297" i="3" s="1"/>
  <c r="D285" i="3" s="1"/>
  <c r="S289" i="1"/>
  <c r="O289" i="1"/>
  <c r="E289" i="1"/>
  <c r="N289" i="1" l="1"/>
  <c r="D245" i="3"/>
  <c r="D211" i="3"/>
  <c r="AB289" i="1"/>
  <c r="AA192" i="3" s="1"/>
  <c r="AA189" i="3" s="1"/>
  <c r="AB400" i="1"/>
  <c r="AA245" i="3" s="1"/>
  <c r="AB321" i="1"/>
  <c r="AA216" i="3" s="1"/>
  <c r="E284" i="1"/>
  <c r="AB284" i="1"/>
  <c r="D207" i="3"/>
  <c r="AB316" i="1"/>
  <c r="AA211" i="3" s="1"/>
  <c r="AB356" i="1"/>
  <c r="AA297" i="3" s="1"/>
  <c r="AA285" i="3" s="1"/>
  <c r="D192" i="3"/>
  <c r="D189" i="3" s="1"/>
  <c r="D89" i="1"/>
  <c r="AA207" i="3" l="1"/>
  <c r="N360" i="1"/>
  <c r="E360" i="1"/>
  <c r="E309" i="1" s="1"/>
  <c r="N359" i="1"/>
  <c r="E359" i="1"/>
  <c r="D360" i="1"/>
  <c r="D309" i="1" s="1"/>
  <c r="C359" i="1"/>
  <c r="D359" i="1"/>
  <c r="B359" i="1"/>
  <c r="N65" i="1"/>
  <c r="E65" i="1"/>
  <c r="E23" i="1" s="1"/>
  <c r="N64" i="1"/>
  <c r="E64" i="1"/>
  <c r="D65" i="1"/>
  <c r="D23" i="1" s="1"/>
  <c r="C64" i="1"/>
  <c r="D64" i="1"/>
  <c r="B64" i="1"/>
  <c r="E489" i="1" l="1"/>
  <c r="D303" i="3"/>
  <c r="D304" i="3"/>
  <c r="AB359" i="1"/>
  <c r="AB360" i="1"/>
  <c r="AB309" i="1" s="1"/>
  <c r="AB65" i="1"/>
  <c r="AB64" i="1"/>
  <c r="AA303" i="3" l="1"/>
  <c r="AB23" i="1"/>
  <c r="AB489" i="1" s="1"/>
  <c r="AA304" i="3"/>
  <c r="S482" i="1"/>
  <c r="O482" i="1"/>
  <c r="N475" i="1" l="1"/>
  <c r="E477" i="1"/>
  <c r="AB477" i="1" s="1"/>
  <c r="C313" i="3" l="1"/>
  <c r="C309" i="3" s="1"/>
  <c r="D308" i="1"/>
  <c r="N362" i="1"/>
  <c r="E362" i="1"/>
  <c r="F241" i="1"/>
  <c r="F240" i="1"/>
  <c r="D315" i="3" l="1"/>
  <c r="D313" i="3" s="1"/>
  <c r="D309" i="3" s="1"/>
  <c r="E308" i="1"/>
  <c r="AB362" i="1"/>
  <c r="AB308" i="1" s="1"/>
  <c r="AA315" i="3" l="1"/>
  <c r="AA313" i="3" s="1"/>
  <c r="AA309" i="3" s="1"/>
  <c r="N27" i="1" l="1"/>
  <c r="E27" i="1"/>
  <c r="AB27" i="1" s="1"/>
  <c r="AA25" i="3" s="1"/>
  <c r="D27" i="1"/>
  <c r="D25" i="3" l="1"/>
  <c r="D97" i="1"/>
  <c r="D148" i="1"/>
  <c r="N482" i="1" l="1"/>
  <c r="E482" i="1"/>
  <c r="E480" i="1" s="1"/>
  <c r="N466" i="1"/>
  <c r="E466" i="1"/>
  <c r="E464" i="1" s="1"/>
  <c r="AB466" i="1" l="1"/>
  <c r="AB464" i="1" s="1"/>
  <c r="D22" i="3"/>
  <c r="AB482" i="1"/>
  <c r="AB480" i="1" s="1"/>
  <c r="D20" i="3" l="1"/>
  <c r="L20" i="3" s="1"/>
  <c r="L22" i="3"/>
  <c r="AA22" i="3"/>
  <c r="AA20" i="3" s="1"/>
  <c r="N406" i="1"/>
  <c r="E406" i="1"/>
  <c r="E385" i="1" s="1"/>
  <c r="D385" i="1"/>
  <c r="N363" i="1"/>
  <c r="E363" i="1"/>
  <c r="E307" i="1" s="1"/>
  <c r="D363" i="1"/>
  <c r="D307" i="1" s="1"/>
  <c r="N191" i="1"/>
  <c r="E191" i="1"/>
  <c r="E186" i="1" s="1"/>
  <c r="D186" i="1"/>
  <c r="N148" i="1"/>
  <c r="E148" i="1"/>
  <c r="D147" i="1"/>
  <c r="N97" i="1"/>
  <c r="E97" i="1"/>
  <c r="N67" i="1"/>
  <c r="E67" i="1"/>
  <c r="E20" i="1" s="1"/>
  <c r="D67" i="1"/>
  <c r="D20" i="1" s="1"/>
  <c r="C312" i="3"/>
  <c r="C308" i="3" s="1"/>
  <c r="D116" i="3" l="1"/>
  <c r="D113" i="3" s="1"/>
  <c r="D106" i="3"/>
  <c r="E84" i="1"/>
  <c r="D47" i="3"/>
  <c r="D253" i="3"/>
  <c r="AB67" i="1"/>
  <c r="AB20" i="1" s="1"/>
  <c r="D316" i="3"/>
  <c r="D312" i="3" s="1"/>
  <c r="D308" i="3" s="1"/>
  <c r="AB406" i="1"/>
  <c r="AB385" i="1" s="1"/>
  <c r="AB363" i="1"/>
  <c r="AB307" i="1" s="1"/>
  <c r="AB191" i="1"/>
  <c r="AB186" i="1" s="1"/>
  <c r="AB148" i="1"/>
  <c r="AA106" i="3" s="1"/>
  <c r="AB97" i="1"/>
  <c r="AA47" i="3" s="1"/>
  <c r="D74" i="3"/>
  <c r="S114" i="1"/>
  <c r="N115" i="1"/>
  <c r="D115" i="1"/>
  <c r="D84" i="1" s="1"/>
  <c r="C34" i="3"/>
  <c r="D82" i="1"/>
  <c r="N143" i="1"/>
  <c r="E143" i="1"/>
  <c r="D101" i="3" s="1"/>
  <c r="D32" i="3" s="1"/>
  <c r="N142" i="1"/>
  <c r="E142" i="1"/>
  <c r="D100" i="3" s="1"/>
  <c r="C32" i="3"/>
  <c r="I214" i="1"/>
  <c r="S216" i="1"/>
  <c r="S68" i="1"/>
  <c r="O68" i="1"/>
  <c r="F68" i="1"/>
  <c r="S322" i="1"/>
  <c r="O322" i="1"/>
  <c r="F327" i="1"/>
  <c r="F56" i="1"/>
  <c r="F26" i="1"/>
  <c r="D240" i="3" l="1"/>
  <c r="D229" i="3" s="1"/>
  <c r="D34" i="3"/>
  <c r="AA253" i="3"/>
  <c r="AA240" i="3" s="1"/>
  <c r="AA316" i="3"/>
  <c r="AA312" i="3" s="1"/>
  <c r="AA308" i="3" s="1"/>
  <c r="AA116" i="3"/>
  <c r="AA113" i="3" s="1"/>
  <c r="AB115" i="1"/>
  <c r="AB84" i="1" s="1"/>
  <c r="AB142" i="1"/>
  <c r="AA100" i="3" s="1"/>
  <c r="AB143" i="1"/>
  <c r="E82" i="1"/>
  <c r="AA229" i="3" l="1"/>
  <c r="AA74" i="3"/>
  <c r="AA34" i="3" s="1"/>
  <c r="AA101" i="3"/>
  <c r="AA32" i="3" s="1"/>
  <c r="AB82" i="1"/>
  <c r="F70" i="1"/>
  <c r="P216" i="1" l="1"/>
  <c r="P214" i="1"/>
  <c r="F214" i="1" l="1"/>
  <c r="N327" i="1" l="1"/>
  <c r="E327" i="1"/>
  <c r="C327" i="1"/>
  <c r="D327" i="1"/>
  <c r="B327" i="1"/>
  <c r="AB327" i="1" l="1"/>
  <c r="O396" i="1" l="1"/>
  <c r="S396" i="1"/>
  <c r="S395" i="1"/>
  <c r="O395" i="1"/>
  <c r="O57" i="1" l="1"/>
  <c r="G68" i="1"/>
  <c r="C112" i="3" l="1"/>
  <c r="D185" i="1"/>
  <c r="N213" i="1"/>
  <c r="E213" i="1"/>
  <c r="D134" i="3" s="1"/>
  <c r="D112" i="3" s="1"/>
  <c r="N212" i="1"/>
  <c r="E212" i="1"/>
  <c r="N210" i="1"/>
  <c r="E210" i="1"/>
  <c r="D131" i="3" s="1"/>
  <c r="C143" i="3"/>
  <c r="C142" i="3"/>
  <c r="D227" i="1"/>
  <c r="D226" i="1"/>
  <c r="N119" i="1"/>
  <c r="E119" i="1"/>
  <c r="D116" i="1"/>
  <c r="N118" i="1"/>
  <c r="E118" i="1"/>
  <c r="D77" i="3" s="1"/>
  <c r="N141" i="1"/>
  <c r="E141" i="1"/>
  <c r="D99" i="3" s="1"/>
  <c r="S57" i="1"/>
  <c r="AB212" i="1" l="1"/>
  <c r="AA133" i="3" s="1"/>
  <c r="AB213" i="1"/>
  <c r="E185" i="1"/>
  <c r="D133" i="3"/>
  <c r="AB119" i="1"/>
  <c r="AA78" i="3" s="1"/>
  <c r="AB210" i="1"/>
  <c r="AA131" i="3" s="1"/>
  <c r="D78" i="3"/>
  <c r="AB141" i="1"/>
  <c r="AA99" i="3" s="1"/>
  <c r="AB118" i="1"/>
  <c r="AA77" i="3" s="1"/>
  <c r="S66" i="1"/>
  <c r="O66" i="1"/>
  <c r="AA134" i="3" l="1"/>
  <c r="AA112" i="3" s="1"/>
  <c r="AB185" i="1"/>
  <c r="N295" i="1"/>
  <c r="E295" i="1"/>
  <c r="C295" i="1"/>
  <c r="D295" i="1"/>
  <c r="B295" i="1"/>
  <c r="AB295" i="1" l="1"/>
  <c r="S199" i="1" l="1"/>
  <c r="O199" i="1"/>
  <c r="F443" i="1"/>
  <c r="F205" i="1"/>
  <c r="G452" i="1" l="1"/>
  <c r="F452" i="1"/>
  <c r="G427" i="1"/>
  <c r="F427" i="1"/>
  <c r="F276" i="1"/>
  <c r="G189" i="1"/>
  <c r="F189" i="1"/>
  <c r="G93" i="1"/>
  <c r="F93" i="1"/>
  <c r="F456" i="1" l="1"/>
  <c r="E139" i="1"/>
  <c r="D97" i="3" s="1"/>
  <c r="N138" i="1"/>
  <c r="E138" i="1"/>
  <c r="C138" i="1"/>
  <c r="D138" i="1"/>
  <c r="B138" i="1"/>
  <c r="C232" i="3"/>
  <c r="F188" i="1"/>
  <c r="G188" i="1"/>
  <c r="H188" i="1"/>
  <c r="I188" i="1"/>
  <c r="O188" i="1"/>
  <c r="P188" i="1"/>
  <c r="Q188" i="1"/>
  <c r="R188" i="1"/>
  <c r="S188" i="1"/>
  <c r="N216" i="1"/>
  <c r="N188" i="1" s="1"/>
  <c r="E216" i="1"/>
  <c r="D293" i="3" s="1"/>
  <c r="D288" i="3" s="1"/>
  <c r="D225" i="1"/>
  <c r="N267" i="1"/>
  <c r="E267" i="1"/>
  <c r="D187" i="3" s="1"/>
  <c r="N246" i="1"/>
  <c r="E246" i="1"/>
  <c r="D166" i="3" s="1"/>
  <c r="N140" i="1"/>
  <c r="E140" i="1"/>
  <c r="E81" i="1" s="1"/>
  <c r="N139" i="1"/>
  <c r="B140" i="1"/>
  <c r="C140" i="1"/>
  <c r="D140" i="1"/>
  <c r="D81" i="1" s="1"/>
  <c r="C139" i="1"/>
  <c r="D139" i="1"/>
  <c r="B139" i="1"/>
  <c r="AB138" i="1" l="1"/>
  <c r="AA96" i="3" s="1"/>
  <c r="E225" i="1"/>
  <c r="AB216" i="1"/>
  <c r="E188" i="1"/>
  <c r="AB246" i="1"/>
  <c r="AB267" i="1"/>
  <c r="AA187" i="3" s="1"/>
  <c r="D96" i="3"/>
  <c r="D140" i="3"/>
  <c r="D98" i="3"/>
  <c r="D31" i="3" s="1"/>
  <c r="AB140" i="1"/>
  <c r="AB139" i="1"/>
  <c r="AA97" i="3" s="1"/>
  <c r="E484" i="1" l="1"/>
  <c r="AA166" i="3"/>
  <c r="AA140" i="3" s="1"/>
  <c r="AB225" i="1"/>
  <c r="AA293" i="3"/>
  <c r="AA288" i="3" s="1"/>
  <c r="AB188" i="1"/>
  <c r="AA98" i="3"/>
  <c r="AA31" i="3" s="1"/>
  <c r="AB81" i="1"/>
  <c r="N147" i="1" l="1"/>
  <c r="E147" i="1"/>
  <c r="D105" i="3" s="1"/>
  <c r="AB147" i="1" l="1"/>
  <c r="AA105" i="3" s="1"/>
  <c r="S144" i="1" l="1"/>
  <c r="O144" i="1"/>
  <c r="N150" i="1" l="1"/>
  <c r="E150" i="1"/>
  <c r="D108" i="3" s="1"/>
  <c r="N149" i="1"/>
  <c r="E149" i="1"/>
  <c r="C149" i="1"/>
  <c r="D149" i="1"/>
  <c r="B149" i="1"/>
  <c r="AB150" i="1" l="1"/>
  <c r="AA108" i="3" s="1"/>
  <c r="AB149" i="1"/>
  <c r="AA107" i="3" l="1"/>
  <c r="P109" i="1"/>
  <c r="P108" i="1"/>
  <c r="C287" i="3" l="1"/>
  <c r="C233" i="3" s="1"/>
  <c r="D292" i="3"/>
  <c r="D287" i="3" s="1"/>
  <c r="D233" i="3" s="1"/>
  <c r="E387" i="1"/>
  <c r="D387" i="1"/>
  <c r="N414" i="1"/>
  <c r="AB414" i="1" s="1"/>
  <c r="AA292" i="3" l="1"/>
  <c r="AA287" i="3" s="1"/>
  <c r="AA233" i="3" s="1"/>
  <c r="AB387" i="1"/>
  <c r="H24" i="1"/>
  <c r="S456" i="1" l="1"/>
  <c r="O456" i="1"/>
  <c r="F454" i="1"/>
  <c r="H66" i="1" l="1"/>
  <c r="D96" i="1" l="1"/>
  <c r="C49" i="3" s="1"/>
  <c r="S288" i="1" l="1"/>
  <c r="O288" i="1"/>
  <c r="C139" i="3" l="1"/>
  <c r="N245" i="1"/>
  <c r="E245" i="1"/>
  <c r="AB245" i="1" l="1"/>
  <c r="AB224" i="1" s="1"/>
  <c r="AB485" i="1" s="1"/>
  <c r="D165" i="3"/>
  <c r="D139" i="3" s="1"/>
  <c r="D350" i="3" s="1"/>
  <c r="L350" i="3" s="1"/>
  <c r="E224" i="1"/>
  <c r="M499" i="1" l="1"/>
  <c r="E499" i="1"/>
  <c r="AA165" i="3"/>
  <c r="AA139" i="3" s="1"/>
  <c r="AA350" i="3" s="1"/>
  <c r="AB499" i="1" s="1"/>
  <c r="G264" i="1" l="1"/>
  <c r="H264" i="1"/>
  <c r="N351" i="1" l="1"/>
  <c r="E351" i="1"/>
  <c r="E306" i="1" s="1"/>
  <c r="N350" i="1"/>
  <c r="E350" i="1"/>
  <c r="N162" i="1"/>
  <c r="E162" i="1"/>
  <c r="AB162" i="1" s="1"/>
  <c r="AB92" i="1" s="1"/>
  <c r="N161" i="1"/>
  <c r="E161" i="1"/>
  <c r="AB161" i="1" l="1"/>
  <c r="D267" i="3"/>
  <c r="D268" i="3"/>
  <c r="D239" i="3" s="1"/>
  <c r="D228" i="3" s="1"/>
  <c r="E92" i="1"/>
  <c r="AB350" i="1"/>
  <c r="AB351" i="1"/>
  <c r="AA267" i="3" l="1"/>
  <c r="AB306" i="1"/>
  <c r="AA268" i="3"/>
  <c r="AA239" i="3" s="1"/>
  <c r="AA228" i="3" s="1"/>
  <c r="D328" i="1" l="1"/>
  <c r="E242" i="1" l="1"/>
  <c r="H94" i="1" l="1"/>
  <c r="I431" i="1"/>
  <c r="F431" i="1"/>
  <c r="N286" i="1" l="1"/>
  <c r="N114" i="1" l="1"/>
  <c r="N481" i="1" l="1"/>
  <c r="E430" i="1" l="1"/>
  <c r="E24" i="1"/>
  <c r="N287" i="1" l="1"/>
  <c r="N32" i="1" l="1"/>
  <c r="E323" i="1" l="1"/>
  <c r="E324" i="1"/>
  <c r="E325" i="1"/>
  <c r="D218" i="3" l="1"/>
  <c r="F151" i="1"/>
  <c r="F34" i="1" l="1"/>
  <c r="F236" i="1" l="1"/>
  <c r="F61" i="1"/>
  <c r="F468" i="1"/>
  <c r="F63" i="1"/>
  <c r="N332" i="1" l="1"/>
  <c r="N333" i="1"/>
  <c r="N334" i="1"/>
  <c r="N335" i="1"/>
  <c r="N336" i="1"/>
  <c r="N337" i="1"/>
  <c r="N338" i="1"/>
  <c r="N339" i="1"/>
  <c r="N340" i="1"/>
  <c r="N341" i="1"/>
  <c r="N342" i="1"/>
  <c r="N343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AB343" i="1" l="1"/>
  <c r="AA263" i="3" s="1"/>
  <c r="AB339" i="1"/>
  <c r="AB335" i="1"/>
  <c r="D263" i="3"/>
  <c r="AB336" i="1"/>
  <c r="AB342" i="1"/>
  <c r="AB334" i="1"/>
  <c r="AB340" i="1"/>
  <c r="AB332" i="1"/>
  <c r="AB338" i="1"/>
  <c r="AB341" i="1"/>
  <c r="AB333" i="1"/>
  <c r="AB337" i="1"/>
  <c r="N57" i="1" l="1"/>
  <c r="E49" i="1" l="1"/>
  <c r="E50" i="1"/>
  <c r="E51" i="1"/>
  <c r="E52" i="1"/>
  <c r="D273" i="3" s="1"/>
  <c r="F278" i="1" l="1"/>
  <c r="E320" i="1" l="1"/>
  <c r="N151" i="1" l="1"/>
  <c r="E151" i="1"/>
  <c r="AB151" i="1" l="1"/>
  <c r="E468" i="1"/>
  <c r="E481" i="1"/>
  <c r="AB481" i="1" l="1"/>
  <c r="E479" i="1"/>
  <c r="E478" i="1" l="1"/>
  <c r="AB478" i="1"/>
  <c r="AB479" i="1"/>
  <c r="E94" i="1" l="1"/>
  <c r="E95" i="1"/>
  <c r="E96" i="1"/>
  <c r="E98" i="1"/>
  <c r="E100" i="1"/>
  <c r="E101" i="1"/>
  <c r="E102" i="1"/>
  <c r="E103" i="1"/>
  <c r="E104" i="1"/>
  <c r="E105" i="1"/>
  <c r="E106" i="1"/>
  <c r="E107" i="1"/>
  <c r="E108" i="1"/>
  <c r="E109" i="1"/>
  <c r="E86" i="1" s="1"/>
  <c r="E110" i="1"/>
  <c r="E80" i="1" s="1"/>
  <c r="E111" i="1"/>
  <c r="E112" i="1"/>
  <c r="E113" i="1"/>
  <c r="E114" i="1"/>
  <c r="E116" i="1"/>
  <c r="E117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89" i="1" s="1"/>
  <c r="E133" i="1"/>
  <c r="E134" i="1"/>
  <c r="E87" i="1" s="1"/>
  <c r="E135" i="1"/>
  <c r="E136" i="1"/>
  <c r="E88" i="1" s="1"/>
  <c r="E137" i="1"/>
  <c r="E144" i="1"/>
  <c r="E145" i="1"/>
  <c r="E146" i="1"/>
  <c r="E154" i="1"/>
  <c r="E155" i="1"/>
  <c r="E156" i="1"/>
  <c r="E157" i="1"/>
  <c r="E158" i="1"/>
  <c r="E159" i="1"/>
  <c r="E160" i="1"/>
  <c r="E163" i="1"/>
  <c r="E164" i="1"/>
  <c r="E165" i="1"/>
  <c r="E166" i="1"/>
  <c r="E167" i="1"/>
  <c r="E168" i="1"/>
  <c r="E169" i="1"/>
  <c r="E170" i="1"/>
  <c r="E93" i="1"/>
  <c r="D48" i="3" l="1"/>
  <c r="D42" i="3" s="1"/>
  <c r="D49" i="3"/>
  <c r="D67" i="3"/>
  <c r="D36" i="3" s="1"/>
  <c r="E285" i="1" l="1"/>
  <c r="E286" i="1"/>
  <c r="E287" i="1"/>
  <c r="E288" i="1"/>
  <c r="E290" i="1"/>
  <c r="E291" i="1"/>
  <c r="D348" i="1" l="1"/>
  <c r="C348" i="1"/>
  <c r="B348" i="1"/>
  <c r="B347" i="1"/>
  <c r="E348" i="1" l="1"/>
  <c r="E349" i="1"/>
  <c r="D281" i="3" l="1"/>
  <c r="AB349" i="1"/>
  <c r="AA281" i="3" s="1"/>
  <c r="E298" i="1"/>
  <c r="AB298" i="1" l="1"/>
  <c r="E347" i="1"/>
  <c r="E346" i="1"/>
  <c r="C347" i="1"/>
  <c r="D347" i="1"/>
  <c r="D279" i="3" l="1"/>
  <c r="AB347" i="1"/>
  <c r="AA279" i="3" l="1"/>
  <c r="N164" i="1"/>
  <c r="D262" i="1" l="1"/>
  <c r="N396" i="1" l="1"/>
  <c r="N390" i="1"/>
  <c r="N391" i="1"/>
  <c r="N392" i="1"/>
  <c r="N393" i="1"/>
  <c r="N394" i="1"/>
  <c r="N395" i="1"/>
  <c r="E390" i="1"/>
  <c r="E391" i="1"/>
  <c r="E392" i="1"/>
  <c r="E393" i="1"/>
  <c r="E394" i="1"/>
  <c r="E395" i="1"/>
  <c r="E396" i="1"/>
  <c r="E397" i="1"/>
  <c r="D104" i="3" l="1"/>
  <c r="E384" i="1"/>
  <c r="D103" i="3"/>
  <c r="D102" i="3"/>
  <c r="AB390" i="1"/>
  <c r="AB393" i="1"/>
  <c r="AB392" i="1"/>
  <c r="AB391" i="1"/>
  <c r="AB394" i="1"/>
  <c r="AB396" i="1"/>
  <c r="AB384" i="1" s="1"/>
  <c r="AB395" i="1"/>
  <c r="D43" i="3" l="1"/>
  <c r="N134" i="1"/>
  <c r="N135" i="1"/>
  <c r="N136" i="1"/>
  <c r="N137" i="1"/>
  <c r="N144" i="1"/>
  <c r="N145" i="1"/>
  <c r="N146" i="1"/>
  <c r="N154" i="1"/>
  <c r="AB144" i="1" l="1"/>
  <c r="AB146" i="1"/>
  <c r="AB145" i="1"/>
  <c r="AA103" i="3" l="1"/>
  <c r="AA102" i="3"/>
  <c r="AA104" i="3"/>
  <c r="AA43" i="3" s="1"/>
  <c r="C227" i="3" l="1"/>
  <c r="D266" i="3"/>
  <c r="D227" i="3" s="1"/>
  <c r="D346" i="1"/>
  <c r="D305" i="1" s="1"/>
  <c r="D345" i="1"/>
  <c r="E345" i="1"/>
  <c r="D265" i="3" l="1"/>
  <c r="AB346" i="1"/>
  <c r="E305" i="1"/>
  <c r="AB345" i="1"/>
  <c r="AA266" i="3" l="1"/>
  <c r="AA227" i="3" s="1"/>
  <c r="AA265" i="3"/>
  <c r="AB305" i="1"/>
  <c r="C226" i="3" l="1"/>
  <c r="C243" i="3" l="1"/>
  <c r="E328" i="1"/>
  <c r="E329" i="1"/>
  <c r="N329" i="1"/>
  <c r="D243" i="3" l="1"/>
  <c r="AB329" i="1"/>
  <c r="E304" i="1"/>
  <c r="D226" i="3" l="1"/>
  <c r="AA243" i="3"/>
  <c r="AB304" i="1"/>
  <c r="AA226" i="3" l="1"/>
  <c r="N168" i="1" l="1"/>
  <c r="N167" i="1"/>
  <c r="C167" i="1"/>
  <c r="D167" i="1"/>
  <c r="B167" i="1"/>
  <c r="AB168" i="1" l="1"/>
  <c r="AB167" i="1"/>
  <c r="N331" i="1" l="1"/>
  <c r="N165" i="1" l="1"/>
  <c r="N166" i="1"/>
  <c r="N169" i="1"/>
  <c r="C169" i="1"/>
  <c r="AB169" i="1" l="1"/>
  <c r="N355" i="1"/>
  <c r="N330" i="1"/>
  <c r="N366" i="1" l="1"/>
  <c r="E366" i="1"/>
  <c r="E355" i="1"/>
  <c r="N323" i="1"/>
  <c r="N324" i="1"/>
  <c r="N325" i="1"/>
  <c r="AB166" i="1"/>
  <c r="C166" i="1"/>
  <c r="D166" i="1"/>
  <c r="B166" i="1"/>
  <c r="D325" i="3" l="1"/>
  <c r="AB355" i="1"/>
  <c r="AB324" i="1"/>
  <c r="AB323" i="1"/>
  <c r="AB325" i="1"/>
  <c r="AA218" i="3" s="1"/>
  <c r="AB366" i="1"/>
  <c r="AB165" i="1"/>
  <c r="E76" i="1"/>
  <c r="E365" i="1"/>
  <c r="AA325" i="3" l="1"/>
  <c r="N361" i="1"/>
  <c r="N365" i="1"/>
  <c r="N364" i="1"/>
  <c r="E367" i="1"/>
  <c r="E368" i="1"/>
  <c r="E369" i="1"/>
  <c r="E370" i="1"/>
  <c r="E371" i="1"/>
  <c r="E364" i="1"/>
  <c r="C365" i="1"/>
  <c r="AB365" i="1" l="1"/>
  <c r="AB364" i="1"/>
  <c r="C431" i="1"/>
  <c r="D431" i="1"/>
  <c r="B431" i="1"/>
  <c r="C430" i="1"/>
  <c r="B430" i="1"/>
  <c r="I380" i="1"/>
  <c r="F380" i="1"/>
  <c r="H379" i="1"/>
  <c r="G379" i="1"/>
  <c r="F379" i="1"/>
  <c r="S431" i="1"/>
  <c r="O431" i="1"/>
  <c r="E431" i="1"/>
  <c r="S430" i="1"/>
  <c r="O430" i="1"/>
  <c r="N430" i="1" l="1"/>
  <c r="N431" i="1"/>
  <c r="E429" i="1"/>
  <c r="E428" i="1" s="1"/>
  <c r="AB430" i="1" l="1"/>
  <c r="AB431" i="1"/>
  <c r="E190" i="1"/>
  <c r="AB429" i="1" l="1"/>
  <c r="AB428" i="1" s="1"/>
  <c r="E476" i="1"/>
  <c r="H434" i="1" l="1"/>
  <c r="G434" i="1"/>
  <c r="F434" i="1"/>
  <c r="D101" i="1" l="1"/>
  <c r="D217" i="1" l="1"/>
  <c r="D190" i="1"/>
  <c r="D95" i="1"/>
  <c r="D60" i="1"/>
  <c r="E218" i="1" l="1"/>
  <c r="D232" i="3" l="1"/>
  <c r="D354" i="3" s="1"/>
  <c r="E503" i="1" s="1"/>
  <c r="N218" i="1"/>
  <c r="AB218" i="1" l="1"/>
  <c r="AA232" i="3" s="1"/>
  <c r="AA354" i="3" s="1"/>
  <c r="AB503" i="1" s="1"/>
  <c r="C380" i="1" l="1"/>
  <c r="D380" i="1"/>
  <c r="B380" i="1"/>
  <c r="F378" i="1"/>
  <c r="G378" i="1"/>
  <c r="H378" i="1"/>
  <c r="I378" i="1"/>
  <c r="P378" i="1"/>
  <c r="Q378" i="1"/>
  <c r="R378" i="1"/>
  <c r="S380" i="1"/>
  <c r="N380" i="1" s="1"/>
  <c r="O380" i="1"/>
  <c r="E380" i="1"/>
  <c r="AB380" i="1" l="1"/>
  <c r="N367" i="1" l="1"/>
  <c r="C59" i="1" l="1"/>
  <c r="B59" i="1"/>
  <c r="N59" i="1" l="1"/>
  <c r="E59" i="1"/>
  <c r="E465" i="1"/>
  <c r="AB59" i="1" l="1"/>
  <c r="N469" i="1" l="1"/>
  <c r="E469" i="1"/>
  <c r="AB469" i="1" l="1"/>
  <c r="C457" i="1" l="1"/>
  <c r="D457" i="1"/>
  <c r="C458" i="1"/>
  <c r="D458" i="1"/>
  <c r="C459" i="1"/>
  <c r="D459" i="1"/>
  <c r="C460" i="1"/>
  <c r="D460" i="1"/>
  <c r="B460" i="1"/>
  <c r="B459" i="1"/>
  <c r="B458" i="1"/>
  <c r="B457" i="1"/>
  <c r="C456" i="1"/>
  <c r="D456" i="1"/>
  <c r="B456" i="1"/>
  <c r="C455" i="1"/>
  <c r="D455" i="1"/>
  <c r="B455" i="1"/>
  <c r="C454" i="1"/>
  <c r="D454" i="1"/>
  <c r="B454" i="1"/>
  <c r="C453" i="1"/>
  <c r="D453" i="1"/>
  <c r="B453" i="1"/>
  <c r="E460" i="1"/>
  <c r="N459" i="1"/>
  <c r="E459" i="1"/>
  <c r="N458" i="1"/>
  <c r="E458" i="1"/>
  <c r="E457" i="1"/>
  <c r="E456" i="1"/>
  <c r="N455" i="1"/>
  <c r="E455" i="1"/>
  <c r="N454" i="1"/>
  <c r="E454" i="1"/>
  <c r="N453" i="1"/>
  <c r="E453" i="1"/>
  <c r="C448" i="1"/>
  <c r="B448" i="1"/>
  <c r="C447" i="1"/>
  <c r="B447" i="1"/>
  <c r="C446" i="1"/>
  <c r="B446" i="1"/>
  <c r="C445" i="1"/>
  <c r="B445" i="1"/>
  <c r="C444" i="1"/>
  <c r="B444" i="1"/>
  <c r="C452" i="1"/>
  <c r="B452" i="1"/>
  <c r="C443" i="1"/>
  <c r="B443" i="1"/>
  <c r="C379" i="1"/>
  <c r="B379" i="1"/>
  <c r="D447" i="1"/>
  <c r="D446" i="1"/>
  <c r="D445" i="1"/>
  <c r="D444" i="1"/>
  <c r="E452" i="1"/>
  <c r="N448" i="1"/>
  <c r="E448" i="1"/>
  <c r="N447" i="1"/>
  <c r="E447" i="1"/>
  <c r="N446" i="1"/>
  <c r="E446" i="1"/>
  <c r="N445" i="1"/>
  <c r="E445" i="1"/>
  <c r="N444" i="1"/>
  <c r="E444" i="1"/>
  <c r="N443" i="1"/>
  <c r="E443" i="1"/>
  <c r="D379" i="1"/>
  <c r="S379" i="1"/>
  <c r="S378" i="1" s="1"/>
  <c r="S377" i="1" s="1"/>
  <c r="O379" i="1"/>
  <c r="O378" i="1" s="1"/>
  <c r="O377" i="1" s="1"/>
  <c r="E379" i="1"/>
  <c r="E378" i="1" s="1"/>
  <c r="Q377" i="1"/>
  <c r="P377" i="1"/>
  <c r="I377" i="1"/>
  <c r="H377" i="1"/>
  <c r="G377" i="1"/>
  <c r="F377" i="1"/>
  <c r="R377" i="1"/>
  <c r="N379" i="1" l="1"/>
  <c r="N378" i="1" s="1"/>
  <c r="N377" i="1" s="1"/>
  <c r="N457" i="1"/>
  <c r="N452" i="1"/>
  <c r="N456" i="1"/>
  <c r="N460" i="1"/>
  <c r="AB453" i="1"/>
  <c r="AB454" i="1"/>
  <c r="AB455" i="1"/>
  <c r="AB458" i="1"/>
  <c r="AB459" i="1"/>
  <c r="E451" i="1"/>
  <c r="E450" i="1" s="1"/>
  <c r="AB444" i="1"/>
  <c r="AB446" i="1"/>
  <c r="AB448" i="1"/>
  <c r="E441" i="1"/>
  <c r="AB443" i="1"/>
  <c r="AB445" i="1"/>
  <c r="AB447" i="1"/>
  <c r="E377" i="1"/>
  <c r="E440" i="1" l="1"/>
  <c r="AB379" i="1"/>
  <c r="AB378" i="1" s="1"/>
  <c r="AB377" i="1" s="1"/>
  <c r="AB460" i="1"/>
  <c r="AB452" i="1"/>
  <c r="AB457" i="1"/>
  <c r="AB456" i="1"/>
  <c r="AB441" i="1"/>
  <c r="AB440" i="1" s="1"/>
  <c r="AB451" i="1" l="1"/>
  <c r="AB450" i="1" s="1"/>
  <c r="N317" i="1" l="1"/>
  <c r="N318" i="1"/>
  <c r="N319" i="1"/>
  <c r="D317" i="1" l="1"/>
  <c r="E177" i="1" l="1"/>
  <c r="C70" i="3"/>
  <c r="N96" i="1"/>
  <c r="AB96" i="1" l="1"/>
  <c r="AA49" i="3" s="1"/>
  <c r="AA48" i="3" l="1"/>
  <c r="AA42" i="3" s="1"/>
  <c r="AB177" i="1"/>
  <c r="E271" i="1"/>
  <c r="M271" i="1" s="1"/>
  <c r="E196" i="1" l="1"/>
  <c r="N196" i="1"/>
  <c r="D121" i="3" l="1"/>
  <c r="N163" i="1"/>
  <c r="AB163" i="1" l="1"/>
  <c r="N368" i="1"/>
  <c r="AB368" i="1" l="1"/>
  <c r="C270" i="1" l="1"/>
  <c r="D270" i="1"/>
  <c r="B270" i="1"/>
  <c r="C373" i="1"/>
  <c r="D373" i="1"/>
  <c r="B373" i="1"/>
  <c r="N373" i="1"/>
  <c r="E373" i="1"/>
  <c r="N270" i="1"/>
  <c r="E270" i="1"/>
  <c r="AB270" i="1" l="1"/>
  <c r="AB373" i="1"/>
  <c r="C317" i="1" l="1"/>
  <c r="B317" i="1"/>
  <c r="E317" i="1"/>
  <c r="AB317" i="1" l="1"/>
  <c r="AA212" i="3" s="1"/>
  <c r="D212" i="3"/>
  <c r="C71" i="1" l="1"/>
  <c r="B71" i="1"/>
  <c r="N71" i="1"/>
  <c r="E71" i="1"/>
  <c r="N369" i="1"/>
  <c r="D322" i="3" l="1"/>
  <c r="AB71" i="1"/>
  <c r="AA322" i="3" s="1"/>
  <c r="AB369" i="1"/>
  <c r="E220" i="1" l="1"/>
  <c r="N271" i="1"/>
  <c r="N220" i="1"/>
  <c r="AB271" i="1" l="1"/>
  <c r="N222" i="1"/>
  <c r="N221" i="1" s="1"/>
  <c r="AB220" i="1"/>
  <c r="AB196" i="1"/>
  <c r="AA121" i="3" l="1"/>
  <c r="N371" i="1" l="1"/>
  <c r="D345" i="3"/>
  <c r="AB371" i="1" l="1"/>
  <c r="AA345" i="3" l="1"/>
  <c r="N389" i="1" l="1"/>
  <c r="E389" i="1"/>
  <c r="AB389" i="1" l="1"/>
  <c r="N116" i="1" l="1"/>
  <c r="N117" i="1"/>
  <c r="D73" i="3"/>
  <c r="D75" i="3"/>
  <c r="D76" i="3"/>
  <c r="D114" i="1"/>
  <c r="D106" i="1"/>
  <c r="AB114" i="1" l="1"/>
  <c r="AB117" i="1"/>
  <c r="AB116" i="1"/>
  <c r="AA75" i="3" l="1"/>
  <c r="AA73" i="3"/>
  <c r="AA76" i="3"/>
  <c r="D231" i="1" l="1"/>
  <c r="D243" i="1"/>
  <c r="D249" i="1"/>
  <c r="D253" i="1"/>
  <c r="D268" i="1"/>
  <c r="D286" i="1"/>
  <c r="D292" i="1"/>
  <c r="D325" i="1"/>
  <c r="D397" i="1"/>
  <c r="D399" i="1"/>
  <c r="D401" i="1"/>
  <c r="D403" i="1"/>
  <c r="D404" i="1"/>
  <c r="D405" i="1"/>
  <c r="D412" i="1"/>
  <c r="D421" i="1"/>
  <c r="D423" i="1"/>
  <c r="D434" i="1"/>
  <c r="D419" i="1"/>
  <c r="D376" i="1"/>
  <c r="D206" i="1"/>
  <c r="D197" i="1"/>
  <c r="D194" i="1"/>
  <c r="D173" i="1"/>
  <c r="D170" i="1"/>
  <c r="D157" i="1"/>
  <c r="D137" i="1"/>
  <c r="D129" i="1"/>
  <c r="D126" i="1"/>
  <c r="D125" i="1"/>
  <c r="D123" i="1"/>
  <c r="D122" i="1"/>
  <c r="D121" i="1"/>
  <c r="D120" i="1"/>
  <c r="D113" i="1"/>
  <c r="D104" i="1"/>
  <c r="D100" i="1"/>
  <c r="D98" i="1"/>
  <c r="D94" i="1"/>
  <c r="D57" i="1"/>
  <c r="D56" i="1"/>
  <c r="D54" i="1"/>
  <c r="D51" i="1"/>
  <c r="D50" i="1"/>
  <c r="D49" i="1"/>
  <c r="D47" i="1"/>
  <c r="D46" i="1"/>
  <c r="D44" i="1"/>
  <c r="D43" i="1"/>
  <c r="D42" i="1"/>
  <c r="D41" i="1"/>
  <c r="D40" i="1"/>
  <c r="D39" i="1"/>
  <c r="D36" i="1"/>
  <c r="D35" i="1"/>
  <c r="D32" i="1"/>
  <c r="N279" i="1" l="1"/>
  <c r="E279" i="1"/>
  <c r="E35" i="1"/>
  <c r="AB279" i="1" l="1"/>
  <c r="F418" i="1"/>
  <c r="G418" i="1"/>
  <c r="H418" i="1"/>
  <c r="I418" i="1"/>
  <c r="P418" i="1"/>
  <c r="Q418" i="1"/>
  <c r="R418" i="1"/>
  <c r="N421" i="1"/>
  <c r="E421" i="1"/>
  <c r="AB421" i="1" l="1"/>
  <c r="N269" i="1"/>
  <c r="E269" i="1"/>
  <c r="N243" i="1"/>
  <c r="E243" i="1"/>
  <c r="AB269" i="1" l="1"/>
  <c r="AB243" i="1"/>
  <c r="D162" i="3" l="1"/>
  <c r="N35" i="1"/>
  <c r="N49" i="1"/>
  <c r="N50" i="1"/>
  <c r="AB35" i="1" l="1"/>
  <c r="AB49" i="1"/>
  <c r="AA162" i="3" l="1"/>
  <c r="E410" i="1" l="1"/>
  <c r="N410" i="1"/>
  <c r="E383" i="1" l="1"/>
  <c r="AB410" i="1"/>
  <c r="AB383" i="1" s="1"/>
  <c r="N74" i="1" l="1"/>
  <c r="N75" i="1"/>
  <c r="E75" i="1"/>
  <c r="AB75" i="1" l="1"/>
  <c r="AB301" i="1" l="1"/>
  <c r="E301" i="1"/>
  <c r="N107" i="1" l="1"/>
  <c r="N106" i="1"/>
  <c r="N100" i="1"/>
  <c r="AB100" i="1" l="1"/>
  <c r="AB107" i="1"/>
  <c r="AB106" i="1"/>
  <c r="D58" i="3"/>
  <c r="D64" i="3"/>
  <c r="D65" i="3"/>
  <c r="AA65" i="3" l="1"/>
  <c r="AA64" i="3"/>
  <c r="AA58" i="3"/>
  <c r="D246" i="3"/>
  <c r="N158" i="1"/>
  <c r="N130" i="1"/>
  <c r="D89" i="3"/>
  <c r="D272" i="3" l="1"/>
  <c r="D260" i="3"/>
  <c r="E302" i="1"/>
  <c r="D261" i="3"/>
  <c r="D238" i="3" s="1"/>
  <c r="D225" i="3" s="1"/>
  <c r="AA272" i="3"/>
  <c r="AB158" i="1"/>
  <c r="AB130" i="1"/>
  <c r="AA261" i="3" l="1"/>
  <c r="AA260" i="3"/>
  <c r="AA89" i="3"/>
  <c r="AA246" i="3"/>
  <c r="AB302" i="1"/>
  <c r="AA238" i="3" l="1"/>
  <c r="AA225" i="3" s="1"/>
  <c r="N173" i="1"/>
  <c r="E173" i="1"/>
  <c r="AB173" i="1" l="1"/>
  <c r="N370" i="1" l="1"/>
  <c r="D344" i="3"/>
  <c r="N129" i="1"/>
  <c r="D88" i="3"/>
  <c r="N126" i="1"/>
  <c r="D85" i="3"/>
  <c r="N54" i="1"/>
  <c r="E54" i="1"/>
  <c r="D275" i="3" s="1"/>
  <c r="N403" i="1"/>
  <c r="E403" i="1"/>
  <c r="AB129" i="1" l="1"/>
  <c r="AB370" i="1"/>
  <c r="AB403" i="1"/>
  <c r="AB54" i="1"/>
  <c r="AA275" i="3" s="1"/>
  <c r="AB126" i="1"/>
  <c r="N261" i="1"/>
  <c r="E261" i="1"/>
  <c r="N260" i="1"/>
  <c r="E260" i="1"/>
  <c r="D180" i="3" s="1"/>
  <c r="N156" i="1"/>
  <c r="D90" i="3"/>
  <c r="D86" i="3"/>
  <c r="N132" i="1"/>
  <c r="N131" i="1"/>
  <c r="N128" i="1"/>
  <c r="N127" i="1"/>
  <c r="D181" i="3" l="1"/>
  <c r="D143" i="3" s="1"/>
  <c r="E227" i="1"/>
  <c r="AA344" i="3"/>
  <c r="AA85" i="3"/>
  <c r="AA88" i="3"/>
  <c r="AB131" i="1"/>
  <c r="AB127" i="1"/>
  <c r="AB128" i="1"/>
  <c r="AB132" i="1"/>
  <c r="D87" i="3"/>
  <c r="D40" i="3" s="1"/>
  <c r="E90" i="1"/>
  <c r="D91" i="3"/>
  <c r="AB156" i="1"/>
  <c r="D202" i="3"/>
  <c r="D196" i="3" s="1"/>
  <c r="AB260" i="1"/>
  <c r="AB261" i="1"/>
  <c r="AB227" i="1" s="1"/>
  <c r="D41" i="3" l="1"/>
  <c r="D38" i="3"/>
  <c r="AA180" i="3"/>
  <c r="AA86" i="3"/>
  <c r="AA90" i="3"/>
  <c r="AA181" i="3"/>
  <c r="AA143" i="3" s="1"/>
  <c r="AA202" i="3"/>
  <c r="AA196" i="3" s="1"/>
  <c r="AA91" i="3"/>
  <c r="AB89" i="1"/>
  <c r="AA87" i="3"/>
  <c r="AA40" i="3" s="1"/>
  <c r="AB90" i="1"/>
  <c r="AA41" i="3" l="1"/>
  <c r="AA38" i="3"/>
  <c r="AA137" i="3"/>
  <c r="S422" i="1" l="1"/>
  <c r="O422" i="1"/>
  <c r="O418" i="1" s="1"/>
  <c r="N423" i="1"/>
  <c r="N160" i="1"/>
  <c r="N159" i="1"/>
  <c r="E91" i="1" l="1"/>
  <c r="S418" i="1"/>
  <c r="N422" i="1"/>
  <c r="AB160" i="1"/>
  <c r="E423" i="1"/>
  <c r="AB159" i="1"/>
  <c r="AB91" i="1" l="1"/>
  <c r="AB423" i="1"/>
  <c r="N109" i="1" l="1"/>
  <c r="N312" i="1"/>
  <c r="E312" i="1"/>
  <c r="S277" i="1"/>
  <c r="O277" i="1"/>
  <c r="S276" i="1"/>
  <c r="O276" i="1"/>
  <c r="M24" i="3" l="1"/>
  <c r="AB312" i="1"/>
  <c r="AB109" i="1"/>
  <c r="AB86" i="1" s="1"/>
  <c r="N172" i="1"/>
  <c r="N171" i="1"/>
  <c r="E172" i="1"/>
  <c r="E171" i="1"/>
  <c r="N112" i="1"/>
  <c r="N111" i="1"/>
  <c r="M19" i="3" l="1"/>
  <c r="AB111" i="1"/>
  <c r="AB112" i="1"/>
  <c r="AB171" i="1"/>
  <c r="AB172" i="1"/>
  <c r="D342" i="3"/>
  <c r="D340" i="3" s="1"/>
  <c r="D336" i="3" s="1"/>
  <c r="D70" i="3"/>
  <c r="AA67" i="3"/>
  <c r="AA36" i="3" s="1"/>
  <c r="D69" i="3"/>
  <c r="D341" i="3"/>
  <c r="D339" i="3" s="1"/>
  <c r="AA341" i="3" l="1"/>
  <c r="AA339" i="3" s="1"/>
  <c r="AA342" i="3"/>
  <c r="AA340" i="3" s="1"/>
  <c r="AA336" i="3" s="1"/>
  <c r="AA69" i="3"/>
  <c r="AA70" i="3"/>
  <c r="N231" i="1"/>
  <c r="E231" i="1" l="1"/>
  <c r="AB231" i="1" l="1"/>
  <c r="N110" i="1"/>
  <c r="AB110" i="1" l="1"/>
  <c r="AB80" i="1" s="1"/>
  <c r="D68" i="3"/>
  <c r="D30" i="3" l="1"/>
  <c r="AA68" i="3"/>
  <c r="AA30" i="3" l="1"/>
  <c r="N108" i="1" l="1"/>
  <c r="N416" i="1"/>
  <c r="E416" i="1"/>
  <c r="D66" i="3" l="1"/>
  <c r="AB416" i="1"/>
  <c r="AB108" i="1"/>
  <c r="N174" i="1"/>
  <c r="AA66" i="3" l="1"/>
  <c r="E174" i="1"/>
  <c r="E78" i="1" s="1"/>
  <c r="D94" i="3" l="1"/>
  <c r="AB135" i="1"/>
  <c r="D95" i="3"/>
  <c r="D39" i="3" s="1"/>
  <c r="AB136" i="1"/>
  <c r="AB88" i="1" s="1"/>
  <c r="AB174" i="1"/>
  <c r="AA95" i="3" l="1"/>
  <c r="AA39" i="3" s="1"/>
  <c r="AA94" i="3"/>
  <c r="D72" i="3" l="1"/>
  <c r="AB286" i="1"/>
  <c r="AA72" i="3" l="1"/>
  <c r="B84" i="3"/>
  <c r="N170" i="1" l="1"/>
  <c r="N157" i="1"/>
  <c r="N155" i="1"/>
  <c r="AB137" i="1"/>
  <c r="AB155" i="1" l="1"/>
  <c r="AB164" i="1"/>
  <c r="AB157" i="1"/>
  <c r="AB170" i="1"/>
  <c r="AB154" i="1"/>
  <c r="N124" i="1"/>
  <c r="N105" i="1"/>
  <c r="D63" i="3"/>
  <c r="D83" i="3" l="1"/>
  <c r="AB124" i="1"/>
  <c r="AB105" i="1"/>
  <c r="AA63" i="3" l="1"/>
  <c r="AA83" i="3"/>
  <c r="D288" i="1"/>
  <c r="E422" i="1" l="1"/>
  <c r="E357" i="1"/>
  <c r="N357" i="1"/>
  <c r="E292" i="1"/>
  <c r="N292" i="1"/>
  <c r="D298" i="3" l="1"/>
  <c r="D250" i="3"/>
  <c r="D255" i="3"/>
  <c r="AB292" i="1"/>
  <c r="AB357" i="1"/>
  <c r="E303" i="1"/>
  <c r="AB422" i="1"/>
  <c r="AA250" i="3" l="1"/>
  <c r="AA255" i="3"/>
  <c r="AA298" i="3"/>
  <c r="AB303" i="1"/>
  <c r="N56" i="1" l="1"/>
  <c r="E56" i="1"/>
  <c r="N25" i="1"/>
  <c r="E25" i="1"/>
  <c r="D278" i="3" l="1"/>
  <c r="AB56" i="1"/>
  <c r="AB25" i="1"/>
  <c r="D23" i="3"/>
  <c r="AA23" i="3" l="1"/>
  <c r="AA278" i="3"/>
  <c r="F275" i="1"/>
  <c r="G275" i="1"/>
  <c r="H275" i="1"/>
  <c r="I275" i="1"/>
  <c r="O275" i="1"/>
  <c r="P275" i="1"/>
  <c r="Q275" i="1"/>
  <c r="R275" i="1"/>
  <c r="S275" i="1"/>
  <c r="E193" i="1" l="1"/>
  <c r="N193" i="1"/>
  <c r="D193" i="1"/>
  <c r="AB193" i="1" l="1"/>
  <c r="D118" i="3"/>
  <c r="AA118" i="3" l="1"/>
  <c r="D277" i="3"/>
  <c r="D271" i="3"/>
  <c r="E299" i="1"/>
  <c r="E281" i="1"/>
  <c r="N281" i="1"/>
  <c r="E259" i="1"/>
  <c r="E258" i="1"/>
  <c r="D178" i="3" s="1"/>
  <c r="N259" i="1"/>
  <c r="N258" i="1"/>
  <c r="N262" i="1"/>
  <c r="N263" i="1"/>
  <c r="E262" i="1"/>
  <c r="E263" i="1"/>
  <c r="E228" i="1" s="1"/>
  <c r="N26" i="1"/>
  <c r="N28" i="1"/>
  <c r="N29" i="1"/>
  <c r="E29" i="1"/>
  <c r="D29" i="1"/>
  <c r="E226" i="1" l="1"/>
  <c r="D179" i="3"/>
  <c r="D142" i="3" s="1"/>
  <c r="D27" i="3"/>
  <c r="AA271" i="3"/>
  <c r="D182" i="3"/>
  <c r="E275" i="1"/>
  <c r="D220" i="3"/>
  <c r="D208" i="3" s="1"/>
  <c r="AB299" i="1"/>
  <c r="AA277" i="3"/>
  <c r="AB281" i="1"/>
  <c r="N275" i="1"/>
  <c r="AB259" i="1"/>
  <c r="AB226" i="1" s="1"/>
  <c r="D183" i="3"/>
  <c r="D144" i="3" s="1"/>
  <c r="AB258" i="1"/>
  <c r="AB262" i="1"/>
  <c r="AB263" i="1"/>
  <c r="AB228" i="1" s="1"/>
  <c r="AB29" i="1"/>
  <c r="D137" i="3" l="1"/>
  <c r="AA182" i="3"/>
  <c r="AB275" i="1"/>
  <c r="AA220" i="3"/>
  <c r="D136" i="3"/>
  <c r="AA179" i="3"/>
  <c r="AA142" i="3" s="1"/>
  <c r="AA178" i="3"/>
  <c r="AA183" i="3"/>
  <c r="AA144" i="3" s="1"/>
  <c r="AA27" i="3"/>
  <c r="AA136" i="3" l="1"/>
  <c r="AA208" i="3"/>
  <c r="N280" i="1"/>
  <c r="E280" i="1"/>
  <c r="E413" i="1"/>
  <c r="E411" i="1"/>
  <c r="E28" i="1"/>
  <c r="D262" i="3" l="1"/>
  <c r="D219" i="3"/>
  <c r="AB280" i="1"/>
  <c r="AB28" i="1"/>
  <c r="D26" i="3"/>
  <c r="N219" i="1"/>
  <c r="E219" i="1"/>
  <c r="AA219" i="3" l="1"/>
  <c r="AA26" i="3"/>
  <c r="AB219" i="1"/>
  <c r="N411" i="1" l="1"/>
  <c r="AB411" i="1" l="1"/>
  <c r="AA262" i="3" l="1"/>
  <c r="N121" i="1"/>
  <c r="D80" i="3" l="1"/>
  <c r="AB121" i="1"/>
  <c r="AA80" i="3" l="1"/>
  <c r="N407" i="1" l="1"/>
  <c r="E407" i="1"/>
  <c r="E404" i="1"/>
  <c r="AB407" i="1" l="1"/>
  <c r="N208" i="1" l="1"/>
  <c r="N209" i="1"/>
  <c r="E208" i="1"/>
  <c r="E209" i="1"/>
  <c r="E179" i="1" l="1"/>
  <c r="E182" i="1"/>
  <c r="AB209" i="1"/>
  <c r="AB208" i="1"/>
  <c r="AB179" i="1" l="1"/>
  <c r="AB182" i="1"/>
  <c r="D331" i="1"/>
  <c r="E386" i="1" l="1"/>
  <c r="N268" i="1" l="1"/>
  <c r="E268" i="1"/>
  <c r="N206" i="1"/>
  <c r="E206" i="1"/>
  <c r="N51" i="1"/>
  <c r="D249" i="3" l="1"/>
  <c r="AB51" i="1"/>
  <c r="D251" i="3"/>
  <c r="AB50" i="1"/>
  <c r="AB206" i="1"/>
  <c r="AB268" i="1"/>
  <c r="AA249" i="3" l="1"/>
  <c r="E215" i="1"/>
  <c r="N215" i="1"/>
  <c r="AB215" i="1" l="1"/>
  <c r="D291" i="3"/>
  <c r="E184" i="1"/>
  <c r="E488" i="1" s="1"/>
  <c r="N413" i="1"/>
  <c r="D286" i="3" l="1"/>
  <c r="AB184" i="1"/>
  <c r="AB413" i="1"/>
  <c r="AB386" i="1" s="1"/>
  <c r="AB488" i="1" l="1"/>
  <c r="D231" i="3"/>
  <c r="AA291" i="3"/>
  <c r="D353" i="3" l="1"/>
  <c r="E502" i="1" s="1"/>
  <c r="AA286" i="3"/>
  <c r="AA231" i="3" s="1"/>
  <c r="AA353" i="3" l="1"/>
  <c r="AB502" i="1" s="1"/>
  <c r="N198" i="1" l="1"/>
  <c r="E198" i="1"/>
  <c r="E195" i="1"/>
  <c r="AB195" i="1" l="1"/>
  <c r="AA120" i="3" s="1"/>
  <c r="D123" i="3"/>
  <c r="E183" i="1"/>
  <c r="D120" i="3"/>
  <c r="E178" i="1"/>
  <c r="AB198" i="1"/>
  <c r="AA123" i="3" l="1"/>
  <c r="AB183" i="1"/>
  <c r="AB178" i="1"/>
  <c r="N266" i="1" l="1"/>
  <c r="N250" i="1"/>
  <c r="E250" i="1"/>
  <c r="N248" i="1"/>
  <c r="E248" i="1"/>
  <c r="N241" i="1"/>
  <c r="E241" i="1"/>
  <c r="N239" i="1"/>
  <c r="E239" i="1"/>
  <c r="N235" i="1"/>
  <c r="N203" i="1"/>
  <c r="E203" i="1"/>
  <c r="N202" i="1"/>
  <c r="E202" i="1"/>
  <c r="N200" i="1"/>
  <c r="E200" i="1"/>
  <c r="N120" i="1"/>
  <c r="D79" i="3"/>
  <c r="N103" i="1"/>
  <c r="E85" i="1"/>
  <c r="E486" i="1" s="1"/>
  <c r="M500" i="1" s="1"/>
  <c r="N102" i="1"/>
  <c r="E79" i="1"/>
  <c r="N98" i="1"/>
  <c r="D259" i="3" l="1"/>
  <c r="D237" i="3" s="1"/>
  <c r="D155" i="3"/>
  <c r="D170" i="3"/>
  <c r="D153" i="3"/>
  <c r="D168" i="3"/>
  <c r="AB134" i="1"/>
  <c r="AB87" i="1" s="1"/>
  <c r="D61" i="3"/>
  <c r="D35" i="3" s="1"/>
  <c r="D60" i="3"/>
  <c r="D29" i="3" s="1"/>
  <c r="D349" i="3" s="1"/>
  <c r="L349" i="3" s="1"/>
  <c r="M498" i="1" s="1"/>
  <c r="E300" i="1"/>
  <c r="D128" i="3"/>
  <c r="E181" i="1"/>
  <c r="D125" i="3"/>
  <c r="D93" i="3"/>
  <c r="D37" i="3" s="1"/>
  <c r="E235" i="1"/>
  <c r="E266" i="1"/>
  <c r="E180" i="1"/>
  <c r="D127" i="3"/>
  <c r="D55" i="3"/>
  <c r="AB239" i="1"/>
  <c r="AB241" i="1"/>
  <c r="AB248" i="1"/>
  <c r="AB250" i="1"/>
  <c r="AB200" i="1"/>
  <c r="AB202" i="1"/>
  <c r="AB203" i="1"/>
  <c r="AB102" i="1"/>
  <c r="AB103" i="1"/>
  <c r="AB120" i="1"/>
  <c r="D351" i="3" l="1"/>
  <c r="E500" i="1" s="1"/>
  <c r="E498" i="1"/>
  <c r="E223" i="1"/>
  <c r="AA155" i="3"/>
  <c r="AA125" i="3"/>
  <c r="AA259" i="3"/>
  <c r="AA237" i="3" s="1"/>
  <c r="AA153" i="3"/>
  <c r="AA170" i="3"/>
  <c r="AA128" i="3"/>
  <c r="AA168" i="3"/>
  <c r="AA79" i="3"/>
  <c r="AA61" i="3"/>
  <c r="AA35" i="3" s="1"/>
  <c r="AB79" i="1"/>
  <c r="AB484" i="1" s="1"/>
  <c r="AA60" i="3"/>
  <c r="AA29" i="3" s="1"/>
  <c r="AA349" i="3" s="1"/>
  <c r="D149" i="3"/>
  <c r="AB300" i="1"/>
  <c r="AB266" i="1"/>
  <c r="AA93" i="3"/>
  <c r="AA37" i="3" s="1"/>
  <c r="AB85" i="1"/>
  <c r="AB486" i="1" s="1"/>
  <c r="D186" i="3"/>
  <c r="AB235" i="1"/>
  <c r="AB180" i="1"/>
  <c r="AA127" i="3"/>
  <c r="AB98" i="1"/>
  <c r="AB181" i="1"/>
  <c r="AA351" i="3" l="1"/>
  <c r="AB498" i="1"/>
  <c r="AA186" i="3"/>
  <c r="AA55" i="3"/>
  <c r="AB223" i="1"/>
  <c r="D138" i="3"/>
  <c r="AA149" i="3"/>
  <c r="C311" i="3"/>
  <c r="D69" i="1"/>
  <c r="N69" i="1"/>
  <c r="E69" i="1"/>
  <c r="AB500" i="1" l="1"/>
  <c r="E19" i="1"/>
  <c r="E487" i="1" s="1"/>
  <c r="AA138" i="3"/>
  <c r="AB69" i="1"/>
  <c r="AB19" i="1" s="1"/>
  <c r="AB487" i="1" s="1"/>
  <c r="D318" i="3"/>
  <c r="D311" i="3" l="1"/>
  <c r="D307" i="3" s="1"/>
  <c r="D352" i="3" s="1"/>
  <c r="L352" i="3" s="1"/>
  <c r="M501" i="1" s="1"/>
  <c r="AA318" i="3"/>
  <c r="E501" i="1" l="1"/>
  <c r="AA311" i="3"/>
  <c r="AA307" i="3" s="1"/>
  <c r="AA352" i="3" s="1"/>
  <c r="E205" i="1"/>
  <c r="N76" i="1"/>
  <c r="AB501" i="1" l="1"/>
  <c r="D347" i="3"/>
  <c r="AB76" i="1"/>
  <c r="AA347" i="3" l="1"/>
  <c r="E331" i="1"/>
  <c r="C331" i="1"/>
  <c r="D254" i="3" l="1"/>
  <c r="AB331" i="1"/>
  <c r="AA254" i="3" s="1"/>
  <c r="E361" i="1" l="1"/>
  <c r="C361" i="1"/>
  <c r="D361" i="1"/>
  <c r="B361" i="1"/>
  <c r="AB361" i="1" l="1"/>
  <c r="C364" i="1" l="1"/>
  <c r="D364" i="1"/>
  <c r="B364" i="1"/>
  <c r="E53" i="1" l="1"/>
  <c r="E55" i="1"/>
  <c r="N52" i="1"/>
  <c r="N53" i="1"/>
  <c r="N55" i="1"/>
  <c r="C53" i="1"/>
  <c r="D53" i="1"/>
  <c r="D55" i="1"/>
  <c r="B55" i="1"/>
  <c r="B53" i="1"/>
  <c r="D274" i="3" l="1"/>
  <c r="D276" i="3"/>
  <c r="AB55" i="1"/>
  <c r="AB53" i="1"/>
  <c r="AA274" i="3" s="1"/>
  <c r="AA276" i="3" l="1"/>
  <c r="D280" i="3" l="1"/>
  <c r="D269" i="3" s="1"/>
  <c r="AB348" i="1" l="1"/>
  <c r="N207" i="1"/>
  <c r="E207" i="1"/>
  <c r="D207" i="1"/>
  <c r="C207" i="1"/>
  <c r="B207" i="1"/>
  <c r="D408" i="1"/>
  <c r="C408" i="1"/>
  <c r="B408" i="1"/>
  <c r="D332" i="1"/>
  <c r="C332" i="1"/>
  <c r="B332" i="1"/>
  <c r="AA280" i="3" l="1"/>
  <c r="AB207" i="1"/>
  <c r="N408" i="1"/>
  <c r="E408" i="1"/>
  <c r="D256" i="3" l="1"/>
  <c r="AB408" i="1"/>
  <c r="AA256" i="3" l="1"/>
  <c r="O433" i="1"/>
  <c r="N415" i="1" l="1"/>
  <c r="E415" i="1"/>
  <c r="AB415" i="1" l="1"/>
  <c r="N409" i="1" l="1"/>
  <c r="E409" i="1"/>
  <c r="D258" i="3" l="1"/>
  <c r="AB409" i="1"/>
  <c r="AA258" i="3" s="1"/>
  <c r="N217" i="1" l="1"/>
  <c r="E217" i="1"/>
  <c r="AB217" i="1" l="1"/>
  <c r="D233" i="1"/>
  <c r="B404" i="1" l="1"/>
  <c r="N404" i="1"/>
  <c r="AB404" i="1" l="1"/>
  <c r="AA251" i="3" l="1"/>
  <c r="D272" i="1"/>
  <c r="G433" i="1"/>
  <c r="H433" i="1"/>
  <c r="P433" i="1"/>
  <c r="Q433" i="1"/>
  <c r="R433" i="1"/>
  <c r="S433" i="1"/>
  <c r="I433" i="1" l="1"/>
  <c r="F433" i="1" l="1"/>
  <c r="D372" i="1" l="1"/>
  <c r="N294" i="1" l="1"/>
  <c r="E294" i="1"/>
  <c r="C294" i="1"/>
  <c r="D294" i="1"/>
  <c r="B294" i="1"/>
  <c r="AB294" i="1" l="1"/>
  <c r="D334" i="3"/>
  <c r="D333" i="3" s="1"/>
  <c r="N94" i="1"/>
  <c r="N467" i="1"/>
  <c r="N468" i="1"/>
  <c r="N470" i="1"/>
  <c r="N471" i="1"/>
  <c r="N474" i="1"/>
  <c r="N476" i="1"/>
  <c r="AB476" i="1" s="1"/>
  <c r="N465" i="1"/>
  <c r="N435" i="1"/>
  <c r="N436" i="1"/>
  <c r="N437" i="1"/>
  <c r="N438" i="1"/>
  <c r="N439" i="1"/>
  <c r="N434" i="1"/>
  <c r="N427" i="1"/>
  <c r="N397" i="1"/>
  <c r="N398" i="1"/>
  <c r="N399" i="1"/>
  <c r="N401" i="1"/>
  <c r="N405" i="1"/>
  <c r="N419" i="1"/>
  <c r="N420" i="1"/>
  <c r="N424" i="1"/>
  <c r="N388" i="1"/>
  <c r="N376" i="1"/>
  <c r="N313" i="1"/>
  <c r="N314" i="1"/>
  <c r="N315" i="1"/>
  <c r="N320" i="1"/>
  <c r="N322" i="1"/>
  <c r="N328" i="1"/>
  <c r="N354" i="1"/>
  <c r="N372" i="1"/>
  <c r="N310" i="1"/>
  <c r="N288" i="1"/>
  <c r="N290" i="1"/>
  <c r="N291" i="1"/>
  <c r="N293" i="1"/>
  <c r="N285" i="1"/>
  <c r="N277" i="1"/>
  <c r="N278" i="1"/>
  <c r="N276" i="1"/>
  <c r="N233" i="1"/>
  <c r="N234" i="1"/>
  <c r="N236" i="1"/>
  <c r="N237" i="1"/>
  <c r="N238" i="1"/>
  <c r="N240" i="1"/>
  <c r="N242" i="1"/>
  <c r="N244" i="1"/>
  <c r="N247" i="1"/>
  <c r="N249" i="1"/>
  <c r="N251" i="1"/>
  <c r="N252" i="1"/>
  <c r="N253" i="1"/>
  <c r="N256" i="1"/>
  <c r="N257" i="1"/>
  <c r="N264" i="1"/>
  <c r="N265" i="1"/>
  <c r="N272" i="1"/>
  <c r="N230" i="1"/>
  <c r="N190" i="1"/>
  <c r="N194" i="1"/>
  <c r="N197" i="1"/>
  <c r="N199" i="1"/>
  <c r="N201" i="1"/>
  <c r="N204" i="1"/>
  <c r="N205" i="1"/>
  <c r="N189" i="1"/>
  <c r="N101" i="1"/>
  <c r="N104" i="1"/>
  <c r="N113" i="1"/>
  <c r="N122" i="1"/>
  <c r="N123" i="1"/>
  <c r="N125" i="1"/>
  <c r="N133" i="1"/>
  <c r="N93" i="1"/>
  <c r="N30" i="1"/>
  <c r="N31" i="1"/>
  <c r="N34" i="1"/>
  <c r="N36" i="1"/>
  <c r="N37" i="1"/>
  <c r="N38" i="1"/>
  <c r="N39" i="1"/>
  <c r="N40" i="1"/>
  <c r="N41" i="1"/>
  <c r="N42" i="1"/>
  <c r="N43" i="1"/>
  <c r="N44" i="1"/>
  <c r="N46" i="1"/>
  <c r="N47" i="1"/>
  <c r="N48" i="1"/>
  <c r="N58" i="1"/>
  <c r="N60" i="1"/>
  <c r="N61" i="1"/>
  <c r="N62" i="1"/>
  <c r="N63" i="1"/>
  <c r="N66" i="1"/>
  <c r="N68" i="1"/>
  <c r="N70" i="1"/>
  <c r="N73" i="1"/>
  <c r="N24" i="1"/>
  <c r="M210" i="3" l="1"/>
  <c r="Y210" i="3" s="1"/>
  <c r="M177" i="3"/>
  <c r="N297" i="1"/>
  <c r="M209" i="3"/>
  <c r="AB24" i="1"/>
  <c r="N418" i="1"/>
  <c r="N417" i="1" s="1"/>
  <c r="N433" i="1"/>
  <c r="N412" i="1"/>
  <c r="N358" i="1"/>
  <c r="N296" i="1" l="1"/>
  <c r="M135" i="3"/>
  <c r="M206" i="3"/>
  <c r="Y209" i="3"/>
  <c r="E470" i="1"/>
  <c r="D470" i="1"/>
  <c r="B470" i="1"/>
  <c r="M348" i="3" l="1"/>
  <c r="Y348" i="3" s="1"/>
  <c r="N483" i="1"/>
  <c r="Z483" i="1" s="1"/>
  <c r="D326" i="3"/>
  <c r="N214" i="1"/>
  <c r="AB470" i="1"/>
  <c r="N497" i="1" l="1"/>
  <c r="Z497" i="1"/>
  <c r="AA326" i="3"/>
  <c r="C333" i="1" l="1"/>
  <c r="D333" i="1"/>
  <c r="B333" i="1"/>
  <c r="D257" i="3" l="1"/>
  <c r="AA257" i="3" l="1"/>
  <c r="N95" i="1" l="1"/>
  <c r="D62" i="1" l="1"/>
  <c r="D424" i="1"/>
  <c r="D358" i="1"/>
  <c r="C288" i="1"/>
  <c r="B288" i="1"/>
  <c r="D277" i="1"/>
  <c r="AB475" i="1"/>
  <c r="E467" i="1"/>
  <c r="E474" i="1"/>
  <c r="D338" i="3"/>
  <c r="D337" i="3" s="1"/>
  <c r="E435" i="1"/>
  <c r="D235" i="3" s="1"/>
  <c r="E436" i="1"/>
  <c r="E437" i="1"/>
  <c r="E438" i="1"/>
  <c r="E439" i="1"/>
  <c r="E434" i="1"/>
  <c r="O432" i="1"/>
  <c r="P432" i="1"/>
  <c r="Q432" i="1"/>
  <c r="R432" i="1"/>
  <c r="S432" i="1"/>
  <c r="F432" i="1"/>
  <c r="G432" i="1"/>
  <c r="H432" i="1"/>
  <c r="I432" i="1"/>
  <c r="E427" i="1"/>
  <c r="E420" i="1"/>
  <c r="E424" i="1"/>
  <c r="E419" i="1"/>
  <c r="O417" i="1"/>
  <c r="P417" i="1"/>
  <c r="Q417" i="1"/>
  <c r="R417" i="1"/>
  <c r="S417" i="1"/>
  <c r="F417" i="1"/>
  <c r="G417" i="1"/>
  <c r="H417" i="1"/>
  <c r="I417" i="1"/>
  <c r="D221" i="3"/>
  <c r="E398" i="1"/>
  <c r="E399" i="1"/>
  <c r="E401" i="1"/>
  <c r="E405" i="1"/>
  <c r="E412" i="1"/>
  <c r="E388" i="1"/>
  <c r="N375" i="1"/>
  <c r="N374" i="1" s="1"/>
  <c r="E376" i="1"/>
  <c r="O375" i="1"/>
  <c r="O374" i="1" s="1"/>
  <c r="P375" i="1"/>
  <c r="P374" i="1" s="1"/>
  <c r="Q375" i="1"/>
  <c r="Q374" i="1" s="1"/>
  <c r="R375" i="1"/>
  <c r="R374" i="1" s="1"/>
  <c r="S375" i="1"/>
  <c r="S374" i="1" s="1"/>
  <c r="F375" i="1"/>
  <c r="F374" i="1" s="1"/>
  <c r="G375" i="1"/>
  <c r="G374" i="1" s="1"/>
  <c r="H375" i="1"/>
  <c r="H374" i="1" s="1"/>
  <c r="I375" i="1"/>
  <c r="I374" i="1" s="1"/>
  <c r="E313" i="1"/>
  <c r="E314" i="1"/>
  <c r="E315" i="1"/>
  <c r="E318" i="1"/>
  <c r="E319" i="1"/>
  <c r="E322" i="1"/>
  <c r="E326" i="1"/>
  <c r="E330" i="1"/>
  <c r="E354" i="1"/>
  <c r="E358" i="1"/>
  <c r="AB367" i="1"/>
  <c r="E372" i="1"/>
  <c r="E310" i="1"/>
  <c r="E293" i="1"/>
  <c r="E283" i="1" s="1"/>
  <c r="E277" i="1"/>
  <c r="E278" i="1"/>
  <c r="E276" i="1"/>
  <c r="E232" i="1"/>
  <c r="E233" i="1"/>
  <c r="E234" i="1"/>
  <c r="E236" i="1"/>
  <c r="E237" i="1"/>
  <c r="E238" i="1"/>
  <c r="E240" i="1"/>
  <c r="E244" i="1"/>
  <c r="E247" i="1"/>
  <c r="E249" i="1"/>
  <c r="E251" i="1"/>
  <c r="E252" i="1"/>
  <c r="E253" i="1"/>
  <c r="E256" i="1"/>
  <c r="E257" i="1"/>
  <c r="E264" i="1"/>
  <c r="E265" i="1"/>
  <c r="E272" i="1"/>
  <c r="E230" i="1"/>
  <c r="D115" i="3"/>
  <c r="E194" i="1"/>
  <c r="E197" i="1"/>
  <c r="E199" i="1"/>
  <c r="E201" i="1"/>
  <c r="E204" i="1"/>
  <c r="D130" i="3"/>
  <c r="E214" i="1"/>
  <c r="E189" i="1"/>
  <c r="D62" i="3"/>
  <c r="D71" i="3"/>
  <c r="D81" i="3"/>
  <c r="D82" i="3"/>
  <c r="D84" i="3"/>
  <c r="D92" i="3"/>
  <c r="E26" i="1"/>
  <c r="E30" i="1"/>
  <c r="E31" i="1"/>
  <c r="E32" i="1"/>
  <c r="E34" i="1"/>
  <c r="E36" i="1"/>
  <c r="E37" i="1"/>
  <c r="E38" i="1"/>
  <c r="E39" i="1"/>
  <c r="E40" i="1"/>
  <c r="E41" i="1"/>
  <c r="E42" i="1"/>
  <c r="E43" i="1"/>
  <c r="E44" i="1"/>
  <c r="E46" i="1"/>
  <c r="E47" i="1"/>
  <c r="E48" i="1"/>
  <c r="E57" i="1"/>
  <c r="E58" i="1"/>
  <c r="E60" i="1"/>
  <c r="E61" i="1"/>
  <c r="E62" i="1"/>
  <c r="E63" i="1"/>
  <c r="E66" i="1"/>
  <c r="E68" i="1"/>
  <c r="E70" i="1"/>
  <c r="E73" i="1"/>
  <c r="E74" i="1"/>
  <c r="D346" i="3" l="1"/>
  <c r="E222" i="1"/>
  <c r="E297" i="1"/>
  <c r="E18" i="1"/>
  <c r="E17" i="1" s="1"/>
  <c r="E461" i="1"/>
  <c r="E176" i="1"/>
  <c r="E382" i="1"/>
  <c r="E381" i="1" s="1"/>
  <c r="E282" i="1"/>
  <c r="E274" i="1"/>
  <c r="E273" i="1" s="1"/>
  <c r="D163" i="3"/>
  <c r="E375" i="1"/>
  <c r="E374" i="1" s="1"/>
  <c r="E426" i="1"/>
  <c r="E425" i="1" s="1"/>
  <c r="AB330" i="1"/>
  <c r="AB358" i="1"/>
  <c r="D21" i="3"/>
  <c r="D129" i="3"/>
  <c r="D152" i="3"/>
  <c r="D158" i="3"/>
  <c r="D213" i="3"/>
  <c r="D294" i="3"/>
  <c r="D314" i="3"/>
  <c r="D296" i="3"/>
  <c r="D161" i="3"/>
  <c r="D126" i="3"/>
  <c r="D157" i="3"/>
  <c r="D247" i="3"/>
  <c r="D332" i="3"/>
  <c r="D171" i="3"/>
  <c r="D209" i="3"/>
  <c r="L209" i="3" s="1"/>
  <c r="D244" i="3"/>
  <c r="D234" i="3"/>
  <c r="D159" i="3"/>
  <c r="D124" i="3"/>
  <c r="D122" i="3"/>
  <c r="D169" i="3"/>
  <c r="D154" i="3"/>
  <c r="D295" i="3"/>
  <c r="D176" i="3"/>
  <c r="D173" i="3"/>
  <c r="D172" i="3"/>
  <c r="D150" i="3"/>
  <c r="D146" i="3"/>
  <c r="D299" i="3"/>
  <c r="D203" i="3"/>
  <c r="D199" i="3"/>
  <c r="D198" i="3"/>
  <c r="D24" i="3"/>
  <c r="L24" i="3" s="1"/>
  <c r="D317" i="3"/>
  <c r="E77" i="1"/>
  <c r="D301" i="3"/>
  <c r="D44" i="3"/>
  <c r="D222" i="3"/>
  <c r="D289" i="3"/>
  <c r="D290" i="3"/>
  <c r="AA334" i="3"/>
  <c r="AA333" i="3" s="1"/>
  <c r="D329" i="3"/>
  <c r="D328" i="3" s="1"/>
  <c r="D46" i="3"/>
  <c r="D59" i="3"/>
  <c r="D327" i="3"/>
  <c r="D324" i="3" s="1"/>
  <c r="D185" i="3"/>
  <c r="E418" i="1"/>
  <c r="E417" i="1" s="1"/>
  <c r="D164" i="3"/>
  <c r="AB36" i="1"/>
  <c r="AA163" i="3" s="1"/>
  <c r="D205" i="3"/>
  <c r="E433" i="1"/>
  <c r="E432" i="1" s="1"/>
  <c r="D200" i="3"/>
  <c r="D190" i="3"/>
  <c r="D156" i="3"/>
  <c r="D300" i="3"/>
  <c r="D204" i="3"/>
  <c r="D283" i="3"/>
  <c r="D282" i="3" s="1"/>
  <c r="D252" i="3"/>
  <c r="AB265" i="1"/>
  <c r="AB313" i="1"/>
  <c r="D147" i="3"/>
  <c r="D119" i="3"/>
  <c r="D214" i="3"/>
  <c r="D321" i="3"/>
  <c r="D319" i="3" s="1"/>
  <c r="L319" i="3" s="1"/>
  <c r="D215" i="3"/>
  <c r="AB372" i="1"/>
  <c r="D210" i="3"/>
  <c r="L210" i="3" s="1"/>
  <c r="D217" i="3"/>
  <c r="D167" i="3"/>
  <c r="AB310" i="1"/>
  <c r="D193" i="3"/>
  <c r="D177" i="3"/>
  <c r="D242" i="3"/>
  <c r="D194" i="3"/>
  <c r="D191" i="3"/>
  <c r="AB272" i="1"/>
  <c r="AA346" i="3" s="1"/>
  <c r="D184" i="3"/>
  <c r="D151" i="3"/>
  <c r="D148" i="3"/>
  <c r="AB73" i="1"/>
  <c r="AB68" i="1"/>
  <c r="AB63" i="1"/>
  <c r="AB61" i="1"/>
  <c r="AB58" i="1"/>
  <c r="AB133" i="1"/>
  <c r="AB125" i="1"/>
  <c r="AB123" i="1"/>
  <c r="AB104" i="1"/>
  <c r="AB101" i="1"/>
  <c r="AB95" i="1"/>
  <c r="AB189" i="1"/>
  <c r="AB256" i="1"/>
  <c r="AB252" i="1"/>
  <c r="AB249" i="1"/>
  <c r="AB244" i="1"/>
  <c r="AB240" i="1"/>
  <c r="AB237" i="1"/>
  <c r="AB234" i="1"/>
  <c r="AB326" i="1"/>
  <c r="AB320" i="1"/>
  <c r="AA215" i="3" s="1"/>
  <c r="AB315" i="1"/>
  <c r="AB399" i="1"/>
  <c r="AB74" i="1"/>
  <c r="AB70" i="1"/>
  <c r="AB66" i="1"/>
  <c r="AB62" i="1"/>
  <c r="AB60" i="1"/>
  <c r="AB57" i="1"/>
  <c r="AB122" i="1"/>
  <c r="AB113" i="1"/>
  <c r="AB230" i="1"/>
  <c r="AB257" i="1"/>
  <c r="AB253" i="1"/>
  <c r="AB251" i="1"/>
  <c r="AB247" i="1"/>
  <c r="AB242" i="1"/>
  <c r="AB238" i="1"/>
  <c r="AB236" i="1"/>
  <c r="AB233" i="1"/>
  <c r="AB322" i="1"/>
  <c r="AB319" i="1"/>
  <c r="AB318" i="1"/>
  <c r="AB401" i="1"/>
  <c r="AB465" i="1"/>
  <c r="AB354" i="1"/>
  <c r="AB419" i="1"/>
  <c r="AB420" i="1"/>
  <c r="AB437" i="1"/>
  <c r="N432" i="1"/>
  <c r="AB471" i="1"/>
  <c r="AB467" i="1"/>
  <c r="AB278" i="1"/>
  <c r="AB277" i="1"/>
  <c r="AB52" i="1"/>
  <c r="AA273" i="3" s="1"/>
  <c r="AB44" i="1"/>
  <c r="AB42" i="1"/>
  <c r="AB40" i="1"/>
  <c r="AB38" i="1"/>
  <c r="AB32" i="1"/>
  <c r="AB30" i="1"/>
  <c r="AB285" i="1"/>
  <c r="AB412" i="1"/>
  <c r="AB427" i="1"/>
  <c r="AB426" i="1" s="1"/>
  <c r="AB425" i="1" s="1"/>
  <c r="AB438" i="1"/>
  <c r="AB436" i="1"/>
  <c r="AB435" i="1"/>
  <c r="AA235" i="3" s="1"/>
  <c r="AB439" i="1"/>
  <c r="AB328" i="1"/>
  <c r="AB48" i="1"/>
  <c r="AB46" i="1"/>
  <c r="AB43" i="1"/>
  <c r="AB41" i="1"/>
  <c r="AB37" i="1"/>
  <c r="AB34" i="1"/>
  <c r="AB31" i="1"/>
  <c r="AB214" i="1"/>
  <c r="AB205" i="1"/>
  <c r="AB204" i="1"/>
  <c r="AB201" i="1"/>
  <c r="AB199" i="1"/>
  <c r="AB197" i="1"/>
  <c r="AB194" i="1"/>
  <c r="AB190" i="1"/>
  <c r="AB291" i="1"/>
  <c r="AB293" i="1"/>
  <c r="AB287" i="1"/>
  <c r="AB405" i="1"/>
  <c r="AB398" i="1"/>
  <c r="AB26" i="1"/>
  <c r="AB39" i="1"/>
  <c r="AB314" i="1"/>
  <c r="AB424" i="1"/>
  <c r="AB47" i="1"/>
  <c r="AB94" i="1"/>
  <c r="AB276" i="1"/>
  <c r="AB290" i="1"/>
  <c r="AB288" i="1"/>
  <c r="AB468" i="1"/>
  <c r="AB388" i="1"/>
  <c r="AB474" i="1"/>
  <c r="AB434" i="1"/>
  <c r="AB376" i="1"/>
  <c r="AB375" i="1" s="1"/>
  <c r="AB374" i="1" s="1"/>
  <c r="AB93" i="1"/>
  <c r="AB264" i="1"/>
  <c r="E221" i="1" l="1"/>
  <c r="M221" i="1" s="1"/>
  <c r="M222" i="1"/>
  <c r="E296" i="1"/>
  <c r="D135" i="3"/>
  <c r="L135" i="3" s="1"/>
  <c r="D206" i="3"/>
  <c r="L206" i="3" s="1"/>
  <c r="AB18" i="1"/>
  <c r="AB78" i="1"/>
  <c r="AB77" i="1" s="1"/>
  <c r="AB297" i="1"/>
  <c r="AB296" i="1" s="1"/>
  <c r="D111" i="3"/>
  <c r="AB176" i="1"/>
  <c r="AB175" i="1" s="1"/>
  <c r="AB283" i="1"/>
  <c r="D236" i="3"/>
  <c r="AB274" i="1"/>
  <c r="D19" i="3"/>
  <c r="L19" i="3" s="1"/>
  <c r="AA21" i="3"/>
  <c r="E175" i="1"/>
  <c r="D310" i="3"/>
  <c r="D305" i="3" s="1"/>
  <c r="L305" i="3" s="1"/>
  <c r="AA122" i="3"/>
  <c r="AA130" i="3"/>
  <c r="AA157" i="3"/>
  <c r="AA152" i="3"/>
  <c r="AA314" i="3"/>
  <c r="AA244" i="3"/>
  <c r="AA169" i="3"/>
  <c r="AA209" i="3"/>
  <c r="AA124" i="3"/>
  <c r="AA295" i="3"/>
  <c r="AA294" i="3"/>
  <c r="AA283" i="3"/>
  <c r="AA282" i="3" s="1"/>
  <c r="AA332" i="3"/>
  <c r="AA158" i="3"/>
  <c r="AA156" i="3"/>
  <c r="AA115" i="3"/>
  <c r="AA126" i="3"/>
  <c r="AA159" i="3"/>
  <c r="AA247" i="3"/>
  <c r="AA167" i="3"/>
  <c r="AA296" i="3"/>
  <c r="AA154" i="3"/>
  <c r="AA129" i="3"/>
  <c r="AA161" i="3"/>
  <c r="AA234" i="3"/>
  <c r="AA269" i="3"/>
  <c r="AA213" i="3"/>
  <c r="AA171" i="3"/>
  <c r="AA338" i="3"/>
  <c r="AA337" i="3" s="1"/>
  <c r="AA176" i="3"/>
  <c r="AA173" i="3"/>
  <c r="AA172" i="3"/>
  <c r="AA150" i="3"/>
  <c r="AA299" i="3"/>
  <c r="AA204" i="3"/>
  <c r="AA203" i="3"/>
  <c r="AA200" i="3"/>
  <c r="AA199" i="3"/>
  <c r="AA198" i="3"/>
  <c r="AA24" i="3"/>
  <c r="AA317" i="3"/>
  <c r="AA62" i="3"/>
  <c r="AA81" i="3"/>
  <c r="AA84" i="3"/>
  <c r="AA71" i="3"/>
  <c r="AA82" i="3"/>
  <c r="AA92" i="3"/>
  <c r="AA301" i="3"/>
  <c r="AA44" i="3"/>
  <c r="D284" i="3"/>
  <c r="AA289" i="3"/>
  <c r="AA222" i="3"/>
  <c r="AA290" i="3"/>
  <c r="AA343" i="3"/>
  <c r="AA329" i="3"/>
  <c r="AA328" i="3" s="1"/>
  <c r="AA46" i="3"/>
  <c r="AA210" i="3"/>
  <c r="AA185" i="3"/>
  <c r="AA252" i="3"/>
  <c r="AA59" i="3"/>
  <c r="AB418" i="1"/>
  <c r="AA327" i="3"/>
  <c r="AA324" i="3" s="1"/>
  <c r="AA164" i="3"/>
  <c r="AA205" i="3"/>
  <c r="D343" i="3"/>
  <c r="D335" i="3" s="1"/>
  <c r="AA300" i="3"/>
  <c r="D195" i="3"/>
  <c r="AA190" i="3"/>
  <c r="AA177" i="3"/>
  <c r="AA147" i="3"/>
  <c r="AA119" i="3"/>
  <c r="AA214" i="3"/>
  <c r="AA321" i="3"/>
  <c r="AA319" i="3" s="1"/>
  <c r="AB433" i="1"/>
  <c r="AA242" i="3"/>
  <c r="AA184" i="3"/>
  <c r="D188" i="3"/>
  <c r="AA217" i="3"/>
  <c r="AA194" i="3"/>
  <c r="AA193" i="3"/>
  <c r="AA151" i="3"/>
  <c r="AA191" i="3"/>
  <c r="AA148" i="3"/>
  <c r="AA28" i="3" l="1"/>
  <c r="D223" i="3"/>
  <c r="AA111" i="3"/>
  <c r="AA335" i="3"/>
  <c r="AA236" i="3"/>
  <c r="E483" i="1"/>
  <c r="M483" i="1" s="1"/>
  <c r="AA310" i="3"/>
  <c r="AA305" i="3" s="1"/>
  <c r="AA195" i="3"/>
  <c r="AA19" i="3"/>
  <c r="AA284" i="3"/>
  <c r="AA188" i="3"/>
  <c r="AB397" i="1"/>
  <c r="AB382" i="1" s="1"/>
  <c r="AA223" i="3" l="1"/>
  <c r="AA221" i="3"/>
  <c r="AA206" i="3" s="1"/>
  <c r="N232" i="1" l="1"/>
  <c r="AB232" i="1" l="1"/>
  <c r="AB222" i="1" s="1"/>
  <c r="AB17" i="1"/>
  <c r="AB417" i="1"/>
  <c r="AB461" i="1"/>
  <c r="AB221" i="1" l="1"/>
  <c r="AA146" i="3"/>
  <c r="AA135" i="3" s="1"/>
  <c r="AB432" i="1"/>
  <c r="AB381" i="1"/>
  <c r="AB282" i="1"/>
  <c r="AB273" i="1"/>
  <c r="AA348" i="3" l="1"/>
  <c r="AB483" i="1"/>
  <c r="C68" i="1"/>
  <c r="AB497" i="1" l="1"/>
  <c r="C468" i="1"/>
  <c r="D468" i="1"/>
  <c r="B468" i="1"/>
  <c r="C355" i="1"/>
  <c r="D355" i="1"/>
  <c r="B355" i="1"/>
  <c r="C236" i="1" l="1"/>
  <c r="D236" i="1"/>
  <c r="B236" i="1"/>
  <c r="C39" i="1"/>
  <c r="B39" i="1"/>
  <c r="B201" i="1"/>
  <c r="C201" i="1"/>
  <c r="D201" i="1"/>
  <c r="B247" i="1"/>
  <c r="C247" i="1"/>
  <c r="B249" i="1"/>
  <c r="C249" i="1"/>
  <c r="C240" i="1"/>
  <c r="D240" i="1"/>
  <c r="B240" i="1"/>
  <c r="C424" i="1"/>
  <c r="B424" i="1"/>
  <c r="C420" i="1"/>
  <c r="D420" i="1"/>
  <c r="B420" i="1"/>
  <c r="D205" i="1"/>
  <c r="C205" i="1"/>
  <c r="B205" i="1"/>
  <c r="C204" i="1"/>
  <c r="D204" i="1"/>
  <c r="B204" i="1"/>
  <c r="C62" i="1"/>
  <c r="B62" i="1"/>
  <c r="C272" i="1"/>
  <c r="B272" i="1"/>
  <c r="C264" i="1"/>
  <c r="C265" i="1"/>
  <c r="B265" i="1"/>
  <c r="B264" i="1"/>
  <c r="C257" i="1"/>
  <c r="D257" i="1"/>
  <c r="B257" i="1"/>
  <c r="C256" i="1"/>
  <c r="D256" i="1"/>
  <c r="B256" i="1"/>
  <c r="C253" i="1"/>
  <c r="B253" i="1"/>
  <c r="C252" i="1"/>
  <c r="D252" i="1"/>
  <c r="B252" i="1"/>
  <c r="C251" i="1"/>
  <c r="D251" i="1"/>
  <c r="B251" i="1"/>
  <c r="C244" i="1"/>
  <c r="D244" i="1"/>
  <c r="B244" i="1"/>
  <c r="C242" i="1"/>
  <c r="D242" i="1"/>
  <c r="B242" i="1"/>
  <c r="C238" i="1"/>
  <c r="D238" i="1"/>
  <c r="B238" i="1"/>
  <c r="C237" i="1"/>
  <c r="D237" i="1"/>
  <c r="B237" i="1"/>
  <c r="C234" i="1"/>
  <c r="B234" i="1"/>
  <c r="C233" i="1"/>
  <c r="B233" i="1"/>
  <c r="C232" i="1"/>
  <c r="D232" i="1"/>
  <c r="B232" i="1"/>
  <c r="C214" i="1"/>
  <c r="B214" i="1"/>
  <c r="C199" i="1"/>
  <c r="D199" i="1"/>
  <c r="B199" i="1"/>
  <c r="C197" i="1"/>
  <c r="B197" i="1"/>
  <c r="C194" i="1"/>
  <c r="B194" i="1"/>
  <c r="C190" i="1"/>
  <c r="B190" i="1"/>
  <c r="C123" i="1"/>
  <c r="C125" i="1"/>
  <c r="C95" i="1"/>
  <c r="B95" i="1"/>
  <c r="C94" i="1"/>
  <c r="B94" i="1"/>
  <c r="C74" i="1"/>
  <c r="D74" i="1"/>
  <c r="B74" i="1"/>
  <c r="C73" i="1"/>
  <c r="D73" i="1"/>
  <c r="B73" i="1"/>
  <c r="C70" i="1"/>
  <c r="D70" i="1"/>
  <c r="B70" i="1"/>
  <c r="B68" i="1"/>
  <c r="C66" i="1"/>
  <c r="D66" i="1"/>
  <c r="B66" i="1"/>
  <c r="C63" i="1"/>
  <c r="B63" i="1"/>
  <c r="C61" i="1"/>
  <c r="D61" i="1"/>
  <c r="B61" i="1"/>
  <c r="C60" i="1"/>
  <c r="B60" i="1"/>
  <c r="C58" i="1"/>
  <c r="D58" i="1"/>
  <c r="B58" i="1"/>
  <c r="C57" i="1"/>
  <c r="B57" i="1"/>
  <c r="C52" i="1"/>
  <c r="D52" i="1"/>
  <c r="B52" i="1"/>
  <c r="C37" i="1"/>
  <c r="C38" i="1"/>
  <c r="B38" i="1"/>
  <c r="B37" i="1"/>
  <c r="C40" i="1"/>
  <c r="C41" i="1"/>
  <c r="B40" i="1"/>
  <c r="C48" i="1"/>
  <c r="D48" i="1"/>
  <c r="B48" i="1"/>
  <c r="C47" i="1"/>
  <c r="B47" i="1"/>
  <c r="C46" i="1"/>
  <c r="B46" i="1"/>
  <c r="C44" i="1"/>
  <c r="B44" i="1"/>
  <c r="C43" i="1"/>
  <c r="B43" i="1"/>
  <c r="C42" i="1"/>
  <c r="B42" i="1"/>
  <c r="C36" i="1"/>
  <c r="B36" i="1"/>
  <c r="C34" i="1"/>
  <c r="D34" i="1"/>
  <c r="B34" i="1"/>
  <c r="C32" i="1"/>
  <c r="B32" i="1"/>
  <c r="C31" i="1"/>
  <c r="D31" i="1"/>
  <c r="B31" i="1"/>
  <c r="C30" i="1"/>
  <c r="B30" i="1"/>
  <c r="C26" i="1"/>
  <c r="D26" i="1"/>
  <c r="B26" i="1"/>
  <c r="D278" i="1"/>
  <c r="C278" i="1"/>
  <c r="B278" i="1"/>
  <c r="C287" i="1"/>
  <c r="D287" i="1"/>
  <c r="B287" i="1"/>
  <c r="C290" i="1"/>
  <c r="D290" i="1"/>
  <c r="C291" i="1"/>
  <c r="D291" i="1"/>
  <c r="B291" i="1"/>
  <c r="B290" i="1"/>
  <c r="C293" i="1"/>
  <c r="B293" i="1"/>
  <c r="C313" i="1"/>
  <c r="D313" i="1"/>
  <c r="B313" i="1"/>
  <c r="C319" i="1"/>
  <c r="D319" i="1"/>
  <c r="B319" i="1"/>
  <c r="C318" i="1"/>
  <c r="D318" i="1"/>
  <c r="B318" i="1"/>
  <c r="C315" i="1"/>
  <c r="D315" i="1"/>
  <c r="B315" i="1"/>
  <c r="C314" i="1"/>
  <c r="D314" i="1"/>
  <c r="B314" i="1"/>
  <c r="C320" i="1"/>
  <c r="D320" i="1"/>
  <c r="B320" i="1"/>
  <c r="C322" i="1"/>
  <c r="D322" i="1"/>
  <c r="B322" i="1"/>
  <c r="C326" i="1"/>
  <c r="D326" i="1"/>
  <c r="B326" i="1"/>
  <c r="C328" i="1"/>
  <c r="B328" i="1"/>
  <c r="C330" i="1"/>
  <c r="B330" i="1"/>
  <c r="C354" i="1"/>
  <c r="B354" i="1"/>
  <c r="C367" i="1"/>
  <c r="D367" i="1"/>
  <c r="B367" i="1"/>
  <c r="C372" i="1"/>
  <c r="B372" i="1"/>
  <c r="C393" i="1"/>
  <c r="D393" i="1"/>
  <c r="B393" i="1"/>
  <c r="C397" i="1"/>
  <c r="B397" i="1"/>
  <c r="C398" i="1"/>
  <c r="B398" i="1"/>
  <c r="C401" i="1"/>
  <c r="B401" i="1"/>
  <c r="C399" i="1"/>
  <c r="B399" i="1"/>
  <c r="C405" i="1"/>
  <c r="B405" i="1"/>
  <c r="C412" i="1"/>
  <c r="B412" i="1"/>
  <c r="C435" i="1"/>
  <c r="D435" i="1"/>
  <c r="B435" i="1"/>
  <c r="C436" i="1"/>
  <c r="D436" i="1"/>
  <c r="B436" i="1"/>
  <c r="C437" i="1"/>
  <c r="D437" i="1"/>
  <c r="B437" i="1"/>
  <c r="C438" i="1"/>
  <c r="D438" i="1"/>
  <c r="B438" i="1"/>
  <c r="C439" i="1"/>
  <c r="D439" i="1"/>
  <c r="B439" i="1"/>
  <c r="C467" i="1"/>
  <c r="B467" i="1"/>
  <c r="C471" i="1"/>
  <c r="D471" i="1"/>
  <c r="B471" i="1"/>
  <c r="C474" i="1"/>
  <c r="D474" i="1"/>
  <c r="B474" i="1"/>
  <c r="C475" i="1"/>
  <c r="D475" i="1"/>
  <c r="C476" i="1"/>
  <c r="D476" i="1"/>
  <c r="B476" i="1"/>
  <c r="C465" i="1"/>
  <c r="B465" i="1"/>
  <c r="C434" i="1"/>
  <c r="B434" i="1"/>
  <c r="C427" i="1"/>
  <c r="B427" i="1"/>
  <c r="C419" i="1"/>
  <c r="B419" i="1"/>
  <c r="C388" i="1"/>
  <c r="B388" i="1"/>
  <c r="C376" i="1"/>
  <c r="B376" i="1"/>
  <c r="C310" i="1"/>
  <c r="B310" i="1"/>
  <c r="C285" i="1"/>
  <c r="B285" i="1"/>
  <c r="C276" i="1"/>
  <c r="B276" i="1"/>
  <c r="C230" i="1"/>
  <c r="B230" i="1"/>
  <c r="C189" i="1"/>
  <c r="B189" i="1"/>
  <c r="C93" i="1"/>
  <c r="B93" i="1"/>
  <c r="C24" i="1"/>
  <c r="B24" i="1"/>
  <c r="D270" i="3" l="1"/>
  <c r="AA270" i="3" l="1"/>
  <c r="D224" i="3" l="1"/>
  <c r="AA224" i="3" l="1"/>
  <c r="D107" i="3" l="1"/>
  <c r="D28" i="3" l="1"/>
  <c r="D348" i="3" s="1"/>
  <c r="E497" i="1" l="1"/>
  <c r="L348" i="3"/>
  <c r="M497" i="1" s="1"/>
</calcChain>
</file>

<file path=xl/sharedStrings.xml><?xml version="1.0" encoding="utf-8"?>
<sst xmlns="http://schemas.openxmlformats.org/spreadsheetml/2006/main" count="1411" uniqueCount="783">
  <si>
    <t>1410160</t>
  </si>
  <si>
    <t>Проектування, реставрація та охорона пам'яток архітектури</t>
  </si>
  <si>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</si>
  <si>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</si>
  <si>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</si>
  <si>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</si>
  <si>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</si>
  <si>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</si>
  <si>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</si>
  <si>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</si>
  <si>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</si>
  <si>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</si>
  <si>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</si>
  <si>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</si>
  <si>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</si>
  <si>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</si>
  <si>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</si>
  <si>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</si>
  <si>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Інші видатки на соціальний захист ветеранів війни та праці</t>
  </si>
  <si>
    <t>Компенсаційні виплати на пільговий проїзд електротранспортом окремим категоріям громадян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</si>
  <si>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</si>
  <si>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</si>
  <si>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</si>
  <si>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</si>
  <si>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</si>
  <si>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</si>
  <si>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1400000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</si>
  <si>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</si>
  <si>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</si>
  <si>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</si>
  <si>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</si>
  <si>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</si>
  <si>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</si>
  <si>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Управління «Інспекція з благоустрою міста Суми»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</si>
  <si>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</si>
  <si>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</si>
  <si>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</si>
  <si>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</si>
  <si>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</si>
  <si>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Управління архітектури та містобудування Сумської міської ради</t>
  </si>
  <si>
    <t>Департамент фінансів, економіки та інвестицій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</si>
  <si>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</si>
  <si>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</si>
  <si>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</si>
  <si>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</si>
  <si>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</si>
  <si>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</si>
  <si>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</si>
  <si>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</si>
  <si>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</si>
  <si>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</si>
  <si>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1060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</si>
  <si>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</si>
  <si>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</si>
  <si>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</si>
  <si>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</si>
  <si>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</si>
  <si>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</si>
  <si>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</si>
  <si>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</si>
  <si>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</si>
  <si>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</si>
  <si>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</si>
  <si>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</si>
  <si>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</si>
  <si>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0610</t>
  </si>
  <si>
    <t>6020</t>
  </si>
  <si>
    <t>0620</t>
  </si>
  <si>
    <t>4000</t>
  </si>
  <si>
    <t>4030</t>
  </si>
  <si>
    <t>0824</t>
  </si>
  <si>
    <t>0829</t>
  </si>
  <si>
    <t>Засоби масової інформації</t>
  </si>
  <si>
    <t>0830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</si>
  <si>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</si>
  <si>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</si>
  <si>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</si>
  <si>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</si>
  <si>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</si>
  <si>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</si>
  <si>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</si>
  <si>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</si>
  <si>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</si>
  <si>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</si>
  <si>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</si>
  <si>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</si>
  <si>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</si>
  <si>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9110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</si>
  <si>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</si>
  <si>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</si>
  <si>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</si>
  <si>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</si>
  <si>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</si>
  <si>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</si>
  <si>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</si>
  <si>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</si>
  <si>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</si>
  <si>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3050</t>
  </si>
  <si>
    <t>3104</t>
  </si>
  <si>
    <t>3112</t>
  </si>
  <si>
    <t>3180</t>
  </si>
  <si>
    <t>3200</t>
  </si>
  <si>
    <t>1050</t>
  </si>
  <si>
    <t>3131</t>
  </si>
  <si>
    <t>3140</t>
  </si>
  <si>
    <t>3160</t>
  </si>
  <si>
    <t>Реверсна дотація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</si>
  <si>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</si>
  <si>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</si>
  <si>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</si>
  <si>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</si>
  <si>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</si>
  <si>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</si>
  <si>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1410000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</si>
  <si>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</si>
  <si>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</si>
  <si>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</si>
  <si>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</si>
  <si>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</si>
  <si>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</si>
  <si>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</si>
  <si>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</si>
  <si>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6011</t>
  </si>
  <si>
    <t>Експлуатація та технічне обслуговування житлового фонду</t>
  </si>
  <si>
    <t>6013</t>
  </si>
  <si>
    <t>6030</t>
  </si>
  <si>
    <t>Організація благоустрою населених пунктів</t>
  </si>
  <si>
    <t>8400</t>
  </si>
  <si>
    <t>6084</t>
  </si>
  <si>
    <t>7000</t>
  </si>
  <si>
    <t>7130</t>
  </si>
  <si>
    <t>7340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</si>
  <si>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</si>
  <si>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</si>
  <si>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</si>
  <si>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</si>
  <si>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</si>
  <si>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</si>
  <si>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1017640</t>
  </si>
  <si>
    <t>1517640</t>
  </si>
  <si>
    <t>8120</t>
  </si>
  <si>
    <t>0200000</t>
  </si>
  <si>
    <t>0210000</t>
  </si>
  <si>
    <t>0210160</t>
  </si>
  <si>
    <t>0213036</t>
  </si>
  <si>
    <t>0213121</t>
  </si>
  <si>
    <t>0213131</t>
  </si>
  <si>
    <t>0213140</t>
  </si>
  <si>
    <t>0215011</t>
  </si>
  <si>
    <t>0215012</t>
  </si>
  <si>
    <t>0215031</t>
  </si>
  <si>
    <t>0215061</t>
  </si>
  <si>
    <t>0217412</t>
  </si>
  <si>
    <t>0217610</t>
  </si>
  <si>
    <t>0217670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</si>
  <si>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</si>
  <si>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</si>
  <si>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</si>
  <si>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</si>
  <si>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</si>
  <si>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</si>
  <si>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</si>
  <si>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</si>
  <si>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</si>
  <si>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</si>
  <si>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0717640</t>
  </si>
  <si>
    <t>0712144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</si>
  <si>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</si>
  <si>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</si>
  <si>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</si>
  <si>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</si>
  <si>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</si>
  <si>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</si>
  <si>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</si>
  <si>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</si>
  <si>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</si>
  <si>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</si>
  <si>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</si>
  <si>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0813180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</si>
  <si>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</si>
  <si>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</si>
  <si>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</si>
  <si>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</si>
  <si>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</si>
  <si>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</si>
  <si>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</si>
  <si>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</si>
  <si>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</si>
  <si>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</si>
  <si>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1216011</t>
  </si>
  <si>
    <t>1216013</t>
  </si>
  <si>
    <t>1216020</t>
  </si>
  <si>
    <t>1216030</t>
  </si>
  <si>
    <t>1217340</t>
  </si>
  <si>
    <t>1217640</t>
  </si>
  <si>
    <t>1218340</t>
  </si>
  <si>
    <t>1219770</t>
  </si>
  <si>
    <t>1516030</t>
  </si>
  <si>
    <t>1516084</t>
  </si>
  <si>
    <t>1600000</t>
  </si>
  <si>
    <t>1610000</t>
  </si>
  <si>
    <t>1610160</t>
  </si>
  <si>
    <t>1710000</t>
  </si>
  <si>
    <t>1710160</t>
  </si>
  <si>
    <t>1700000</t>
  </si>
  <si>
    <t>3100000</t>
  </si>
  <si>
    <t>3110000</t>
  </si>
  <si>
    <t>3110160</t>
  </si>
  <si>
    <t>3117130</t>
  </si>
  <si>
    <t>3117610</t>
  </si>
  <si>
    <t>3700000</t>
  </si>
  <si>
    <t>3710000</t>
  </si>
  <si>
    <t>3710160</t>
  </si>
  <si>
    <t>3718340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</si>
  <si>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</si>
  <si>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</si>
  <si>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</si>
  <si>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</si>
  <si>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</si>
  <si>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</si>
  <si>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</si>
  <si>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</si>
  <si>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</si>
  <si>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</si>
  <si>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3719110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</si>
  <si>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</si>
  <si>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</si>
  <si>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</si>
  <si>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</si>
  <si>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</si>
  <si>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</si>
  <si>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</si>
  <si>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</si>
  <si>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</si>
  <si>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</si>
  <si>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</si>
  <si>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</si>
  <si>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</si>
  <si>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</si>
  <si>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</si>
  <si>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</si>
  <si>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</si>
  <si>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</si>
  <si>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1216090</t>
  </si>
  <si>
    <t>9100</t>
  </si>
  <si>
    <t>0218420</t>
  </si>
  <si>
    <t>8420</t>
  </si>
  <si>
    <t>Інші заходи у сфері засобів масової інформації</t>
  </si>
  <si>
    <t>0213033</t>
  </si>
  <si>
    <t>3717640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</si>
  <si>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</si>
  <si>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</si>
  <si>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</si>
  <si>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</si>
  <si>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</si>
  <si>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3117693</t>
  </si>
  <si>
    <t>0819770</t>
  </si>
  <si>
    <t>3117650</t>
  </si>
  <si>
    <t>7650</t>
  </si>
  <si>
    <t>3117660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</si>
  <si>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</si>
  <si>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</si>
  <si>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1217310</t>
  </si>
  <si>
    <t>7310</t>
  </si>
  <si>
    <t>1217330</t>
  </si>
  <si>
    <t>7330</t>
  </si>
  <si>
    <t>1517310</t>
  </si>
  <si>
    <t>1517321</t>
  </si>
  <si>
    <t>7321</t>
  </si>
  <si>
    <t>1517322</t>
  </si>
  <si>
    <t>7322</t>
  </si>
  <si>
    <t>1517330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</si>
  <si>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</si>
  <si>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</si>
  <si>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</si>
  <si>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</si>
  <si>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</si>
  <si>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</si>
  <si>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</si>
  <si>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</si>
  <si>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</si>
  <si>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4081</t>
  </si>
  <si>
    <t>4082</t>
  </si>
  <si>
    <t>Інші заходи в галузі культури і мистецтва</t>
  </si>
  <si>
    <t>7691</t>
  </si>
  <si>
    <t>Дотації з місцевого бюджету іншим бюджетам</t>
  </si>
  <si>
    <t>1617691</t>
  </si>
  <si>
    <t>1217691</t>
  </si>
  <si>
    <t>0217691</t>
  </si>
  <si>
    <t>1213210</t>
  </si>
  <si>
    <t>0214081</t>
  </si>
  <si>
    <t>0214082</t>
  </si>
  <si>
    <t>0213241</t>
  </si>
  <si>
    <t>0213242</t>
  </si>
  <si>
    <t>0813241</t>
  </si>
  <si>
    <t>0813191</t>
  </si>
  <si>
    <t>0813192</t>
  </si>
  <si>
    <t>0813210</t>
  </si>
  <si>
    <t>1616090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</si>
  <si>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</si>
  <si>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</si>
  <si>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</si>
  <si>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3090</t>
  </si>
  <si>
    <t>3171</t>
  </si>
  <si>
    <t>3172</t>
  </si>
  <si>
    <t>0214060</t>
  </si>
  <si>
    <t>4060</t>
  </si>
  <si>
    <t>0828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</si>
  <si>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</si>
  <si>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</si>
  <si>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</si>
  <si>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</si>
  <si>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</si>
  <si>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</si>
  <si>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</si>
  <si>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</si>
  <si>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3717693</t>
  </si>
  <si>
    <t>1217670</t>
  </si>
  <si>
    <t>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</si>
  <si>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</si>
  <si>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0913111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</si>
  <si>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</si>
  <si>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</si>
  <si>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</si>
  <si>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</si>
  <si>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</si>
  <si>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</si>
  <si>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</si>
  <si>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</si>
  <si>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</si>
  <si>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</si>
  <si>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</si>
  <si>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</si>
  <si>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</si>
  <si>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</si>
  <si>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</si>
  <si>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0813050</t>
  </si>
  <si>
    <t>0813090</t>
  </si>
  <si>
    <t>0813033</t>
  </si>
  <si>
    <t>0813171</t>
  </si>
  <si>
    <t>0813172</t>
  </si>
  <si>
    <t>0813242</t>
  </si>
  <si>
    <t>Інші субвенції з місцевого бюджету</t>
  </si>
  <si>
    <t>0215032</t>
  </si>
  <si>
    <t>(грн)</t>
  </si>
  <si>
    <t>1517325</t>
  </si>
  <si>
    <t>Надання пільг окремим категоріям громадян з оплати послуг зв'язку</t>
  </si>
  <si>
    <t>0717700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</si>
  <si>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</si>
  <si>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Управління  «Служба у справах дітей» Сумської міської ради</t>
  </si>
  <si>
    <t>Виконання інвестиційних проектів в рамках підтримки розвитку об'єднаних територіальних громад</t>
  </si>
  <si>
    <t>Надання позашкільної освіти закладами позашкільної освіти, заходи із позашкільної роботи з дітьми</t>
  </si>
  <si>
    <t>1517363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</si>
  <si>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</si>
  <si>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1217363</t>
  </si>
  <si>
    <t>1517691</t>
  </si>
  <si>
    <t>1217361</t>
  </si>
  <si>
    <t>1517361</t>
  </si>
  <si>
    <t>Співфінансування інвестиційних проектів, що реалізуються за рахунок коштів державного фонду регіонального розвитку</t>
  </si>
  <si>
    <t>0717361</t>
  </si>
  <si>
    <t>1217462</t>
  </si>
  <si>
    <t>Інші заходи у сфері автотранспорту</t>
  </si>
  <si>
    <t>Інші заходи у сфері електротранспорту</t>
  </si>
  <si>
    <t>0217413</t>
  </si>
  <si>
    <t>0217426</t>
  </si>
  <si>
    <t>1218230</t>
  </si>
  <si>
    <t>1218110</t>
  </si>
  <si>
    <t>0219800</t>
  </si>
  <si>
    <t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</si>
  <si>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</si>
  <si>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субвенції з місцевого бюджету на здійснення переданих видатків у сфері освіти за рахунок коштів освітньої субвенції</t>
  </si>
  <si>
    <t>субвенції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</si>
  <si>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</si>
  <si>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дотації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</si>
  <si>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субвенції з державного бюджету місцевим бюджетам на здійснення заходів щодо соціально-економічного розвитку окремих територій</t>
  </si>
  <si>
    <t>освітньої субвенції з державного бюджету місцевим бюджетам</t>
  </si>
  <si>
    <t>медичної субвенції з державного бюджету місцевим бюджетам</t>
  </si>
  <si>
    <t>субвенції з місцевого бюджету на здійснення переданих видатків у сфері охорони здоров'я за рахунок коштів медичної субвенції</t>
  </si>
  <si>
    <t>субвенції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</t>
  </si>
  <si>
    <t>іншої субвенції з місцевого бюджету</t>
  </si>
  <si>
    <t xml:space="preserve">іншої субвенції з місцевого бюджету </t>
  </si>
  <si>
    <t>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</si>
  <si>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Виконання інвестиційних проектів в рамках здійснення заходів щодо соціально-економічного розвитку окремих територій, у т.ч. за рахунок:</t>
  </si>
  <si>
    <t>Утримання та розвиток автомобільних доріг та дорожньої інфраструктури за рахунок субвенції з державного бюджету, у т.ч. за рахунок:</t>
  </si>
  <si>
    <t>0456</t>
  </si>
  <si>
    <t>Централізовані заходи з лікування хворих на цукровий та нецукровий діабет, у т.ч. за рахунок: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</si>
  <si>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t>
  </si>
  <si>
    <t>Встановлення телефонів особам з інвалідністю I і II груп, у т.ч. за рахунок:</t>
  </si>
  <si>
    <t>Всього видатків, у т.ч. за рахунок:</t>
  </si>
  <si>
    <t>Пільгове медичне обслуговування осіб, які постраждали внаслідок Чорнобильської катастрофи, у т.ч. за рахунок:</t>
  </si>
  <si>
    <t>Видатки на поховання учасників бойових дій та осіб з інвалідністю внаслідок війни, у т.ч. за рахунок: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</si>
  <si>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</si>
  <si>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</si>
  <si>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0453</t>
  </si>
  <si>
    <t>0217325</t>
  </si>
  <si>
    <t>0217330</t>
  </si>
  <si>
    <t>0717322</t>
  </si>
  <si>
    <t>0817323</t>
  </si>
  <si>
    <t>Заходи з енергозбереження, у т. ч. за рахунок:</t>
  </si>
  <si>
    <t>місцевого запозичення</t>
  </si>
  <si>
    <t>Управління капітального будівництва та дорожнього господарства Сумської міської ради, у т. ч. за рахунок:</t>
  </si>
  <si>
    <t>Інші програми та заходи, пов'язані з економічною діяльністю, у т.ч. за рахунок:</t>
  </si>
  <si>
    <t>Заходи з енергозбереження</t>
  </si>
  <si>
    <t>0717363</t>
  </si>
  <si>
    <t>1517340</t>
  </si>
  <si>
    <t>1217530</t>
  </si>
  <si>
    <t>1517370</t>
  </si>
  <si>
    <t>Реалізація інших заходів щодо соціально-економічного розвитку територій</t>
  </si>
  <si>
    <t>0719770</t>
  </si>
  <si>
    <t>Інши субвенції з місцевого бюджету</t>
  </si>
  <si>
    <t>0210191</t>
  </si>
  <si>
    <t>0191</t>
  </si>
  <si>
    <t>Проведення місцевих виборів</t>
  </si>
  <si>
    <t>0916083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</si>
  <si>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</si>
  <si>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</si>
  <si>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0813223</t>
  </si>
  <si>
    <t>0813221</t>
  </si>
  <si>
    <t>субвенція з державного бюджету бюджету Сумської міської об’єднаної територіальної громади на поточний ремонт вулично-дорожньої мережі та штучних споруд м. Суми, вул. Харківська</t>
  </si>
  <si>
    <t>0712020</t>
  </si>
  <si>
    <t>0732</t>
  </si>
  <si>
    <t xml:space="preserve"> Спеціалізована стаціонарна медична допомога населенню</t>
  </si>
  <si>
    <t>0210170</t>
  </si>
  <si>
    <t>Підвищення кваліфікації депутатів місцевих рад та посадових осіб місцевого самоврядування</t>
  </si>
  <si>
    <t>0217450</t>
  </si>
  <si>
    <t>7450</t>
  </si>
  <si>
    <t>1017324</t>
  </si>
  <si>
    <t>7324</t>
  </si>
  <si>
    <t>1617350</t>
  </si>
  <si>
    <t>7350</t>
  </si>
  <si>
    <t>Розроблення схем планування та забудови територій (містобудівної документації)</t>
  </si>
  <si>
    <t>Інша діяльність у сфері транспорту</t>
  </si>
  <si>
    <t>0131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</si>
  <si>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</si>
  <si>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</si>
  <si>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</si>
  <si>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</si>
  <si>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</si>
  <si>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Надання загальної середньої освіти закладами загальної середньої освіти</t>
  </si>
  <si>
    <t>0611022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</si>
  <si>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</si>
  <si>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0611031</t>
  </si>
  <si>
    <t>0611032</t>
  </si>
  <si>
    <t>1032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</si>
  <si>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</si>
  <si>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</si>
  <si>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</si>
  <si>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</si>
  <si>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</si>
  <si>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</si>
  <si>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</si>
  <si>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</si>
  <si>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</si>
  <si>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</si>
  <si>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</si>
  <si>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</si>
  <si>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</si>
  <si>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</si>
  <si>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</si>
  <si>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0613140</t>
  </si>
  <si>
    <t>0613242</t>
  </si>
  <si>
    <t>0615031</t>
  </si>
  <si>
    <t>0617321</t>
  </si>
  <si>
    <t>0617640</t>
  </si>
  <si>
    <t>0618340</t>
  </si>
  <si>
    <t>0619770</t>
  </si>
  <si>
    <t>0617700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</si>
  <si>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</si>
  <si>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Надання дошкільної освіти</t>
  </si>
  <si>
    <t xml:space="preserve"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 у т.ч. за рахунок: 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</si>
  <si>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потребами,  у т.ч. за рахунок: </t>
  </si>
  <si>
    <t>1011080</t>
  </si>
  <si>
    <t>Забезпечення діяльності інших закладів у сфері освіти</t>
  </si>
  <si>
    <t>Забезпечення діяльності інклюзивно-ресурсних центрів за рахунок освітньої субвенції, у т.ч. за рахунок: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</si>
  <si>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потребами,  у т.ч. за рахунок:</t>
  </si>
  <si>
    <t>3718710</t>
  </si>
  <si>
    <t>0611210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</si>
  <si>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потребами,  у т.ч. за рахунок: </t>
  </si>
  <si>
    <t>1210</t>
  </si>
  <si>
    <t>0619800</t>
  </si>
  <si>
    <t>1519750</t>
  </si>
  <si>
    <t>Субвенція з місцевого бюджету на співфінансування інвестиційних проектів</t>
  </si>
  <si>
    <t>0611061</t>
  </si>
  <si>
    <t>залишок коштів освітньої субвенції , що утворився на початок бюджетного періоду</t>
  </si>
  <si>
    <t xml:space="preserve">Надання загальної середньої освіти закладами загальної середньої освіти,  у т.ч. за рахунок: </t>
  </si>
  <si>
    <t>0810180</t>
  </si>
  <si>
    <t>0611062</t>
  </si>
  <si>
    <t>0619320</t>
  </si>
  <si>
    <t>Субвенції з місцевого бюджету іншим місцевим бюджетам на здійснення програм у галузі освіти за рахунок субвенцій з державного бюджету,  у т.ч. за рахунок:</t>
  </si>
  <si>
    <t>Субвенція з місцевого бюджету за рахунок залишку коштів освітньої субвенції, що утворився на початок бюджетного періоду,  у т.ч. за рахунок:</t>
  </si>
  <si>
    <t>залишку коштів субвенції з державного бюджету Сумської міської об’єднаної територіальної громади на поточний ремонт вулично-дорожньої мережі та штучних споруд м. Суми, вул. Харківська</t>
  </si>
  <si>
    <t>залишку коштів освітньої субвенції , що утворився на початок бюджетного періоду</t>
  </si>
  <si>
    <t>7462</t>
  </si>
  <si>
    <t>1210180</t>
  </si>
  <si>
    <t>субвенції з місцевого бюджету за рахунок залишку коштів освітньої субвенції, що утворився на початок бюджетного періоду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</si>
  <si>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споруд, установ та закладів фізичної культури і спорту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</si>
  <si>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установ та закладів соціальної сфери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</si>
  <si>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установ та закладів культури</t>
    </r>
  </si>
  <si>
    <t>0617363</t>
  </si>
  <si>
    <t>1617370</t>
  </si>
  <si>
    <t>7370</t>
  </si>
  <si>
    <t>0611172</t>
  </si>
  <si>
    <t>0611182</t>
  </si>
  <si>
    <t>1172</t>
  </si>
  <si>
    <t>1182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</si>
  <si>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</si>
  <si>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1517324</t>
  </si>
  <si>
    <t>0813222</t>
  </si>
  <si>
    <t>0217422</t>
  </si>
  <si>
    <t>Регулювання цін на послуги місцевого наземного електротранспорту</t>
  </si>
  <si>
    <t>0611171</t>
  </si>
  <si>
    <t>1171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</si>
  <si>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</si>
  <si>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</si>
  <si>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</si>
  <si>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1219730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</si>
  <si>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</si>
  <si>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(код бюджету)</t>
  </si>
  <si>
    <t>1217463</t>
  </si>
  <si>
    <t>Утримання та розвиток автомобільних доріг та дорожньої інфраструктури за рахунок трансфертів з інших місцевих бюджетів, у т.ч. за рахунок:</t>
  </si>
  <si>
    <t>1217368</t>
  </si>
  <si>
    <t>Виконання інвестиційних проектів за рахунок субвенцій з інших бюджетів, у т.ч. за рахунок:</t>
  </si>
  <si>
    <t>0611025</t>
  </si>
  <si>
    <t>0611035</t>
  </si>
  <si>
    <t xml:space="preserve">субвенції з державного бюджету місцевим бюджетам на реалізацію програми "Спроможна школа для кращих результатів" </t>
  </si>
  <si>
    <t xml:space="preserve"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бюджетам,  у т.ч. за рахунок: </t>
  </si>
  <si>
    <t xml:space="preserve">Субвенція з місцевого бюджету за рахунок залишку коштів освітньої субвенції, що утворився на початок бюджетного періоду,  у т.ч. за рахунок: </t>
  </si>
  <si>
    <t>1216083</t>
  </si>
  <si>
    <t>0219770</t>
  </si>
  <si>
    <t xml:space="preserve">Виконання заходів в рамках реалізації програми "Спроможна школа для кращих результатів" за рахунок субвенції з державного бюджету місцевим бюджетам,  у т.ч. за рахунок: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</si>
  <si>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</si>
  <si>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Надання спеціалізованої освіти мистецькими школами</t>
  </si>
  <si>
    <t>0217323</t>
  </si>
  <si>
    <t>0213133</t>
  </si>
  <si>
    <t>Інші заходи та заклади молодіжної політики</t>
  </si>
  <si>
    <t>0813140</t>
  </si>
  <si>
    <t>0817640</t>
  </si>
  <si>
    <t>1216071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</si>
  <si>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</si>
  <si>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1617340</t>
  </si>
  <si>
    <t>0913242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</si>
  <si>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</si>
  <si>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Багатопрофільна стаціонарна медична допомога населенню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</si>
  <si>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</si>
  <si>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</si>
  <si>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</si>
  <si>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</si>
  <si>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</si>
  <si>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0611091</t>
  </si>
  <si>
    <t>0930</t>
  </si>
  <si>
    <t>0611092</t>
  </si>
  <si>
    <t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t>
  </si>
  <si>
    <t>Виконання інвестиційних проектів в рамках здійснення заходів щодо соціально-економічного розвитку окремих територій</t>
  </si>
  <si>
    <t>1511010</t>
  </si>
  <si>
    <t>1219750</t>
  </si>
  <si>
    <t>1511021</t>
  </si>
  <si>
    <t>1511022</t>
  </si>
  <si>
    <t>1512010</t>
  </si>
  <si>
    <t>0712070</t>
  </si>
  <si>
    <t>0724</t>
  </si>
  <si>
    <t>Екстрена та швидка медична допомога населенню</t>
  </si>
  <si>
    <t>Інші заходи за рахунок коштів резервного фонду місцевого бюджету</t>
  </si>
  <si>
    <t>0718775</t>
  </si>
  <si>
    <t>0818775</t>
  </si>
  <si>
    <t>1218775</t>
  </si>
  <si>
    <t>0218240</t>
  </si>
  <si>
    <t>Заходи та роботи з територіальної оборони</t>
  </si>
  <si>
    <t>1216014</t>
  </si>
  <si>
    <t>Забезпечення збору та вивезення сміття і відходів</t>
  </si>
  <si>
    <t>0818751</t>
  </si>
  <si>
    <t>1219800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</si>
  <si>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</si>
  <si>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</si>
  <si>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0617693</t>
  </si>
  <si>
    <t>залишку коштів субвенції з державного бюджету місцевим бюджетам на здійснення заходів щодо соціально-економічного розвитку окремих територій</t>
  </si>
  <si>
    <t>залишку коштів освітньої субвенції, що утворився на початок бюджетного періоду</t>
  </si>
  <si>
    <t>залишку кощтів субвенції з державного бюджету місцевим бюджнтам на здійснення заходів щодо соціально-економічного розвитку окремих територій</t>
  </si>
  <si>
    <t>субвенції з місцевого бюджету на закупівлю опорними закладами охорони здоров'я послуг щодо проектування та встановлення кисневих станцій за рахунок залишку коштів відповідної субвенції з державногобюджету, що утворився на початок бюджетного періоду</t>
  </si>
  <si>
    <t>Виконання інвестиційних проектів в рамках здійснення заходів щодо соціально-економічного розвитку окремих територій: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</si>
  <si>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</si>
  <si>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</si>
  <si>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</si>
  <si>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</si>
  <si>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</si>
  <si>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3616090</t>
  </si>
  <si>
    <t>3617340</t>
  </si>
  <si>
    <t>3617370</t>
  </si>
  <si>
    <t>3617130</t>
  </si>
  <si>
    <t>3617610</t>
  </si>
  <si>
    <t>3617650</t>
  </si>
  <si>
    <t>3617660</t>
  </si>
  <si>
    <t>3617693</t>
  </si>
  <si>
    <t>3717700</t>
  </si>
  <si>
    <t>0217640</t>
  </si>
  <si>
    <t>1417610</t>
  </si>
  <si>
    <t>Соціальний захист та соціальне забезпечення, у т. ч. за рахунок:</t>
  </si>
  <si>
    <t>Реалізація програм допомоги і грантів Європейського Союзу, урядів іноземних держав, міжнародних організацій, донорських установ, у т.ч. за рахунок:</t>
  </si>
  <si>
    <t>грантів (дарунків)</t>
  </si>
  <si>
    <t>Економічна діяльність, у т.ч. за рахунок:</t>
  </si>
  <si>
    <t>Департамент соціального захисту населення Сумської міської ради, у т.ч. за рахунок:</t>
  </si>
  <si>
    <t>Інші заходи у сфері соціального захисту і соціального забезпечення, у т.ч. за рахунок:</t>
  </si>
  <si>
    <t>Управління  освіти і науки Сумської міської ради,  у т.ч. за рахунок:</t>
  </si>
  <si>
    <t>Освіта, у т.ч. за рахунок: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</si>
  <si>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</si>
  <si>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 xml:space="preserve">Надання загальної середньої освіти закладами загальної середньої освіти за рахунок освітньої субвенції, у т.ч. за рахунок: </t>
  </si>
  <si>
    <t xml:space="preserve"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субвенції,  у т.ч. за рахунок: 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</si>
  <si>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освітньої субвенції,  у т.ч. за рахунок: </t>
  </si>
  <si>
    <t>Захист населення і територій від надзвичайних ситуацій техногенного та природного характеру, у т.ч. за рахунок:</t>
  </si>
  <si>
    <t>2700000</t>
  </si>
  <si>
    <t>2710160</t>
  </si>
  <si>
    <t>2710000</t>
  </si>
  <si>
    <t>2717610</t>
  </si>
  <si>
    <t>1218240</t>
  </si>
  <si>
    <t>1218312</t>
  </si>
  <si>
    <t>0512</t>
  </si>
  <si>
    <t>Утилізація відходів</t>
  </si>
  <si>
    <t>0618240</t>
  </si>
  <si>
    <t>1853100000</t>
  </si>
  <si>
    <t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</si>
  <si>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Будівництво1 об'єктів житлово-комунального господарства</t>
  </si>
  <si>
    <t>1217383</t>
  </si>
  <si>
    <t>Реалізація проектів (об'єктів, заходів) за рахунок коштів фонду ліквідації наслідків збройної агресії, у т. ч. за рахунок:</t>
  </si>
  <si>
    <t>субвенції з державного бюджету місцевим бюджетам на реалізацію проектів (об'єктів, заходів), спрямованих на ліквідацію наслідків збройної агресії</t>
  </si>
  <si>
    <t xml:space="preserve"> 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</si>
  <si>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</si>
  <si>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0611261</t>
  </si>
  <si>
    <t>0611262</t>
  </si>
  <si>
    <t>субвенції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</si>
  <si>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1261</t>
  </si>
  <si>
    <t>1262</t>
  </si>
  <si>
    <t>1511261</t>
  </si>
  <si>
    <t>1511262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</si>
  <si>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у т.ч. за рахунок: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</si>
  <si>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умов, у т.ч. за рахунок: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</si>
  <si>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у т.ч. за рахунок:</t>
  </si>
  <si>
    <t>субвенції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</si>
  <si>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субвенції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</si>
  <si>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субвенції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</si>
  <si>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</si>
  <si>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</si>
  <si>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</si>
  <si>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</si>
  <si>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5010000</t>
  </si>
  <si>
    <t>5010160</t>
  </si>
  <si>
    <t>1217375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</si>
  <si>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об'єктів житлово-комунального господарства</t>
    </r>
  </si>
  <si>
    <t>Інші заходи у сфері соціального захисту і соціального забезпечення,    у т. ч. за рахунок:</t>
  </si>
  <si>
    <t>Сумська міська військова адміністрація Сумського району Сумської області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</si>
  <si>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закладах, що надають загальну середню освіту</t>
  </si>
  <si>
    <t>трансфертів з державного бюджету</t>
  </si>
  <si>
    <t>трансфертів з місцевого бюджету до інших місцевих бюджетів за рахунок трансфертів з державного бюджету</t>
  </si>
  <si>
    <t xml:space="preserve">трансфертів з місцевих бюджетів </t>
  </si>
  <si>
    <t>Виконавчий комітет Сумської міської ради, у т. ч. за рахунок:</t>
  </si>
  <si>
    <t>Інша діяльність, у т. ч. за рахунок:</t>
  </si>
  <si>
    <t>Заходи з організації рятування на водах, у т. ч. за рахунок:</t>
  </si>
  <si>
    <t>0617384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</si>
  <si>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 за рахунок:</t>
  </si>
  <si>
    <t>Департамент інфраструктури міста Сумської міської ради, у т.ч. за рахунок:</t>
  </si>
  <si>
    <t>1217384</t>
  </si>
  <si>
    <t>Будівництво та регіональний розвиток, у т.ч. за рахунок:</t>
  </si>
  <si>
    <t>субвенції з місцевого бюджету на проектування, відновлення, будівництво, модернізацію, облаштування, ремонт об’єктів будівництва громадського призначення, соціальної сфери, культурної спадщини, житлово-комунального господарства, інших об`єктів, що мають вплив на життєдіяльність населення, за рахунок відповідної субвенції з державного бюджету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</si>
  <si>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у т.ч. за рахунок:</t>
  </si>
  <si>
    <t>залишку коштів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Федерації, що утворився станом на 01.01.2024 року</t>
  </si>
  <si>
    <t>Надання загальної середньої освіти закладами загальної середньої освіти за рахунок коштів місцевого бюджету, у т.ч. за рахунок:</t>
  </si>
  <si>
    <t xml:space="preserve">залишку коштів по запозиченню від ЄІБ «Підвищення енергоефективності в дошкільних закладах м. Суми», що склався станом на 01.01.2024 року 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</si>
  <si>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</si>
  <si>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</si>
  <si>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</si>
  <si>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</si>
  <si>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</si>
  <si>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0611291</t>
  </si>
  <si>
    <t>1222</t>
  </si>
  <si>
    <t xml:space="preserve"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бюджетам, у т.ч. за рахунок: </t>
  </si>
  <si>
    <t>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</si>
  <si>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0611222</t>
  </si>
  <si>
    <t>Управління охорони здоров’я Сумської міської ради, у т. ч. за рахунок:</t>
  </si>
  <si>
    <t>0611221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</si>
  <si>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</si>
  <si>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</si>
  <si>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субвенціі з державного бюджету місцевим бюджетам на облаштування безпечних умов у закладах, що надають загальну середню освіту</t>
  </si>
  <si>
    <t>субвенція з державного бюджету місцевим бюджетам на облаштування безпечних умов у закладах, що надають загальну середню освіту</t>
  </si>
  <si>
    <t xml:space="preserve">Виконання заходів щодо облаштування безпечних умов у закладах, що надають загальну середню освіту, за рахунок субвенції з державного бюджету місцевим бюджетам, у т.ч. за рахунок: </t>
  </si>
  <si>
    <t>1019770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</si>
  <si>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</si>
  <si>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</si>
  <si>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</si>
  <si>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0611094</t>
  </si>
  <si>
    <t>Підготовка кадрів закладами професійної (професійно-технічної) освіти та іншими закладами освіти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періодах), у т.ч. за рахунок:</t>
  </si>
  <si>
    <t>0712161</t>
  </si>
  <si>
    <t>0712162</t>
  </si>
  <si>
    <t>Виконання заходів щодо облаштування безпечних умов у закладах охорони здоров'я за рахунок субвенції з державного бюджету місцевим бюджетам, у т.ч. за рахунок:</t>
  </si>
  <si>
    <t>субвенції з державного бюджету місцевим бюджетам на облаштування безпечних умов у закладах охорони здоров'я</t>
  </si>
  <si>
    <t>Охорона здоров’я, у т.ч. за рахунок:</t>
  </si>
  <si>
    <t>1217130</t>
  </si>
  <si>
    <t>1242</t>
  </si>
  <si>
    <t>Виконання заходів щодо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</si>
  <si>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</si>
  <si>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0611242</t>
  </si>
  <si>
    <t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t>
  </si>
  <si>
    <t>Заходи із запобігання та ліквідації надзвичайних ситуацій та наслідків стихійного лиха, у т.ч. за рахунок:</t>
  </si>
  <si>
    <t>Департамент фінансів, економіки та інвестицій Сумської міської ради, у т.ч. за рахунок:</t>
  </si>
  <si>
    <t>Керівництво і управління у відповідній сфері у містах (місті Києві), селищах, селах, територіальних громадах, у т.ч. за рахунок: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</si>
  <si>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інших об'єктів комунальної власності, у т.ч. за рахунок:</t>
    </r>
  </si>
  <si>
    <t>Сумська міська військова адміністрація Сумського району Сумської області, у т.ч. за рахунок:</t>
  </si>
  <si>
    <t>Багатопрофільна стаціонарна медична допомога населенню, у т.ч. за рахунок: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</si>
  <si>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t>
  </si>
  <si>
    <t>Інша діяльність у сфері державного управління, у т.ч.за рахунок:</t>
  </si>
  <si>
    <t>Керівництво і управління у відповідній сфері у містах (місті Києві), селищах, селах, територіальних громадах</t>
  </si>
  <si>
    <t>3719770</t>
  </si>
  <si>
    <t>Будівництво1 інших об'єктів комунальної власності</t>
  </si>
  <si>
    <t>0217700</t>
  </si>
  <si>
    <t>1217700</t>
  </si>
  <si>
    <t>Забезпечення діяльності палаців i будинків культури, клубів, центрів дозвілля та iнших клубних закладів, у т.ч. за рахунок:</t>
  </si>
  <si>
    <t xml:space="preserve"> Культура і мистецтво, у т.ч. за рахунок:</t>
  </si>
  <si>
    <t>Відділ культури Сумської міської ради, у т.ч. за рахунок:</t>
  </si>
  <si>
    <t>Житлово-комунальне господарство, у т.ч. за рахунок:</t>
  </si>
  <si>
    <t>Забезпечення діяльності водопровідно-каналізаційного господарства,  у т.ч. за рахунок:</t>
  </si>
  <si>
    <t>Забезпечення функціонування підприємств, установ та організацій, що виробляють, виконують та/або надають житлово-комунальні послуги,  у т.ч. за рахунок:</t>
  </si>
  <si>
    <t>Внески до статутного капіталу суб'єктів господарювання,  у т.ч. за рахунок: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</si>
  <si>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</si>
  <si>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t>1217412</t>
  </si>
  <si>
    <t>1217422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</si>
  <si>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</si>
  <si>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</si>
  <si>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забезпечення харчуванням учнів початкових класів закладів загальної середньої освіти</t>
  </si>
  <si>
    <t>0611403</t>
  </si>
  <si>
    <t>субвенції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</si>
  <si>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в т.ч. дотац</t>
  </si>
  <si>
    <t>трансфертів з державного бюджету, в т.ч.:</t>
  </si>
  <si>
    <t>Утримання та навчально-тренувальна робота комунальних дитячо-юнацьких спортивних шкіл, у т.ч. за рахунок:</t>
  </si>
  <si>
    <t>Фізична культура і спорт, у т.ч. за рахунок: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</si>
  <si>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охорони здоров'я, у т.ч. за рахунок:</t>
  </si>
  <si>
    <t>Інші заходи, пов'язані з економічною діяльністю, у т.ч. за рахунок:</t>
  </si>
  <si>
    <t>Управління комунального майна Сумської міської ради,у т.ч. за рахунок:</t>
  </si>
  <si>
    <t>Державне управління, у т.ч. за рахунок:</t>
  </si>
  <si>
    <t>Утримання та забезпечення діяльності центрів соціальних служб, у т.ч. за рахунок:</t>
  </si>
  <si>
    <t>дотація 490,0</t>
  </si>
  <si>
    <t xml:space="preserve"> Реалізація проектів (заходів) з відновлення об'єктів житлового фонду, пошкоджених / знищених внаслідок збройної агресії, за рахунок коштів місцевих бюджетів</t>
  </si>
  <si>
    <t>Резервний фонд місцевого бюджету</t>
  </si>
  <si>
    <t>Міжбюджетні трансферти</t>
  </si>
  <si>
    <t>Забезпечення діяльності інших закладів у сфері соціального захисту і соціального забезпечення, у т.ч за рахунок:</t>
  </si>
  <si>
    <t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</si>
  <si>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Громадський порядок та безпека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</si>
  <si>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медичних установ та закладіву т.ч. за рахунок:</t>
    </r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</si>
  <si>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</si>
  <si>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t>
  </si>
  <si>
    <t>Утримання та навчально-тренувальна робота комунальних дитячо-юнацьких спортивних шкіл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</si>
  <si>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бюджету, у т.ч. за рахунок:</t>
  </si>
  <si>
    <t>Компенсаційні виплати на пільговий проїзд автомобільним транспортом окремим категоріям громадян, у т.ч. за рахунок:</t>
  </si>
  <si>
    <t>Резервний фонд</t>
  </si>
  <si>
    <t>3718500</t>
  </si>
  <si>
    <t>Нерозподілені трансферти з державного бюджету, у т.ч. за рахунок: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</si>
  <si>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</si>
  <si>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</si>
  <si>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Звіт про виконання видаткової частини бюджету Сумської міської територіальної громади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2024 рік за типовою програмною класифікацією видатків та кредитування місцевих бюджетів</t>
  </si>
  <si>
    <t>Звіт про виконання видаткової частини бюджету Сумської міської територіальної громади за 2024 рік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головними розпорядниками бюджетних коштів</t>
  </si>
  <si>
    <t>Затверджено по бюджету з урахуванням змін (відповідно до казначейської звітності)</t>
  </si>
  <si>
    <t>Касові видатки</t>
  </si>
  <si>
    <t>% виконання до затвердженого по бюджету</t>
  </si>
  <si>
    <t>Разом план</t>
  </si>
  <si>
    <t>Секретар Сумської міської ради</t>
  </si>
  <si>
    <t>Артем КОБЗАР</t>
  </si>
  <si>
    <t xml:space="preserve">  Додаток 2</t>
  </si>
  <si>
    <t>до    рішення    Сумської    міської    ради</t>
  </si>
  <si>
    <t>«Про   звіт     про    виконання    бюджету</t>
  </si>
  <si>
    <t xml:space="preserve">Сумської міської територіальної громади </t>
  </si>
  <si>
    <t>за 2024  рік»</t>
  </si>
  <si>
    <t>за  2024  рік»</t>
  </si>
  <si>
    <t xml:space="preserve">  Додаток 5</t>
  </si>
  <si>
    <t>у 1,4 рази</t>
  </si>
  <si>
    <t>у 45,8 разів</t>
  </si>
  <si>
    <t>у 1,1 рази</t>
  </si>
  <si>
    <t>у 1,3 рази</t>
  </si>
  <si>
    <t>у 16,8 разів</t>
  </si>
  <si>
    <t>у 3,5 рази</t>
  </si>
  <si>
    <t>у 2,1 рази</t>
  </si>
  <si>
    <t>у 1,2 рази</t>
  </si>
  <si>
    <t>у 1,8 рази</t>
  </si>
  <si>
    <t>у 1,5 рази</t>
  </si>
  <si>
    <t>від  25  лютого  2026   року  №  6531 - МР</t>
  </si>
  <si>
    <t>Виконавець:______________ Лариса СКИРТАЧ</t>
  </si>
  <si>
    <t xml:space="preserve">від  25  лютого  2026   року  №  6531 - МР   </t>
  </si>
  <si>
    <t xml:space="preserve">Сумської  міської територіальної громади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</si>
</sst>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* #,##0.00;* \-#,##0.00;* &quot;-&quot;??;@"/>
    <numFmt numFmtId="165" formatCode="#,##0.0"/>
  </numFmts>
  <fonts count="54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7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23"/>
      <name val="Times New Roman"/>
      <family val="1"/>
      <charset val="204"/>
    </font>
    <font>
      <sz val="24"/>
      <name val="Times New Roman"/>
      <family val="1"/>
      <charset val="204"/>
    </font>
    <font>
      <sz val="35"/>
      <name val="Times New Roman"/>
      <family val="1"/>
      <charset val="204"/>
    </font>
    <font>
      <sz val="30"/>
      <name val="Times New Roman"/>
      <family val="1"/>
      <charset val="204"/>
    </font>
    <font>
      <sz val="2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164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32" fillId="24" borderId="0" applyNumberFormat="0" applyBorder="0" applyAlignment="0" applyProtection="0"/>
    <xf numFmtId="0" fontId="32" fillId="30" borderId="0" applyNumberFormat="0" applyBorder="0" applyAlignment="0" applyProtection="0"/>
    <xf numFmtId="0" fontId="33" fillId="36" borderId="0" applyNumberFormat="0" applyBorder="0" applyAlignment="0" applyProtection="0"/>
    <xf numFmtId="0" fontId="32" fillId="25" borderId="0" applyNumberFormat="0" applyBorder="0" applyAlignment="0" applyProtection="0"/>
    <xf numFmtId="0" fontId="32" fillId="31" borderId="0" applyNumberFormat="0" applyBorder="0" applyAlignment="0" applyProtection="0"/>
    <xf numFmtId="0" fontId="33" fillId="37" borderId="0" applyNumberFormat="0" applyBorder="0" applyAlignment="0" applyProtection="0"/>
    <xf numFmtId="0" fontId="32" fillId="26" borderId="0" applyNumberFormat="0" applyBorder="0" applyAlignment="0" applyProtection="0"/>
    <xf numFmtId="0" fontId="32" fillId="32" borderId="0" applyNumberFormat="0" applyBorder="0" applyAlignment="0" applyProtection="0"/>
    <xf numFmtId="0" fontId="33" fillId="38" borderId="0" applyNumberFormat="0" applyBorder="0" applyAlignment="0" applyProtection="0"/>
    <xf numFmtId="0" fontId="32" fillId="27" borderId="0" applyNumberFormat="0" applyBorder="0" applyAlignment="0" applyProtection="0"/>
    <xf numFmtId="0" fontId="32" fillId="33" borderId="0" applyNumberFormat="0" applyBorder="0" applyAlignment="0" applyProtection="0"/>
    <xf numFmtId="0" fontId="33" fillId="39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3" fillId="40" borderId="0" applyNumberFormat="0" applyBorder="0" applyAlignment="0" applyProtection="0"/>
    <xf numFmtId="0" fontId="32" fillId="29" borderId="0" applyNumberFormat="0" applyBorder="0" applyAlignment="0" applyProtection="0"/>
    <xf numFmtId="0" fontId="32" fillId="35" borderId="0" applyNumberFormat="0" applyBorder="0" applyAlignment="0" applyProtection="0"/>
    <xf numFmtId="0" fontId="33" fillId="41" borderId="0" applyNumberFormat="0" applyBorder="0" applyAlignment="0" applyProtection="0"/>
  </cellStyleXfs>
  <cellXfs count="225">
    <xf numFmtId="0" fontId="0" fillId="0" borderId="0" xfId="0"/>
    <xf numFmtId="4" fontId="21" fillId="0" borderId="7" xfId="29" applyNumberFormat="1" applyFont="1" applyFill="1" applyBorder="1" applyAlignment="1">
      <alignment horizontal="right" wrapText="1"/>
    </xf>
    <xf numFmtId="49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 applyAlignment="1">
      <alignment horizontal="left" wrapText="1"/>
    </xf>
    <xf numFmtId="4" fontId="23" fillId="0" borderId="0" xfId="0" applyNumberFormat="1" applyFont="1" applyFill="1" applyAlignment="1">
      <alignment horizontal="center"/>
    </xf>
    <xf numFmtId="3" fontId="2" fillId="0" borderId="0" xfId="0" applyNumberFormat="1" applyFont="1" applyFill="1"/>
    <xf numFmtId="4" fontId="43" fillId="0" borderId="0" xfId="0" applyNumberFormat="1" applyFont="1" applyFill="1" applyAlignment="1">
      <alignment vertical="center"/>
    </xf>
    <xf numFmtId="3" fontId="34" fillId="0" borderId="0" xfId="0" applyNumberFormat="1" applyFont="1" applyFill="1"/>
    <xf numFmtId="49" fontId="23" fillId="0" borderId="0" xfId="0" applyNumberFormat="1" applyFont="1" applyFill="1" applyAlignment="1">
      <alignment horizontal="center" wrapText="1"/>
    </xf>
    <xf numFmtId="3" fontId="23" fillId="0" borderId="0" xfId="0" applyNumberFormat="1" applyFont="1" applyFill="1" applyAlignment="1">
      <alignment horizontal="center" wrapText="1"/>
    </xf>
    <xf numFmtId="4" fontId="23" fillId="0" borderId="0" xfId="0" applyNumberFormat="1" applyFont="1" applyFill="1" applyAlignment="1">
      <alignment horizontal="center" wrapText="1"/>
    </xf>
    <xf numFmtId="4" fontId="31" fillId="0" borderId="0" xfId="0" applyNumberFormat="1" applyFont="1" applyFill="1" applyAlignment="1">
      <alignment horizontal="center" wrapText="1"/>
    </xf>
    <xf numFmtId="3" fontId="23" fillId="0" borderId="0" xfId="0" applyNumberFormat="1" applyFont="1" applyFill="1"/>
    <xf numFmtId="3" fontId="24" fillId="0" borderId="0" xfId="0" applyNumberFormat="1" applyFont="1" applyFill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right" wrapText="1"/>
    </xf>
    <xf numFmtId="3" fontId="24" fillId="0" borderId="0" xfId="0" applyNumberFormat="1" applyFont="1" applyFill="1" applyAlignment="1">
      <alignment vertical="center"/>
    </xf>
    <xf numFmtId="49" fontId="30" fillId="0" borderId="7" xfId="0" applyNumberFormat="1" applyFont="1" applyFill="1" applyBorder="1" applyAlignment="1">
      <alignment horizontal="center" vertical="center" wrapText="1"/>
    </xf>
    <xf numFmtId="3" fontId="30" fillId="0" borderId="7" xfId="0" applyNumberFormat="1" applyFont="1" applyFill="1" applyBorder="1" applyAlignment="1">
      <alignment horizontal="center" vertical="center" wrapText="1"/>
    </xf>
    <xf numFmtId="3" fontId="30" fillId="0" borderId="7" xfId="0" applyNumberFormat="1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>
      <alignment horizontal="right" wrapText="1"/>
    </xf>
    <xf numFmtId="3" fontId="26" fillId="0" borderId="0" xfId="0" applyNumberFormat="1" applyFont="1" applyFill="1" applyAlignment="1">
      <alignment vertical="center"/>
    </xf>
    <xf numFmtId="49" fontId="21" fillId="0" borderId="7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3" fontId="21" fillId="0" borderId="7" xfId="0" applyNumberFormat="1" applyFont="1" applyFill="1" applyBorder="1" applyAlignment="1">
      <alignment horizontal="left" vertical="center" wrapText="1"/>
    </xf>
    <xf numFmtId="4" fontId="21" fillId="0" borderId="7" xfId="0" applyNumberFormat="1" applyFont="1" applyFill="1" applyBorder="1" applyAlignment="1">
      <alignment horizontal="right" wrapText="1"/>
    </xf>
    <xf numFmtId="3" fontId="23" fillId="0" borderId="0" xfId="0" applyNumberFormat="1" applyFont="1" applyFill="1" applyAlignment="1">
      <alignment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vertical="center"/>
    </xf>
    <xf numFmtId="3" fontId="29" fillId="0" borderId="7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49" fontId="21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wrapText="1"/>
    </xf>
    <xf numFmtId="1" fontId="21" fillId="0" borderId="7" xfId="0" applyNumberFormat="1" applyFont="1" applyFill="1" applyBorder="1" applyAlignment="1">
      <alignment horizontal="left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center" vertical="center" wrapText="1"/>
    </xf>
    <xf numFmtId="3" fontId="28" fillId="0" borderId="7" xfId="0" applyNumberFormat="1" applyFont="1" applyFill="1" applyBorder="1" applyAlignment="1">
      <alignment horizontal="left" vertical="center" wrapText="1"/>
    </xf>
    <xf numFmtId="1" fontId="30" fillId="0" borderId="7" xfId="0" applyNumberFormat="1" applyFont="1" applyFill="1" applyBorder="1" applyAlignment="1">
      <alignment horizontal="center" vertical="center" wrapText="1"/>
    </xf>
    <xf numFmtId="1" fontId="42" fillId="0" borderId="7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left" vertical="center" wrapText="1"/>
    </xf>
    <xf numFmtId="1" fontId="29" fillId="0" borderId="7" xfId="0" applyNumberFormat="1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vertical="center" wrapText="1"/>
    </xf>
    <xf numFmtId="1" fontId="21" fillId="0" borderId="7" xfId="0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vertical="center"/>
    </xf>
    <xf numFmtId="4" fontId="21" fillId="0" borderId="7" xfId="0" applyNumberFormat="1" applyFont="1" applyFill="1" applyBorder="1"/>
    <xf numFmtId="0" fontId="29" fillId="0" borderId="7" xfId="0" applyFont="1" applyFill="1" applyBorder="1" applyAlignment="1">
      <alignment horizontal="left" vertical="center" wrapText="1"/>
    </xf>
    <xf numFmtId="3" fontId="21" fillId="0" borderId="7" xfId="0" applyNumberFormat="1" applyFont="1" applyFill="1" applyBorder="1" applyAlignment="1">
      <alignment horizontal="left" vertical="center" wrapText="1" shrinkToFit="1"/>
    </xf>
    <xf numFmtId="3" fontId="29" fillId="0" borderId="7" xfId="0" applyNumberFormat="1" applyFont="1" applyFill="1" applyBorder="1" applyAlignment="1">
      <alignment horizontal="left" vertical="center" wrapText="1" shrinkToFit="1"/>
    </xf>
    <xf numFmtId="4" fontId="29" fillId="0" borderId="7" xfId="0" applyNumberFormat="1" applyFont="1" applyFill="1" applyBorder="1"/>
    <xf numFmtId="49" fontId="30" fillId="0" borderId="7" xfId="0" applyNumberFormat="1" applyFont="1" applyFill="1" applyBorder="1" applyAlignment="1">
      <alignment horizontal="left" vertical="center" wrapText="1"/>
    </xf>
    <xf numFmtId="49" fontId="29" fillId="0" borderId="7" xfId="0" applyNumberFormat="1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3" fontId="23" fillId="0" borderId="0" xfId="0" applyNumberFormat="1" applyFont="1" applyFill="1" applyAlignment="1">
      <alignment horizontal="center" vertical="center"/>
    </xf>
    <xf numFmtId="49" fontId="30" fillId="0" borderId="0" xfId="0" applyNumberFormat="1" applyFont="1" applyFill="1" applyAlignment="1">
      <alignment horizontal="center" vertical="center" wrapText="1"/>
    </xf>
    <xf numFmtId="1" fontId="30" fillId="0" borderId="0" xfId="0" applyNumberFormat="1" applyFont="1" applyFill="1" applyAlignment="1">
      <alignment horizontal="center" vertical="center" wrapText="1"/>
    </xf>
    <xf numFmtId="3" fontId="30" fillId="0" borderId="0" xfId="0" applyNumberFormat="1" applyFont="1" applyFill="1" applyAlignment="1">
      <alignment horizontal="left" vertical="center" wrapText="1"/>
    </xf>
    <xf numFmtId="4" fontId="30" fillId="0" borderId="0" xfId="0" applyNumberFormat="1" applyFont="1" applyFill="1" applyAlignment="1">
      <alignment horizontal="right" wrapText="1"/>
    </xf>
    <xf numFmtId="49" fontId="27" fillId="0" borderId="0" xfId="0" applyNumberFormat="1" applyFont="1" applyFill="1" applyAlignment="1">
      <alignment horizontal="center"/>
    </xf>
    <xf numFmtId="3" fontId="27" fillId="0" borderId="0" xfId="0" applyNumberFormat="1" applyFont="1" applyFill="1" applyAlignment="1">
      <alignment horizontal="center"/>
    </xf>
    <xf numFmtId="3" fontId="27" fillId="0" borderId="0" xfId="0" applyNumberFormat="1" applyFont="1" applyFill="1"/>
    <xf numFmtId="4" fontId="23" fillId="0" borderId="9" xfId="0" applyNumberFormat="1" applyFont="1" applyFill="1" applyBorder="1" applyAlignment="1">
      <alignment horizontal="center"/>
    </xf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Alignment="1">
      <alignment wrapText="1"/>
    </xf>
    <xf numFmtId="4" fontId="21" fillId="0" borderId="0" xfId="0" applyNumberFormat="1" applyFont="1" applyFill="1"/>
    <xf numFmtId="49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wrapText="1"/>
    </xf>
    <xf numFmtId="4" fontId="31" fillId="0" borderId="0" xfId="0" applyNumberFormat="1" applyFont="1" applyFill="1"/>
    <xf numFmtId="0" fontId="31" fillId="0" borderId="0" xfId="0" applyFont="1" applyFill="1"/>
    <xf numFmtId="0" fontId="28" fillId="0" borderId="0" xfId="0" applyFont="1" applyFill="1"/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4" fontId="28" fillId="0" borderId="7" xfId="0" applyNumberFormat="1" applyFont="1" applyFill="1" applyBorder="1" applyAlignment="1">
      <alignment horizontal="right"/>
    </xf>
    <xf numFmtId="4" fontId="30" fillId="0" borderId="7" xfId="0" applyNumberFormat="1" applyFont="1" applyFill="1" applyBorder="1" applyAlignment="1">
      <alignment horizontal="right"/>
    </xf>
    <xf numFmtId="4" fontId="21" fillId="0" borderId="7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1" fontId="29" fillId="0" borderId="7" xfId="0" applyNumberFormat="1" applyFont="1" applyFill="1" applyBorder="1" applyAlignment="1">
      <alignment horizontal="center" vertical="center"/>
    </xf>
    <xf numFmtId="0" fontId="29" fillId="0" borderId="0" xfId="0" applyFont="1" applyFill="1"/>
    <xf numFmtId="1" fontId="28" fillId="0" borderId="7" xfId="0" applyNumberFormat="1" applyFont="1" applyFill="1" applyBorder="1" applyAlignment="1">
      <alignment horizontal="center" vertical="center"/>
    </xf>
    <xf numFmtId="1" fontId="30" fillId="0" borderId="7" xfId="0" applyNumberFormat="1" applyFont="1" applyFill="1" applyBorder="1" applyAlignment="1">
      <alignment horizontal="center" vertical="center"/>
    </xf>
    <xf numFmtId="0" fontId="30" fillId="0" borderId="0" xfId="0" applyFont="1" applyFill="1"/>
    <xf numFmtId="3" fontId="21" fillId="0" borderId="7" xfId="0" applyNumberFormat="1" applyFont="1" applyFill="1" applyBorder="1" applyAlignment="1">
      <alignment horizontal="left" wrapText="1"/>
    </xf>
    <xf numFmtId="1" fontId="28" fillId="0" borderId="7" xfId="0" applyNumberFormat="1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1" fontId="30" fillId="0" borderId="7" xfId="0" applyNumberFormat="1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top" wrapText="1"/>
    </xf>
    <xf numFmtId="49" fontId="29" fillId="0" borderId="7" xfId="0" applyNumberFormat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vertical="center" wrapText="1"/>
    </xf>
    <xf numFmtId="49" fontId="28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30" fillId="0" borderId="7" xfId="0" applyNumberFormat="1" applyFont="1" applyFill="1" applyBorder="1" applyAlignment="1">
      <alignment horizontal="center" vertical="center"/>
    </xf>
    <xf numFmtId="4" fontId="30" fillId="0" borderId="0" xfId="0" applyNumberFormat="1" applyFont="1" applyFill="1"/>
    <xf numFmtId="1" fontId="30" fillId="0" borderId="0" xfId="0" applyNumberFormat="1" applyFont="1" applyFill="1" applyAlignment="1">
      <alignment horizontal="center" vertical="center"/>
    </xf>
    <xf numFmtId="4" fontId="30" fillId="0" borderId="0" xfId="0" applyNumberFormat="1" applyFont="1" applyFill="1" applyAlignment="1">
      <alignment horizontal="right"/>
    </xf>
    <xf numFmtId="49" fontId="28" fillId="0" borderId="8" xfId="0" applyNumberFormat="1" applyFont="1" applyFill="1" applyBorder="1" applyAlignment="1">
      <alignment horizontal="center" vertical="center" wrapText="1"/>
    </xf>
    <xf numFmtId="3" fontId="28" fillId="0" borderId="8" xfId="0" applyNumberFormat="1" applyFont="1" applyFill="1" applyBorder="1" applyAlignment="1">
      <alignment horizontal="center" vertical="center" wrapText="1"/>
    </xf>
    <xf numFmtId="3" fontId="28" fillId="0" borderId="8" xfId="0" applyNumberFormat="1" applyFont="1" applyFill="1" applyBorder="1" applyAlignment="1">
      <alignment horizontal="left" vertical="center" wrapText="1"/>
    </xf>
    <xf numFmtId="3" fontId="27" fillId="0" borderId="10" xfId="0" applyNumberFormat="1" applyFont="1" applyFill="1" applyBorder="1" applyAlignment="1">
      <alignment vertical="center" textRotation="180"/>
    </xf>
    <xf numFmtId="0" fontId="27" fillId="0" borderId="0" xfId="0" applyFont="1" applyFill="1" applyAlignment="1">
      <alignment horizontal="center" vertical="center" textRotation="180"/>
    </xf>
    <xf numFmtId="0" fontId="21" fillId="42" borderId="0" xfId="0" applyFont="1" applyFill="1"/>
    <xf numFmtId="0" fontId="29" fillId="42" borderId="0" xfId="0" applyFont="1" applyFill="1"/>
    <xf numFmtId="0" fontId="30" fillId="42" borderId="0" xfId="0" applyFont="1" applyFill="1"/>
    <xf numFmtId="3" fontId="27" fillId="0" borderId="0" xfId="0" applyNumberFormat="1" applyFont="1" applyFill="1" applyAlignment="1">
      <alignment horizontal="center" vertical="center" textRotation="180"/>
    </xf>
    <xf numFmtId="4" fontId="21" fillId="0" borderId="0" xfId="0" applyNumberFormat="1" applyFont="1" applyFill="1" applyAlignment="1">
      <alignment horizontal="center"/>
    </xf>
    <xf numFmtId="3" fontId="27" fillId="0" borderId="0" xfId="0" applyNumberFormat="1" applyFont="1" applyFill="1" applyAlignment="1">
      <alignment vertical="center" textRotation="180"/>
    </xf>
    <xf numFmtId="0" fontId="27" fillId="0" borderId="10" xfId="0" applyFont="1" applyFill="1" applyBorder="1" applyAlignment="1">
      <alignment vertical="center" textRotation="180"/>
    </xf>
    <xf numFmtId="49" fontId="28" fillId="0" borderId="7" xfId="0" applyNumberFormat="1" applyFont="1" applyFill="1" applyBorder="1" applyAlignment="1">
      <alignment horizontal="left" vertical="center"/>
    </xf>
    <xf numFmtId="4" fontId="21" fillId="0" borderId="7" xfId="0" applyNumberFormat="1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vertical="center"/>
    </xf>
    <xf numFmtId="164" fontId="21" fillId="0" borderId="7" xfId="29" applyFont="1" applyFill="1" applyBorder="1" applyAlignment="1">
      <alignment horizontal="right" wrapText="1"/>
    </xf>
    <xf numFmtId="3" fontId="27" fillId="0" borderId="0" xfId="0" applyNumberFormat="1" applyFont="1" applyFill="1" applyBorder="1" applyAlignment="1">
      <alignment horizontal="center" vertical="center" textRotation="180"/>
    </xf>
    <xf numFmtId="4" fontId="43" fillId="0" borderId="0" xfId="0" applyNumberFormat="1" applyFont="1" applyFill="1"/>
    <xf numFmtId="4" fontId="43" fillId="0" borderId="0" xfId="0" applyNumberFormat="1" applyFont="1" applyFill="1" applyAlignment="1">
      <alignment horizontal="left" indent="1"/>
    </xf>
    <xf numFmtId="4" fontId="43" fillId="0" borderId="0" xfId="0" applyNumberFormat="1" applyFont="1" applyFill="1" applyAlignment="1"/>
    <xf numFmtId="165" fontId="28" fillId="0" borderId="7" xfId="0" applyNumberFormat="1" applyFont="1" applyFill="1" applyBorder="1" applyAlignment="1">
      <alignment horizontal="right" wrapText="1"/>
    </xf>
    <xf numFmtId="3" fontId="44" fillId="0" borderId="0" xfId="0" applyNumberFormat="1" applyFont="1" applyFill="1" applyAlignment="1"/>
    <xf numFmtId="4" fontId="21" fillId="43" borderId="0" xfId="0" applyNumberFormat="1" applyFont="1" applyFill="1" applyAlignment="1">
      <alignment horizontal="center"/>
    </xf>
    <xf numFmtId="4" fontId="21" fillId="43" borderId="0" xfId="0" applyNumberFormat="1" applyFont="1" applyFill="1"/>
    <xf numFmtId="0" fontId="46" fillId="43" borderId="0" xfId="0" applyFont="1" applyFill="1" applyAlignment="1">
      <alignment vertical="top"/>
    </xf>
    <xf numFmtId="3" fontId="23" fillId="43" borderId="0" xfId="0" applyNumberFormat="1" applyFont="1" applyFill="1" applyAlignment="1">
      <alignment horizontal="center"/>
    </xf>
    <xf numFmtId="3" fontId="23" fillId="43" borderId="0" xfId="0" applyNumberFormat="1" applyFont="1" applyFill="1" applyAlignment="1">
      <alignment horizontal="left" wrapText="1"/>
    </xf>
    <xf numFmtId="4" fontId="21" fillId="43" borderId="0" xfId="0" applyNumberFormat="1" applyFont="1" applyFill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 wrapText="1"/>
    </xf>
    <xf numFmtId="1" fontId="30" fillId="0" borderId="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left" vertical="center" wrapText="1"/>
    </xf>
    <xf numFmtId="4" fontId="30" fillId="0" borderId="0" xfId="0" applyNumberFormat="1" applyFont="1" applyFill="1" applyBorder="1" applyAlignment="1">
      <alignment horizontal="right" wrapText="1"/>
    </xf>
    <xf numFmtId="165" fontId="28" fillId="0" borderId="0" xfId="0" applyNumberFormat="1" applyFont="1" applyFill="1" applyBorder="1" applyAlignment="1">
      <alignment horizontal="right" wrapText="1"/>
    </xf>
    <xf numFmtId="0" fontId="47" fillId="0" borderId="0" xfId="0" applyFont="1" applyFill="1" applyAlignment="1">
      <alignment vertical="center"/>
    </xf>
    <xf numFmtId="3" fontId="47" fillId="0" borderId="0" xfId="0" applyNumberFormat="1" applyFont="1" applyFill="1" applyAlignment="1"/>
    <xf numFmtId="165" fontId="28" fillId="0" borderId="7" xfId="0" applyNumberFormat="1" applyFont="1" applyFill="1" applyBorder="1" applyAlignment="1">
      <alignment horizontal="right"/>
    </xf>
    <xf numFmtId="0" fontId="44" fillId="0" borderId="0" xfId="0" applyFont="1" applyFill="1" applyAlignment="1">
      <alignment vertical="center"/>
    </xf>
    <xf numFmtId="3" fontId="48" fillId="0" borderId="0" xfId="0" applyNumberFormat="1" applyFont="1" applyFill="1" applyAlignment="1">
      <alignment vertical="center" textRotation="180"/>
    </xf>
    <xf numFmtId="4" fontId="24" fillId="0" borderId="0" xfId="0" applyNumberFormat="1" applyFont="1" applyFill="1" applyAlignment="1">
      <alignment horizontal="center"/>
    </xf>
    <xf numFmtId="4" fontId="49" fillId="0" borderId="0" xfId="0" applyNumberFormat="1" applyFont="1" applyFill="1" applyAlignment="1">
      <alignment vertical="center"/>
    </xf>
    <xf numFmtId="4" fontId="49" fillId="0" borderId="0" xfId="0" applyNumberFormat="1" applyFont="1" applyFill="1" applyAlignment="1"/>
    <xf numFmtId="4" fontId="49" fillId="0" borderId="0" xfId="0" applyNumberFormat="1" applyFont="1" applyFill="1" applyAlignment="1">
      <alignment horizontal="left" indent="1"/>
    </xf>
    <xf numFmtId="4" fontId="49" fillId="0" borderId="0" xfId="0" applyNumberFormat="1" applyFont="1" applyFill="1"/>
    <xf numFmtId="4" fontId="50" fillId="0" borderId="0" xfId="0" applyNumberFormat="1" applyFont="1" applyFill="1" applyAlignment="1">
      <alignment horizontal="center" wrapText="1"/>
    </xf>
    <xf numFmtId="49" fontId="51" fillId="43" borderId="0" xfId="0" applyNumberFormat="1" applyFont="1" applyFill="1" applyBorder="1" applyAlignment="1" applyProtection="1">
      <alignment horizontal="center" vertical="center" wrapText="1"/>
    </xf>
    <xf numFmtId="165" fontId="28" fillId="43" borderId="0" xfId="0" applyNumberFormat="1" applyFont="1" applyFill="1"/>
    <xf numFmtId="3" fontId="28" fillId="43" borderId="0" xfId="0" applyNumberFormat="1" applyFont="1" applyFill="1"/>
    <xf numFmtId="165" fontId="28" fillId="43" borderId="0" xfId="0" applyNumberFormat="1" applyFont="1" applyFill="1" applyAlignment="1">
      <alignment horizontal="center"/>
    </xf>
    <xf numFmtId="4" fontId="21" fillId="0" borderId="0" xfId="0" applyNumberFormat="1" applyFont="1" applyFill="1" applyAlignment="1">
      <alignment horizontal="right"/>
    </xf>
    <xf numFmtId="4" fontId="21" fillId="0" borderId="7" xfId="0" applyNumberFormat="1" applyFont="1" applyFill="1" applyBorder="1" applyAlignment="1">
      <alignment horizontal="center"/>
    </xf>
    <xf numFmtId="4" fontId="28" fillId="0" borderId="7" xfId="0" applyNumberFormat="1" applyFont="1" applyFill="1" applyBorder="1" applyAlignment="1">
      <alignment horizontal="center" vertical="center" wrapText="1"/>
    </xf>
    <xf numFmtId="4" fontId="40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49" fontId="45" fillId="43" borderId="0" xfId="0" applyNumberFormat="1" applyFont="1" applyFill="1" applyBorder="1" applyAlignment="1" applyProtection="1">
      <alignment horizontal="left" vertical="center" wrapText="1"/>
    </xf>
    <xf numFmtId="49" fontId="45" fillId="43" borderId="0" xfId="0" applyNumberFormat="1" applyFont="1" applyFill="1" applyBorder="1" applyAlignment="1" applyProtection="1">
      <alignment horizontal="center" vertical="center" wrapText="1"/>
    </xf>
    <xf numFmtId="3" fontId="28" fillId="0" borderId="7" xfId="0" applyNumberFormat="1" applyFont="1" applyFill="1" applyBorder="1" applyAlignment="1" applyProtection="1">
      <alignment horizontal="center" vertical="center" wrapText="1"/>
    </xf>
    <xf numFmtId="3" fontId="28" fillId="0" borderId="7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>
      <alignment horizontal="right" wrapText="1"/>
    </xf>
    <xf numFmtId="4" fontId="23" fillId="0" borderId="7" xfId="0" applyNumberFormat="1" applyFont="1" applyFill="1" applyBorder="1" applyAlignment="1">
      <alignment horizontal="right" wrapText="1"/>
    </xf>
    <xf numFmtId="49" fontId="28" fillId="0" borderId="0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vertical="center" wrapText="1"/>
    </xf>
    <xf numFmtId="4" fontId="28" fillId="0" borderId="0" xfId="0" applyNumberFormat="1" applyFont="1" applyFill="1" applyBorder="1" applyAlignment="1">
      <alignment horizontal="right" wrapText="1"/>
    </xf>
    <xf numFmtId="3" fontId="48" fillId="0" borderId="0" xfId="0" applyNumberFormat="1" applyFont="1" applyFill="1" applyBorder="1" applyAlignment="1">
      <alignment horizontal="center" vertical="center" textRotation="180"/>
    </xf>
    <xf numFmtId="3" fontId="24" fillId="42" borderId="0" xfId="0" applyNumberFormat="1" applyFont="1" applyFill="1" applyAlignment="1">
      <alignment vertical="center"/>
    </xf>
    <xf numFmtId="4" fontId="34" fillId="0" borderId="7" xfId="0" applyNumberFormat="1" applyFont="1" applyFill="1" applyBorder="1" applyAlignment="1">
      <alignment horizontal="center"/>
    </xf>
    <xf numFmtId="4" fontId="52" fillId="0" borderId="7" xfId="0" applyNumberFormat="1" applyFont="1" applyFill="1" applyBorder="1" applyAlignment="1">
      <alignment horizontal="center"/>
    </xf>
    <xf numFmtId="4" fontId="23" fillId="0" borderId="7" xfId="0" applyNumberFormat="1" applyFont="1" applyFill="1" applyBorder="1" applyAlignment="1">
      <alignment horizontal="center"/>
    </xf>
    <xf numFmtId="4" fontId="24" fillId="0" borderId="7" xfId="0" applyNumberFormat="1" applyFont="1" applyFill="1" applyBorder="1" applyAlignment="1">
      <alignment horizontal="center"/>
    </xf>
    <xf numFmtId="165" fontId="21" fillId="0" borderId="0" xfId="0" applyNumberFormat="1" applyFont="1" applyFill="1" applyAlignment="1">
      <alignment horizontal="center"/>
    </xf>
    <xf numFmtId="49" fontId="45" fillId="0" borderId="0" xfId="0" applyNumberFormat="1" applyFont="1" applyFill="1" applyBorder="1" applyAlignment="1" applyProtection="1">
      <alignment horizontal="left" vertical="center" wrapText="1"/>
    </xf>
    <xf numFmtId="49" fontId="4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vertical="top"/>
    </xf>
    <xf numFmtId="4" fontId="21" fillId="0" borderId="0" xfId="0" applyNumberFormat="1" applyFont="1" applyFill="1" applyAlignment="1">
      <alignment horizontal="center" vertical="center"/>
    </xf>
    <xf numFmtId="165" fontId="21" fillId="0" borderId="0" xfId="0" applyNumberFormat="1" applyFont="1" applyFill="1"/>
    <xf numFmtId="3" fontId="21" fillId="0" borderId="0" xfId="0" applyNumberFormat="1" applyFont="1" applyFill="1"/>
    <xf numFmtId="165" fontId="30" fillId="0" borderId="7" xfId="0" applyNumberFormat="1" applyFont="1" applyFill="1" applyBorder="1" applyAlignment="1">
      <alignment horizontal="right"/>
    </xf>
    <xf numFmtId="165" fontId="21" fillId="0" borderId="7" xfId="0" applyNumberFormat="1" applyFont="1" applyFill="1" applyBorder="1" applyAlignment="1">
      <alignment horizontal="right"/>
    </xf>
    <xf numFmtId="165" fontId="29" fillId="0" borderId="7" xfId="0" applyNumberFormat="1" applyFont="1" applyFill="1" applyBorder="1" applyAlignment="1">
      <alignment horizontal="right"/>
    </xf>
    <xf numFmtId="165" fontId="21" fillId="0" borderId="7" xfId="0" applyNumberFormat="1" applyFont="1" applyFill="1" applyBorder="1" applyAlignment="1">
      <alignment horizontal="right" wrapText="1"/>
    </xf>
    <xf numFmtId="165" fontId="29" fillId="0" borderId="7" xfId="0" applyNumberFormat="1" applyFont="1" applyFill="1" applyBorder="1" applyAlignment="1">
      <alignment horizontal="right" wrapText="1"/>
    </xf>
    <xf numFmtId="165" fontId="30" fillId="0" borderId="7" xfId="0" applyNumberFormat="1" applyFont="1" applyFill="1" applyBorder="1" applyAlignment="1">
      <alignment horizontal="left" vertical="center" wrapText="1"/>
    </xf>
    <xf numFmtId="165" fontId="29" fillId="0" borderId="7" xfId="0" applyNumberFormat="1" applyFont="1" applyFill="1" applyBorder="1" applyAlignment="1">
      <alignment horizontal="left" vertical="center" wrapText="1"/>
    </xf>
    <xf numFmtId="165" fontId="24" fillId="0" borderId="0" xfId="0" applyNumberFormat="1" applyFont="1" applyFill="1" applyAlignment="1">
      <alignment horizontal="center"/>
    </xf>
    <xf numFmtId="165" fontId="24" fillId="0" borderId="0" xfId="0" applyNumberFormat="1" applyFont="1" applyFill="1" applyAlignment="1">
      <alignment horizontal="center" wrapText="1"/>
    </xf>
    <xf numFmtId="165" fontId="30" fillId="0" borderId="7" xfId="0" applyNumberFormat="1" applyFont="1" applyFill="1" applyBorder="1" applyAlignment="1">
      <alignment horizontal="right" wrapText="1"/>
    </xf>
    <xf numFmtId="165" fontId="30" fillId="0" borderId="0" xfId="0" applyNumberFormat="1" applyFont="1" applyFill="1" applyAlignment="1">
      <alignment horizontal="right" wrapText="1"/>
    </xf>
    <xf numFmtId="165" fontId="52" fillId="0" borderId="7" xfId="0" applyNumberFormat="1" applyFont="1" applyFill="1" applyBorder="1" applyAlignment="1">
      <alignment horizontal="center"/>
    </xf>
    <xf numFmtId="165" fontId="24" fillId="0" borderId="7" xfId="0" applyNumberFormat="1" applyFont="1" applyFill="1" applyBorder="1" applyAlignment="1">
      <alignment horizontal="center"/>
    </xf>
    <xf numFmtId="165" fontId="49" fillId="0" borderId="0" xfId="0" applyNumberFormat="1" applyFont="1" applyFill="1" applyAlignment="1">
      <alignment vertical="center"/>
    </xf>
    <xf numFmtId="165" fontId="49" fillId="0" borderId="0" xfId="0" applyNumberFormat="1" applyFont="1" applyFill="1" applyAlignment="1"/>
    <xf numFmtId="165" fontId="49" fillId="0" borderId="0" xfId="0" applyNumberFormat="1" applyFont="1" applyFill="1" applyAlignment="1">
      <alignment horizontal="left" indent="1"/>
    </xf>
    <xf numFmtId="165" fontId="49" fillId="0" borderId="0" xfId="0" applyNumberFormat="1" applyFont="1" applyFill="1"/>
    <xf numFmtId="165" fontId="51" fillId="43" borderId="0" xfId="0" applyNumberFormat="1" applyFont="1" applyFill="1" applyBorder="1" applyAlignment="1" applyProtection="1">
      <alignment horizontal="center" vertical="center" wrapText="1"/>
    </xf>
    <xf numFmtId="4" fontId="28" fillId="0" borderId="0" xfId="0" applyNumberFormat="1" applyFont="1" applyFill="1"/>
    <xf numFmtId="0" fontId="53" fillId="0" borderId="0" xfId="0" applyFont="1" applyFill="1"/>
    <xf numFmtId="3" fontId="27" fillId="0" borderId="10" xfId="0" applyNumberFormat="1" applyFont="1" applyFill="1" applyBorder="1" applyAlignment="1">
      <alignment horizontal="center" vertical="center" textRotation="180"/>
    </xf>
    <xf numFmtId="0" fontId="35" fillId="0" borderId="0" xfId="0" applyFont="1" applyFill="1" applyAlignment="1">
      <alignment horizontal="center" vertical="top"/>
    </xf>
    <xf numFmtId="4" fontId="39" fillId="0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165" fontId="28" fillId="0" borderId="7" xfId="0" applyNumberFormat="1" applyFont="1" applyFill="1" applyBorder="1" applyAlignment="1">
      <alignment horizontal="center" vertical="center" wrapText="1"/>
    </xf>
    <xf numFmtId="4" fontId="40" fillId="0" borderId="7" xfId="0" applyNumberFormat="1" applyFont="1" applyFill="1" applyBorder="1" applyAlignment="1">
      <alignment horizontal="center" vertical="center" wrapText="1"/>
    </xf>
    <xf numFmtId="4" fontId="40" fillId="0" borderId="9" xfId="0" applyNumberFormat="1" applyFont="1" applyFill="1" applyBorder="1" applyAlignment="1">
      <alignment horizontal="center" vertical="center" wrapText="1"/>
    </xf>
    <xf numFmtId="4" fontId="40" fillId="0" borderId="11" xfId="0" applyNumberFormat="1" applyFont="1" applyFill="1" applyBorder="1" applyAlignment="1">
      <alignment horizontal="center" vertical="center" wrapText="1"/>
    </xf>
    <xf numFmtId="4" fontId="40" fillId="0" borderId="12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49" fontId="45" fillId="43" borderId="0" xfId="0" applyNumberFormat="1" applyFont="1" applyFill="1" applyBorder="1" applyAlignment="1" applyProtection="1">
      <alignment horizontal="left" vertical="center" wrapText="1"/>
    </xf>
    <xf numFmtId="49" fontId="45" fillId="43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>
      <alignment horizontal="center"/>
    </xf>
    <xf numFmtId="3" fontId="40" fillId="0" borderId="7" xfId="0" applyNumberFormat="1" applyFont="1" applyFill="1" applyBorder="1" applyAlignment="1" applyProtection="1">
      <alignment horizontal="center" vertical="center" wrapText="1"/>
    </xf>
    <xf numFmtId="3" fontId="28" fillId="0" borderId="7" xfId="0" applyNumberFormat="1" applyFont="1" applyFill="1" applyBorder="1" applyAlignment="1" applyProtection="1">
      <alignment horizontal="center" vertical="center" wrapText="1"/>
    </xf>
    <xf numFmtId="3" fontId="36" fillId="0" borderId="0" xfId="0" applyNumberFormat="1" applyFont="1" applyFill="1" applyAlignment="1">
      <alignment horizontal="center" vertical="top" wrapText="1"/>
    </xf>
    <xf numFmtId="49" fontId="38" fillId="0" borderId="0" xfId="0" applyNumberFormat="1" applyFont="1" applyFill="1" applyAlignment="1">
      <alignment horizontal="center"/>
    </xf>
    <xf numFmtId="49" fontId="38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top" wrapText="1"/>
    </xf>
    <xf numFmtId="3" fontId="28" fillId="0" borderId="7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textRotation="180"/>
    </xf>
    <xf numFmtId="0" fontId="27" fillId="0" borderId="10" xfId="0" applyFont="1" applyFill="1" applyBorder="1" applyAlignment="1">
      <alignment horizontal="center" vertical="center" textRotation="180"/>
    </xf>
    <xf numFmtId="0" fontId="44" fillId="0" borderId="0" xfId="0" applyFont="1" applyFill="1" applyAlignment="1">
      <alignment horizontal="center"/>
    </xf>
    <xf numFmtId="49" fontId="45" fillId="0" borderId="0" xfId="0" applyNumberFormat="1" applyFont="1" applyFill="1" applyBorder="1" applyAlignment="1" applyProtection="1">
      <alignment horizontal="left" vertical="center" wrapText="1"/>
    </xf>
    <xf numFmtId="49" fontId="45" fillId="0" borderId="0" xfId="0" applyNumberFormat="1" applyFont="1" applyFill="1" applyBorder="1" applyAlignment="1" applyProtection="1">
      <alignment horizontal="center" vertical="center" wrapText="1"/>
    </xf>
  </cellXfs>
  <cellStyles count="80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Денежный" xfId="29" builtinId="4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Q1801"/>
  <sheetViews>
    <sheetView showGridLines="0" showZeros="0" tabSelected="1" view="pageBreakPreview" topLeftCell="A153" zoomScale="55" zoomScaleNormal="82" zoomScaleSheetLayoutView="55" workbookViewId="0">
      <selection activeCell="A175" sqref="A175:XFD176"/>
    </sheetView>
  </sheetViews>
  <sheetFormatPr defaultColWidth="9.1640625" defaultRowHeight="15" x14ac:dyDescent="0.25"/>
  <cols>
    <col min="1" max="1" width="16.1640625" style="2" customWidth="1"/>
    <col min="2" max="2" width="15.33203125" style="3" customWidth="1"/>
    <col min="3" max="3" width="14.6640625" style="3" customWidth="1"/>
    <col min="4" max="4" width="62" style="4" customWidth="1"/>
    <col min="5" max="5" width="22.33203125" style="5" customWidth="1"/>
    <col min="6" max="6" width="22.5" style="5" hidden="1" customWidth="1"/>
    <col min="7" max="7" width="22.83203125" style="5" customWidth="1"/>
    <col min="8" max="8" width="22.5" style="5" customWidth="1"/>
    <col min="9" max="9" width="22.1640625" style="5" hidden="1" customWidth="1"/>
    <col min="10" max="12" width="22.1640625" style="5" customWidth="1"/>
    <col min="13" max="13" width="22.1640625" style="185" customWidth="1"/>
    <col min="14" max="14" width="22.33203125" style="5" customWidth="1"/>
    <col min="15" max="15" width="21.6640625" style="5" customWidth="1"/>
    <col min="16" max="16" width="21.1640625" style="5" customWidth="1"/>
    <col min="17" max="17" width="19.5" style="5" customWidth="1"/>
    <col min="18" max="18" width="17.1640625" style="5" customWidth="1"/>
    <col min="19" max="25" width="23.6640625" style="5" customWidth="1"/>
    <col min="26" max="26" width="23.6640625" style="185" customWidth="1"/>
    <col min="27" max="27" width="23.6640625" style="139" customWidth="1"/>
    <col min="28" max="28" width="27.83203125" style="63" hidden="1" customWidth="1"/>
    <col min="29" max="29" width="6.6640625" style="109" customWidth="1"/>
    <col min="30" max="30" width="21" style="6" customWidth="1"/>
    <col min="31" max="16384" width="9.1640625" style="6"/>
  </cols>
  <sheetData>
    <row r="1" spans="1:537" ht="31.9" customHeight="1" x14ac:dyDescent="0.45">
      <c r="O1" s="118"/>
      <c r="V1" s="211" t="s">
        <v>762</v>
      </c>
      <c r="W1" s="211"/>
      <c r="X1" s="211"/>
      <c r="Y1" s="211"/>
      <c r="AB1" s="5"/>
      <c r="AC1" s="111"/>
    </row>
    <row r="2" spans="1:537" ht="31.9" customHeight="1" x14ac:dyDescent="0.25">
      <c r="O2" s="7"/>
      <c r="P2" s="7"/>
      <c r="Q2" s="7"/>
      <c r="R2" s="7"/>
      <c r="S2" s="7"/>
      <c r="T2" s="7"/>
      <c r="U2" s="7"/>
      <c r="V2" s="134" t="s">
        <v>763</v>
      </c>
      <c r="W2" s="134"/>
      <c r="X2" s="134"/>
      <c r="Y2" s="134"/>
      <c r="Z2" s="191"/>
      <c r="AA2" s="140"/>
      <c r="AB2" s="7"/>
      <c r="AC2" s="111"/>
    </row>
    <row r="3" spans="1:537" ht="31.9" customHeight="1" x14ac:dyDescent="0.45">
      <c r="O3" s="7"/>
      <c r="P3" s="7"/>
      <c r="Q3" s="7"/>
      <c r="R3" s="7"/>
      <c r="S3" s="7"/>
      <c r="T3" s="7"/>
      <c r="U3" s="7"/>
      <c r="V3" s="135" t="s">
        <v>764</v>
      </c>
      <c r="W3" s="135"/>
      <c r="X3" s="135"/>
      <c r="Y3" s="135"/>
      <c r="Z3" s="191"/>
      <c r="AA3" s="140"/>
      <c r="AB3" s="7"/>
      <c r="AC3" s="111"/>
    </row>
    <row r="4" spans="1:537" ht="31.9" customHeight="1" x14ac:dyDescent="0.45">
      <c r="O4" s="120"/>
      <c r="P4" s="120"/>
      <c r="Q4" s="120"/>
      <c r="R4" s="120"/>
      <c r="S4" s="120"/>
      <c r="T4" s="120"/>
      <c r="U4" s="120"/>
      <c r="V4" s="135" t="s">
        <v>765</v>
      </c>
      <c r="W4" s="135"/>
      <c r="X4" s="135"/>
      <c r="Y4" s="135"/>
      <c r="Z4" s="192"/>
      <c r="AA4" s="141"/>
      <c r="AB4" s="120"/>
      <c r="AC4" s="111"/>
    </row>
    <row r="5" spans="1:537" ht="31.9" customHeight="1" x14ac:dyDescent="0.45">
      <c r="O5" s="120"/>
      <c r="P5" s="120"/>
      <c r="Q5" s="120"/>
      <c r="R5" s="120"/>
      <c r="S5" s="120"/>
      <c r="T5" s="120"/>
      <c r="U5" s="120"/>
      <c r="V5" s="135" t="s">
        <v>767</v>
      </c>
      <c r="W5" s="135"/>
      <c r="X5" s="135"/>
      <c r="Y5" s="135"/>
      <c r="Z5" s="192"/>
      <c r="AA5" s="141"/>
      <c r="AB5" s="120"/>
      <c r="AC5" s="111"/>
    </row>
    <row r="6" spans="1:537" ht="31.9" customHeight="1" x14ac:dyDescent="0.45">
      <c r="O6" s="119"/>
      <c r="P6" s="119"/>
      <c r="Q6" s="119"/>
      <c r="R6" s="119"/>
      <c r="S6" s="119"/>
      <c r="T6" s="119"/>
      <c r="U6" s="119"/>
      <c r="V6" s="135" t="s">
        <v>779</v>
      </c>
      <c r="W6" s="135"/>
      <c r="X6" s="135"/>
      <c r="Y6" s="135"/>
      <c r="Z6" s="193"/>
      <c r="AA6" s="142"/>
      <c r="AB6" s="119"/>
      <c r="AC6" s="111"/>
    </row>
    <row r="7" spans="1:537" ht="26.25" customHeight="1" x14ac:dyDescent="0.4"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92"/>
      <c r="AA7" s="141"/>
      <c r="AB7" s="120"/>
      <c r="AC7" s="111"/>
    </row>
    <row r="8" spans="1:537" ht="60" customHeight="1" x14ac:dyDescent="0.4"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94"/>
      <c r="AA8" s="143"/>
      <c r="AB8" s="118"/>
      <c r="AC8" s="111"/>
    </row>
    <row r="9" spans="1:537" s="8" customFormat="1" ht="71.25" customHeight="1" x14ac:dyDescent="0.3">
      <c r="A9" s="214" t="s">
        <v>755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111"/>
    </row>
    <row r="10" spans="1:537" s="8" customFormat="1" ht="23.25" customHeight="1" x14ac:dyDescent="0.35">
      <c r="A10" s="215" t="s">
        <v>617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111"/>
    </row>
    <row r="11" spans="1:537" s="8" customFormat="1" ht="19.5" customHeight="1" x14ac:dyDescent="0.3">
      <c r="A11" s="199" t="s">
        <v>517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11"/>
    </row>
    <row r="12" spans="1:537" s="13" customFormat="1" ht="22.5" customHeight="1" x14ac:dyDescent="0.3">
      <c r="A12" s="9"/>
      <c r="B12" s="10"/>
      <c r="C12" s="10"/>
      <c r="D12" s="4"/>
      <c r="E12" s="11"/>
      <c r="F12" s="11"/>
      <c r="G12" s="11"/>
      <c r="H12" s="11"/>
      <c r="I12" s="11"/>
      <c r="J12" s="11"/>
      <c r="K12" s="11"/>
      <c r="L12" s="11"/>
      <c r="M12" s="186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86"/>
      <c r="AA12" s="144" t="s">
        <v>344</v>
      </c>
      <c r="AB12" s="12" t="s">
        <v>344</v>
      </c>
      <c r="AC12" s="111"/>
    </row>
    <row r="13" spans="1:537" s="153" customFormat="1" ht="22.15" customHeight="1" x14ac:dyDescent="0.2">
      <c r="A13" s="207" t="s">
        <v>322</v>
      </c>
      <c r="B13" s="208" t="s">
        <v>323</v>
      </c>
      <c r="C13" s="208" t="s">
        <v>313</v>
      </c>
      <c r="D13" s="208" t="s">
        <v>324</v>
      </c>
      <c r="E13" s="204" t="s">
        <v>216</v>
      </c>
      <c r="F13" s="205"/>
      <c r="G13" s="205"/>
      <c r="H13" s="205"/>
      <c r="I13" s="205"/>
      <c r="J13" s="205"/>
      <c r="K13" s="205"/>
      <c r="L13" s="206"/>
      <c r="M13" s="202" t="s">
        <v>758</v>
      </c>
      <c r="N13" s="204" t="s">
        <v>217</v>
      </c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  <c r="Z13" s="202" t="s">
        <v>758</v>
      </c>
      <c r="AA13" s="201" t="s">
        <v>218</v>
      </c>
      <c r="AB13" s="203" t="s">
        <v>759</v>
      </c>
      <c r="AC13" s="138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</row>
    <row r="14" spans="1:537" s="153" customFormat="1" ht="52.15" customHeight="1" x14ac:dyDescent="0.2">
      <c r="A14" s="207"/>
      <c r="B14" s="208"/>
      <c r="C14" s="208"/>
      <c r="D14" s="208"/>
      <c r="E14" s="204" t="s">
        <v>756</v>
      </c>
      <c r="F14" s="205"/>
      <c r="G14" s="205"/>
      <c r="H14" s="206"/>
      <c r="I14" s="152"/>
      <c r="J14" s="203" t="s">
        <v>757</v>
      </c>
      <c r="K14" s="203"/>
      <c r="L14" s="203"/>
      <c r="M14" s="202"/>
      <c r="N14" s="203" t="s">
        <v>756</v>
      </c>
      <c r="O14" s="203"/>
      <c r="P14" s="203"/>
      <c r="Q14" s="203"/>
      <c r="R14" s="203"/>
      <c r="S14" s="203"/>
      <c r="T14" s="212" t="s">
        <v>757</v>
      </c>
      <c r="U14" s="212"/>
      <c r="V14" s="212"/>
      <c r="W14" s="212"/>
      <c r="X14" s="212"/>
      <c r="Y14" s="212"/>
      <c r="Z14" s="202"/>
      <c r="AA14" s="201"/>
      <c r="AB14" s="203"/>
      <c r="AC14" s="138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</row>
    <row r="15" spans="1:537" s="153" customFormat="1" ht="19.5" customHeight="1" x14ac:dyDescent="0.2">
      <c r="A15" s="207"/>
      <c r="B15" s="208"/>
      <c r="C15" s="208"/>
      <c r="D15" s="208"/>
      <c r="E15" s="201" t="s">
        <v>314</v>
      </c>
      <c r="F15" s="201" t="s">
        <v>219</v>
      </c>
      <c r="G15" s="200" t="s">
        <v>220</v>
      </c>
      <c r="H15" s="200"/>
      <c r="I15" s="201" t="s">
        <v>221</v>
      </c>
      <c r="J15" s="201" t="s">
        <v>314</v>
      </c>
      <c r="K15" s="201" t="s">
        <v>220</v>
      </c>
      <c r="L15" s="201"/>
      <c r="M15" s="202"/>
      <c r="N15" s="201" t="s">
        <v>314</v>
      </c>
      <c r="O15" s="201" t="s">
        <v>315</v>
      </c>
      <c r="P15" s="201" t="s">
        <v>219</v>
      </c>
      <c r="Q15" s="200" t="s">
        <v>220</v>
      </c>
      <c r="R15" s="200"/>
      <c r="S15" s="201" t="s">
        <v>221</v>
      </c>
      <c r="T15" s="213" t="s">
        <v>314</v>
      </c>
      <c r="U15" s="213" t="s">
        <v>315</v>
      </c>
      <c r="V15" s="213" t="s">
        <v>219</v>
      </c>
      <c r="W15" s="213" t="s">
        <v>220</v>
      </c>
      <c r="X15" s="213"/>
      <c r="Y15" s="213" t="s">
        <v>221</v>
      </c>
      <c r="Z15" s="202"/>
      <c r="AA15" s="201"/>
      <c r="AB15" s="203"/>
      <c r="AC15" s="138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</row>
    <row r="16" spans="1:537" s="153" customFormat="1" ht="87.75" customHeight="1" x14ac:dyDescent="0.2">
      <c r="A16" s="207"/>
      <c r="B16" s="208"/>
      <c r="C16" s="208"/>
      <c r="D16" s="208"/>
      <c r="E16" s="201"/>
      <c r="F16" s="201"/>
      <c r="G16" s="151" t="s">
        <v>222</v>
      </c>
      <c r="H16" s="151" t="s">
        <v>223</v>
      </c>
      <c r="I16" s="201"/>
      <c r="J16" s="201"/>
      <c r="K16" s="151" t="s">
        <v>222</v>
      </c>
      <c r="L16" s="151" t="s">
        <v>223</v>
      </c>
      <c r="M16" s="202"/>
      <c r="N16" s="201"/>
      <c r="O16" s="201"/>
      <c r="P16" s="201"/>
      <c r="Q16" s="151" t="s">
        <v>222</v>
      </c>
      <c r="R16" s="151" t="s">
        <v>223</v>
      </c>
      <c r="S16" s="201"/>
      <c r="T16" s="213"/>
      <c r="U16" s="213"/>
      <c r="V16" s="213"/>
      <c r="W16" s="156" t="s">
        <v>222</v>
      </c>
      <c r="X16" s="156" t="s">
        <v>223</v>
      </c>
      <c r="Y16" s="213"/>
      <c r="Z16" s="202"/>
      <c r="AA16" s="201"/>
      <c r="AB16" s="203"/>
      <c r="AC16" s="138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</row>
    <row r="17" spans="1:29" s="16" customFormat="1" ht="24" customHeight="1" x14ac:dyDescent="0.25">
      <c r="A17" s="101" t="s">
        <v>141</v>
      </c>
      <c r="B17" s="102"/>
      <c r="C17" s="102"/>
      <c r="D17" s="103" t="s">
        <v>34</v>
      </c>
      <c r="E17" s="15">
        <f>E18</f>
        <v>352949545.42000002</v>
      </c>
      <c r="F17" s="15">
        <f t="shared" ref="F17:Y17" si="0">F18</f>
        <v>286450977.41999996</v>
      </c>
      <c r="G17" s="15">
        <f t="shared" si="0"/>
        <v>139144145</v>
      </c>
      <c r="H17" s="15">
        <f t="shared" si="0"/>
        <v>16054338.58</v>
      </c>
      <c r="I17" s="15">
        <f t="shared" si="0"/>
        <v>66498568</v>
      </c>
      <c r="J17" s="15">
        <f t="shared" si="0"/>
        <v>336057683.06999987</v>
      </c>
      <c r="K17" s="15">
        <f t="shared" si="0"/>
        <v>138549041.47</v>
      </c>
      <c r="L17" s="15">
        <f t="shared" si="0"/>
        <v>11498959.190000001</v>
      </c>
      <c r="M17" s="121">
        <f>J17/E17*100</f>
        <v>95.214085817875386</v>
      </c>
      <c r="N17" s="15">
        <f t="shared" si="0"/>
        <v>81218357.599999994</v>
      </c>
      <c r="O17" s="15">
        <f t="shared" si="0"/>
        <v>80455752.599999994</v>
      </c>
      <c r="P17" s="15">
        <f t="shared" si="0"/>
        <v>762605</v>
      </c>
      <c r="Q17" s="15">
        <f t="shared" si="0"/>
        <v>345344</v>
      </c>
      <c r="R17" s="15">
        <f t="shared" si="0"/>
        <v>103112</v>
      </c>
      <c r="S17" s="15">
        <f t="shared" si="0"/>
        <v>80455752.599999994</v>
      </c>
      <c r="T17" s="15">
        <f t="shared" si="0"/>
        <v>78562791.039999992</v>
      </c>
      <c r="U17" s="15">
        <f t="shared" si="0"/>
        <v>58197861.029999994</v>
      </c>
      <c r="V17" s="15">
        <f t="shared" si="0"/>
        <v>13908151.289999999</v>
      </c>
      <c r="W17" s="15">
        <f t="shared" si="0"/>
        <v>144920.81</v>
      </c>
      <c r="X17" s="15">
        <f t="shared" si="0"/>
        <v>23056.99</v>
      </c>
      <c r="Y17" s="15">
        <f t="shared" si="0"/>
        <v>64654639.75</v>
      </c>
      <c r="Z17" s="121">
        <f>T17/N17*100</f>
        <v>96.730337034050038</v>
      </c>
      <c r="AA17" s="15">
        <f>AA18</f>
        <v>414620474.1099999</v>
      </c>
      <c r="AB17" s="15">
        <f t="shared" ref="AB17" si="1">AB18</f>
        <v>434167903.01999998</v>
      </c>
      <c r="AC17" s="111"/>
    </row>
    <row r="18" spans="1:29" s="21" customFormat="1" ht="31.5" customHeight="1" x14ac:dyDescent="0.25">
      <c r="A18" s="17" t="s">
        <v>142</v>
      </c>
      <c r="B18" s="18"/>
      <c r="C18" s="18"/>
      <c r="D18" s="19" t="s">
        <v>652</v>
      </c>
      <c r="E18" s="20">
        <f>E24+E25+E26+E28+E30+E31+E32+E34+E36+E37+E38+E39+E40+E41+E42+E43+E44+E46+E47+E48+E50+E51+E52+E54+E56+E57+E58+E60+E61+E62+E63+E66+E68+E70+E73+E74+E53+E55+E76+E75+E49+E35+E71+E59+E64</f>
        <v>352949545.42000002</v>
      </c>
      <c r="F18" s="20">
        <f t="shared" ref="F18:Y18" si="2">F24+F25+F26+F28+F30+F31+F32+F34+F36+F37+F38+F39+F40+F41+F42+F43+F44+F46+F47+F48+F50+F51+F52+F54+F56+F57+F58+F60+F61+F62+F63+F66+F68+F70+F73+F74+F53+F55+F76+F75+F49+F35+F71+F59+F64</f>
        <v>286450977.41999996</v>
      </c>
      <c r="G18" s="20">
        <f t="shared" si="2"/>
        <v>139144145</v>
      </c>
      <c r="H18" s="20">
        <f t="shared" si="2"/>
        <v>16054338.58</v>
      </c>
      <c r="I18" s="20">
        <f t="shared" si="2"/>
        <v>66498568</v>
      </c>
      <c r="J18" s="20">
        <f t="shared" si="2"/>
        <v>336057683.06999987</v>
      </c>
      <c r="K18" s="20">
        <f t="shared" si="2"/>
        <v>138549041.47</v>
      </c>
      <c r="L18" s="20">
        <f t="shared" si="2"/>
        <v>11498959.190000001</v>
      </c>
      <c r="M18" s="187">
        <f t="shared" ref="M18:M81" si="3">J18/E18*100</f>
        <v>95.214085817875386</v>
      </c>
      <c r="N18" s="20">
        <f t="shared" si="2"/>
        <v>81218357.599999994</v>
      </c>
      <c r="O18" s="20">
        <f t="shared" si="2"/>
        <v>80455752.599999994</v>
      </c>
      <c r="P18" s="20">
        <f t="shared" si="2"/>
        <v>762605</v>
      </c>
      <c r="Q18" s="20">
        <f t="shared" si="2"/>
        <v>345344</v>
      </c>
      <c r="R18" s="20">
        <f t="shared" si="2"/>
        <v>103112</v>
      </c>
      <c r="S18" s="20">
        <f t="shared" si="2"/>
        <v>80455752.599999994</v>
      </c>
      <c r="T18" s="20">
        <f t="shared" si="2"/>
        <v>78562791.039999992</v>
      </c>
      <c r="U18" s="20">
        <f t="shared" si="2"/>
        <v>58197861.029999994</v>
      </c>
      <c r="V18" s="20">
        <f t="shared" si="2"/>
        <v>13908151.289999999</v>
      </c>
      <c r="W18" s="20">
        <f t="shared" si="2"/>
        <v>144920.81</v>
      </c>
      <c r="X18" s="20">
        <f t="shared" si="2"/>
        <v>23056.99</v>
      </c>
      <c r="Y18" s="20">
        <f t="shared" si="2"/>
        <v>64654639.75</v>
      </c>
      <c r="Z18" s="187">
        <f t="shared" ref="Z18:Z81" si="4">T18/N18*100</f>
        <v>96.730337034050038</v>
      </c>
      <c r="AA18" s="20">
        <f>AA24+AA25+AA26+AA28+AA30+AA31+AA32+AA34+AA36+AA37+AA38+AA39+AA40+AA41+AA42+AA43+AA44+AA46+AA47+AA48+AA50+AA51+AA52+AA54+AA56+AA57+AA58+AA60+AA61+AA62+AA63+AA66+AA68+AA70+AA73+AA74+AA53+AA55+AA76+AA75+AA49+AA35+AA71+AA59+AA64</f>
        <v>414620474.1099999</v>
      </c>
      <c r="AB18" s="20">
        <f t="shared" ref="AB18" si="5">AB24+AB25+AB26+AB28+AB30+AB31+AB32+AB34+AB36+AB37+AB38+AB39+AB40+AB41+AB42+AB43+AB44+AB46+AB47+AB48+AB50+AB51+AB52+AB54+AB56+AB57+AB58+AB60+AB61+AB62+AB63+AB66+AB68+AB70+AB73+AB74+AB53+AB55+AB76+AB75+AB49+AB35+AB71+AB59+AB64</f>
        <v>434167903.01999998</v>
      </c>
      <c r="AC18" s="111"/>
    </row>
    <row r="19" spans="1:29" s="21" customFormat="1" ht="50.25" customHeight="1" x14ac:dyDescent="0.25">
      <c r="A19" s="17"/>
      <c r="B19" s="18"/>
      <c r="C19" s="18"/>
      <c r="D19" s="19" t="s">
        <v>368</v>
      </c>
      <c r="E19" s="20">
        <f>E69</f>
        <v>410600</v>
      </c>
      <c r="F19" s="20">
        <f t="shared" ref="F19:Y19" si="6">F69</f>
        <v>410600</v>
      </c>
      <c r="G19" s="20">
        <f t="shared" si="6"/>
        <v>336800</v>
      </c>
      <c r="H19" s="20">
        <f t="shared" si="6"/>
        <v>0</v>
      </c>
      <c r="I19" s="20">
        <f t="shared" si="6"/>
        <v>0</v>
      </c>
      <c r="J19" s="20">
        <f t="shared" si="6"/>
        <v>410600</v>
      </c>
      <c r="K19" s="20">
        <f t="shared" si="6"/>
        <v>336750</v>
      </c>
      <c r="L19" s="20">
        <f t="shared" si="6"/>
        <v>0</v>
      </c>
      <c r="M19" s="187">
        <f t="shared" si="3"/>
        <v>100</v>
      </c>
      <c r="N19" s="20">
        <f t="shared" si="6"/>
        <v>0</v>
      </c>
      <c r="O19" s="20">
        <f t="shared" si="6"/>
        <v>0</v>
      </c>
      <c r="P19" s="20">
        <f t="shared" si="6"/>
        <v>0</v>
      </c>
      <c r="Q19" s="20">
        <f t="shared" si="6"/>
        <v>0</v>
      </c>
      <c r="R19" s="20">
        <f t="shared" si="6"/>
        <v>0</v>
      </c>
      <c r="S19" s="20">
        <f t="shared" si="6"/>
        <v>0</v>
      </c>
      <c r="T19" s="20">
        <f t="shared" si="6"/>
        <v>0</v>
      </c>
      <c r="U19" s="20">
        <f t="shared" si="6"/>
        <v>0</v>
      </c>
      <c r="V19" s="20">
        <f t="shared" si="6"/>
        <v>0</v>
      </c>
      <c r="W19" s="20">
        <f t="shared" si="6"/>
        <v>0</v>
      </c>
      <c r="X19" s="20">
        <f t="shared" si="6"/>
        <v>0</v>
      </c>
      <c r="Y19" s="20">
        <f t="shared" si="6"/>
        <v>0</v>
      </c>
      <c r="Z19" s="187"/>
      <c r="AA19" s="20">
        <f>AA69</f>
        <v>410600</v>
      </c>
      <c r="AB19" s="20">
        <f t="shared" ref="AB19" si="7">AB69</f>
        <v>410600</v>
      </c>
      <c r="AC19" s="111"/>
    </row>
    <row r="20" spans="1:29" s="21" customFormat="1" ht="98.25" customHeight="1" x14ac:dyDescent="0.25">
      <c r="A20" s="17"/>
      <c r="B20" s="18"/>
      <c r="C20" s="18"/>
      <c r="D20" s="19" t="str">
        <f>D67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0" s="20">
        <f t="shared" ref="E20:AB20" si="8">E67+E27+E45</f>
        <v>464000</v>
      </c>
      <c r="F20" s="20">
        <f t="shared" ref="F20:AA20" si="9">F67+F27+F45</f>
        <v>464000</v>
      </c>
      <c r="G20" s="20">
        <f t="shared" si="9"/>
        <v>0</v>
      </c>
      <c r="H20" s="20">
        <f t="shared" si="9"/>
        <v>0</v>
      </c>
      <c r="I20" s="20">
        <f t="shared" si="9"/>
        <v>0</v>
      </c>
      <c r="J20" s="20">
        <f t="shared" si="9"/>
        <v>312080.40000000002</v>
      </c>
      <c r="K20" s="20">
        <f t="shared" si="9"/>
        <v>0</v>
      </c>
      <c r="L20" s="20">
        <f t="shared" si="9"/>
        <v>0</v>
      </c>
      <c r="M20" s="187">
        <f t="shared" si="3"/>
        <v>67.258706896551729</v>
      </c>
      <c r="N20" s="20">
        <f t="shared" si="9"/>
        <v>20350</v>
      </c>
      <c r="O20" s="20">
        <f t="shared" si="9"/>
        <v>20350</v>
      </c>
      <c r="P20" s="20">
        <f t="shared" si="9"/>
        <v>0</v>
      </c>
      <c r="Q20" s="20">
        <f t="shared" si="9"/>
        <v>0</v>
      </c>
      <c r="R20" s="20">
        <f t="shared" si="9"/>
        <v>0</v>
      </c>
      <c r="S20" s="20">
        <f t="shared" si="9"/>
        <v>20350</v>
      </c>
      <c r="T20" s="20">
        <f t="shared" si="9"/>
        <v>20350</v>
      </c>
      <c r="U20" s="20">
        <f t="shared" si="9"/>
        <v>20350</v>
      </c>
      <c r="V20" s="20">
        <f t="shared" si="9"/>
        <v>0</v>
      </c>
      <c r="W20" s="20">
        <f t="shared" si="9"/>
        <v>0</v>
      </c>
      <c r="X20" s="20">
        <f t="shared" si="9"/>
        <v>0</v>
      </c>
      <c r="Y20" s="20">
        <f t="shared" si="9"/>
        <v>20350</v>
      </c>
      <c r="Z20" s="187">
        <f t="shared" si="4"/>
        <v>100</v>
      </c>
      <c r="AA20" s="20">
        <f t="shared" si="9"/>
        <v>332430.40000000002</v>
      </c>
      <c r="AB20" s="20">
        <f t="shared" si="8"/>
        <v>484350</v>
      </c>
      <c r="AC20" s="111"/>
    </row>
    <row r="21" spans="1:29" s="21" customFormat="1" ht="58.5" customHeight="1" x14ac:dyDescent="0.25">
      <c r="A21" s="17"/>
      <c r="B21" s="18"/>
      <c r="C21" s="18"/>
      <c r="D21" s="19" t="s">
        <v>726</v>
      </c>
      <c r="E21" s="20">
        <f>E33</f>
        <v>0</v>
      </c>
      <c r="F21" s="20">
        <f t="shared" ref="F21:AA21" si="10">F33</f>
        <v>0</v>
      </c>
      <c r="G21" s="20">
        <f t="shared" si="10"/>
        <v>0</v>
      </c>
      <c r="H21" s="20">
        <f t="shared" si="10"/>
        <v>0</v>
      </c>
      <c r="I21" s="20">
        <f t="shared" si="10"/>
        <v>0</v>
      </c>
      <c r="J21" s="20">
        <f t="shared" si="10"/>
        <v>0</v>
      </c>
      <c r="K21" s="20">
        <f t="shared" si="10"/>
        <v>0</v>
      </c>
      <c r="L21" s="20">
        <f t="shared" si="10"/>
        <v>0</v>
      </c>
      <c r="M21" s="187"/>
      <c r="N21" s="20">
        <f t="shared" si="10"/>
        <v>2000000</v>
      </c>
      <c r="O21" s="20">
        <f t="shared" si="10"/>
        <v>2000000</v>
      </c>
      <c r="P21" s="20">
        <f t="shared" si="10"/>
        <v>0</v>
      </c>
      <c r="Q21" s="20">
        <f t="shared" si="10"/>
        <v>0</v>
      </c>
      <c r="R21" s="20">
        <f t="shared" si="10"/>
        <v>0</v>
      </c>
      <c r="S21" s="20">
        <f t="shared" si="10"/>
        <v>2000000</v>
      </c>
      <c r="T21" s="20">
        <f t="shared" si="10"/>
        <v>0</v>
      </c>
      <c r="U21" s="20">
        <f t="shared" si="10"/>
        <v>0</v>
      </c>
      <c r="V21" s="20">
        <f t="shared" si="10"/>
        <v>0</v>
      </c>
      <c r="W21" s="20">
        <f t="shared" si="10"/>
        <v>0</v>
      </c>
      <c r="X21" s="20">
        <f t="shared" si="10"/>
        <v>0</v>
      </c>
      <c r="Y21" s="20">
        <f t="shared" si="10"/>
        <v>0</v>
      </c>
      <c r="Z21" s="187">
        <f t="shared" si="4"/>
        <v>0</v>
      </c>
      <c r="AA21" s="20">
        <f t="shared" si="10"/>
        <v>0</v>
      </c>
      <c r="AB21" s="20">
        <f t="shared" ref="AB21" si="11">AB33</f>
        <v>2000000</v>
      </c>
      <c r="AC21" s="111"/>
    </row>
    <row r="22" spans="1:29" s="21" customFormat="1" ht="26.65" hidden="1" customHeight="1" x14ac:dyDescent="0.25">
      <c r="A22" s="17"/>
      <c r="B22" s="18"/>
      <c r="C22" s="18"/>
      <c r="D22" s="19" t="str">
        <f>D72</f>
        <v>іншої субвенції з місцевого бюджету</v>
      </c>
      <c r="E22" s="20">
        <f>E72</f>
        <v>0</v>
      </c>
      <c r="F22" s="20">
        <f t="shared" ref="F22:AA22" si="12">F72</f>
        <v>0</v>
      </c>
      <c r="G22" s="20">
        <f t="shared" si="12"/>
        <v>0</v>
      </c>
      <c r="H22" s="20">
        <f t="shared" si="12"/>
        <v>0</v>
      </c>
      <c r="I22" s="20">
        <f t="shared" si="12"/>
        <v>0</v>
      </c>
      <c r="J22" s="20">
        <f t="shared" si="12"/>
        <v>0</v>
      </c>
      <c r="K22" s="20">
        <f t="shared" si="12"/>
        <v>0</v>
      </c>
      <c r="L22" s="20">
        <f t="shared" si="12"/>
        <v>0</v>
      </c>
      <c r="M22" s="187"/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si="12"/>
        <v>0</v>
      </c>
      <c r="U22" s="20">
        <f t="shared" si="12"/>
        <v>0</v>
      </c>
      <c r="V22" s="20">
        <f t="shared" si="12"/>
        <v>0</v>
      </c>
      <c r="W22" s="20">
        <f t="shared" si="12"/>
        <v>0</v>
      </c>
      <c r="X22" s="20">
        <f t="shared" si="12"/>
        <v>0</v>
      </c>
      <c r="Y22" s="20">
        <f t="shared" si="12"/>
        <v>0</v>
      </c>
      <c r="Z22" s="187" t="e">
        <f t="shared" si="4"/>
        <v>#DIV/0!</v>
      </c>
      <c r="AA22" s="20">
        <f t="shared" si="12"/>
        <v>0</v>
      </c>
      <c r="AB22" s="20">
        <f t="shared" ref="AB22" si="13">AB72</f>
        <v>0</v>
      </c>
      <c r="AC22" s="111"/>
    </row>
    <row r="23" spans="1:29" s="21" customFormat="1" ht="15.75" x14ac:dyDescent="0.25">
      <c r="A23" s="17"/>
      <c r="B23" s="18"/>
      <c r="C23" s="18"/>
      <c r="D23" s="19" t="str">
        <f>D65</f>
        <v>грантів (дарунків)</v>
      </c>
      <c r="E23" s="20">
        <f>E65</f>
        <v>0</v>
      </c>
      <c r="F23" s="20">
        <f t="shared" ref="F23:AA23" si="14">F65</f>
        <v>0</v>
      </c>
      <c r="G23" s="20">
        <f t="shared" si="14"/>
        <v>0</v>
      </c>
      <c r="H23" s="20">
        <f t="shared" si="14"/>
        <v>0</v>
      </c>
      <c r="I23" s="20">
        <f t="shared" si="14"/>
        <v>0</v>
      </c>
      <c r="J23" s="20">
        <f t="shared" si="14"/>
        <v>0</v>
      </c>
      <c r="K23" s="20">
        <f t="shared" si="14"/>
        <v>0</v>
      </c>
      <c r="L23" s="20">
        <f t="shared" si="14"/>
        <v>0</v>
      </c>
      <c r="M23" s="187"/>
      <c r="N23" s="20">
        <f t="shared" si="14"/>
        <v>85265</v>
      </c>
      <c r="O23" s="20">
        <f t="shared" si="14"/>
        <v>0</v>
      </c>
      <c r="P23" s="20">
        <f t="shared" si="14"/>
        <v>85265</v>
      </c>
      <c r="Q23" s="20">
        <f t="shared" si="14"/>
        <v>0</v>
      </c>
      <c r="R23" s="20">
        <f t="shared" si="14"/>
        <v>0</v>
      </c>
      <c r="S23" s="20">
        <f t="shared" si="14"/>
        <v>0</v>
      </c>
      <c r="T23" s="20">
        <f t="shared" si="14"/>
        <v>85000</v>
      </c>
      <c r="U23" s="20">
        <f t="shared" si="14"/>
        <v>0</v>
      </c>
      <c r="V23" s="20">
        <f t="shared" si="14"/>
        <v>85000</v>
      </c>
      <c r="W23" s="20">
        <f t="shared" si="14"/>
        <v>0</v>
      </c>
      <c r="X23" s="20">
        <f t="shared" si="14"/>
        <v>0</v>
      </c>
      <c r="Y23" s="20">
        <f t="shared" si="14"/>
        <v>0</v>
      </c>
      <c r="Z23" s="187">
        <f t="shared" si="4"/>
        <v>99.689204245587277</v>
      </c>
      <c r="AA23" s="20">
        <f t="shared" si="14"/>
        <v>85000</v>
      </c>
      <c r="AB23" s="20">
        <f t="shared" ref="AB23" si="15">AB65</f>
        <v>85265</v>
      </c>
      <c r="AC23" s="111"/>
    </row>
    <row r="24" spans="1:29" s="26" customFormat="1" ht="45.75" customHeight="1" x14ac:dyDescent="0.25">
      <c r="A24" s="22" t="s">
        <v>143</v>
      </c>
      <c r="B24" s="23" t="str">
        <f>'дод 5'!A21</f>
        <v>0160</v>
      </c>
      <c r="C24" s="23" t="str">
        <f>'дод 5'!B21</f>
        <v>0111</v>
      </c>
      <c r="D24" s="24" t="s">
        <v>707</v>
      </c>
      <c r="E24" s="25">
        <f>F24+I24</f>
        <v>140765358.56</v>
      </c>
      <c r="F24" s="25">
        <f>127421600-92800+5000+610000-324900-213300-499580-835600+2387051+782800+9744200+1769000+191575.56+172403-52600+91600-418764+27673</f>
        <v>140765358.56</v>
      </c>
      <c r="G24" s="25">
        <f>92423800-266300-174850-409550-684900+1956648+641800+7993600+1450000-343249+400000-87000+22683</f>
        <v>102922682</v>
      </c>
      <c r="H24" s="25">
        <f>6355400-92800+5000</f>
        <v>6267600</v>
      </c>
      <c r="I24" s="25"/>
      <c r="J24" s="25">
        <v>138676536.08000001</v>
      </c>
      <c r="K24" s="25">
        <v>102922682</v>
      </c>
      <c r="L24" s="25">
        <v>4819857.95</v>
      </c>
      <c r="M24" s="181">
        <f t="shared" si="3"/>
        <v>98.516096217586352</v>
      </c>
      <c r="N24" s="25">
        <f>P24+S24</f>
        <v>14643479</v>
      </c>
      <c r="O24" s="25">
        <f>4000000+10590879+52600</f>
        <v>14643479</v>
      </c>
      <c r="P24" s="25"/>
      <c r="Q24" s="25"/>
      <c r="R24" s="25"/>
      <c r="S24" s="25">
        <f>4000000+10590879+52600</f>
        <v>14643479</v>
      </c>
      <c r="T24" s="15">
        <f>V24+Y24</f>
        <v>20542520.059999999</v>
      </c>
      <c r="U24" s="25">
        <v>1079103.05</v>
      </c>
      <c r="V24" s="25">
        <v>13110938.289999999</v>
      </c>
      <c r="W24" s="25"/>
      <c r="X24" s="25"/>
      <c r="Y24" s="25">
        <v>7431581.7699999996</v>
      </c>
      <c r="Z24" s="181" t="s">
        <v>769</v>
      </c>
      <c r="AA24" s="25">
        <f t="shared" ref="AA24:AA76" si="16">J24+T24</f>
        <v>159219056.14000002</v>
      </c>
      <c r="AB24" s="25">
        <f>E24+N24</f>
        <v>155408837.56</v>
      </c>
      <c r="AC24" s="111"/>
    </row>
    <row r="25" spans="1:29" s="26" customFormat="1" ht="35.25" hidden="1" customHeight="1" x14ac:dyDescent="0.25">
      <c r="A25" s="22" t="s">
        <v>422</v>
      </c>
      <c r="B25" s="22" t="s">
        <v>86</v>
      </c>
      <c r="C25" s="22" t="s">
        <v>432</v>
      </c>
      <c r="D25" s="24" t="s">
        <v>423</v>
      </c>
      <c r="E25" s="25">
        <f t="shared" ref="E25:E75" si="17">F25+I25</f>
        <v>0</v>
      </c>
      <c r="F25" s="25"/>
      <c r="G25" s="25"/>
      <c r="H25" s="25"/>
      <c r="I25" s="25"/>
      <c r="J25" s="25"/>
      <c r="K25" s="25"/>
      <c r="L25" s="25"/>
      <c r="M25" s="181" t="e">
        <f t="shared" si="3"/>
        <v>#DIV/0!</v>
      </c>
      <c r="N25" s="25">
        <f>P25+S25</f>
        <v>0</v>
      </c>
      <c r="O25" s="25"/>
      <c r="P25" s="25"/>
      <c r="Q25" s="25"/>
      <c r="R25" s="25"/>
      <c r="S25" s="25"/>
      <c r="T25" s="15">
        <f t="shared" ref="T25:T76" si="18">V25+Y25</f>
        <v>0</v>
      </c>
      <c r="U25" s="25"/>
      <c r="V25" s="25"/>
      <c r="W25" s="25"/>
      <c r="X25" s="25"/>
      <c r="Y25" s="25"/>
      <c r="Z25" s="181" t="e">
        <f t="shared" si="4"/>
        <v>#DIV/0!</v>
      </c>
      <c r="AA25" s="25">
        <f t="shared" si="16"/>
        <v>0</v>
      </c>
      <c r="AB25" s="25">
        <f t="shared" ref="AB25:AB76" si="19">E25+N25</f>
        <v>0</v>
      </c>
      <c r="AC25" s="111"/>
    </row>
    <row r="26" spans="1:29" s="26" customFormat="1" ht="36" customHeight="1" x14ac:dyDescent="0.25">
      <c r="A26" s="22" t="s">
        <v>233</v>
      </c>
      <c r="B26" s="23" t="str">
        <f>'дод 5'!A24</f>
        <v>0180</v>
      </c>
      <c r="C26" s="23" t="str">
        <f>'дод 5'!B24</f>
        <v>0133</v>
      </c>
      <c r="D26" s="24" t="str">
        <f>'дод 5'!C24</f>
        <v>Інша діяльність у сфері державного управління, у т.ч.за рахунок:</v>
      </c>
      <c r="E26" s="25">
        <f t="shared" si="17"/>
        <v>2318600</v>
      </c>
      <c r="F26" s="25">
        <f>1000000+3200400+208800-1084000-795000-560200+48600+300000</f>
        <v>2318600</v>
      </c>
      <c r="G26" s="25"/>
      <c r="H26" s="25"/>
      <c r="I26" s="25"/>
      <c r="J26" s="25">
        <v>1715752.87</v>
      </c>
      <c r="K26" s="25"/>
      <c r="L26" s="25"/>
      <c r="M26" s="181">
        <f t="shared" si="3"/>
        <v>73.999519968946785</v>
      </c>
      <c r="N26" s="25">
        <f t="shared" ref="N26:N29" si="20">P26+S26</f>
        <v>0</v>
      </c>
      <c r="O26" s="25"/>
      <c r="P26" s="25"/>
      <c r="Q26" s="25"/>
      <c r="R26" s="25"/>
      <c r="S26" s="25"/>
      <c r="T26" s="15">
        <f t="shared" si="18"/>
        <v>0</v>
      </c>
      <c r="U26" s="25"/>
      <c r="V26" s="25"/>
      <c r="W26" s="25"/>
      <c r="X26" s="25"/>
      <c r="Y26" s="25"/>
      <c r="Z26" s="181"/>
      <c r="AA26" s="25">
        <f t="shared" si="16"/>
        <v>1715752.87</v>
      </c>
      <c r="AB26" s="25">
        <f t="shared" si="19"/>
        <v>2318600</v>
      </c>
      <c r="AC26" s="111"/>
    </row>
    <row r="27" spans="1:29" s="31" customFormat="1" ht="102" customHeight="1" x14ac:dyDescent="0.25">
      <c r="A27" s="27"/>
      <c r="B27" s="28"/>
      <c r="C27" s="28"/>
      <c r="D27" s="29" t="str">
        <f>'дод 5'!C25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7" s="30">
        <f t="shared" ref="E27" si="21">F27+I27</f>
        <v>300000</v>
      </c>
      <c r="F27" s="30">
        <v>300000</v>
      </c>
      <c r="G27" s="30"/>
      <c r="H27" s="30"/>
      <c r="I27" s="30"/>
      <c r="J27" s="30">
        <v>148080.4</v>
      </c>
      <c r="K27" s="30"/>
      <c r="L27" s="30"/>
      <c r="M27" s="182">
        <f t="shared" si="3"/>
        <v>49.360133333333337</v>
      </c>
      <c r="N27" s="30">
        <f t="shared" ref="N27" si="22">P27+S27</f>
        <v>0</v>
      </c>
      <c r="O27" s="30"/>
      <c r="P27" s="30"/>
      <c r="Q27" s="30"/>
      <c r="R27" s="30"/>
      <c r="S27" s="30"/>
      <c r="T27" s="15">
        <f t="shared" si="18"/>
        <v>0</v>
      </c>
      <c r="U27" s="30"/>
      <c r="V27" s="30"/>
      <c r="W27" s="30"/>
      <c r="X27" s="30"/>
      <c r="Y27" s="30"/>
      <c r="Z27" s="182"/>
      <c r="AA27" s="30">
        <f t="shared" si="16"/>
        <v>148080.4</v>
      </c>
      <c r="AB27" s="30">
        <f t="shared" ref="AB27" si="23">E27+N27</f>
        <v>300000</v>
      </c>
      <c r="AC27" s="111"/>
    </row>
    <row r="28" spans="1:29" s="26" customFormat="1" ht="15.75" hidden="1" customHeight="1" x14ac:dyDescent="0.25">
      <c r="A28" s="22" t="s">
        <v>410</v>
      </c>
      <c r="B28" s="22" t="s">
        <v>411</v>
      </c>
      <c r="C28" s="22" t="s">
        <v>114</v>
      </c>
      <c r="D28" s="24" t="s">
        <v>412</v>
      </c>
      <c r="E28" s="25">
        <f t="shared" si="17"/>
        <v>0</v>
      </c>
      <c r="F28" s="25"/>
      <c r="G28" s="25"/>
      <c r="H28" s="25"/>
      <c r="I28" s="25"/>
      <c r="J28" s="25"/>
      <c r="K28" s="25"/>
      <c r="L28" s="25"/>
      <c r="M28" s="181" t="e">
        <f t="shared" si="3"/>
        <v>#DIV/0!</v>
      </c>
      <c r="N28" s="25">
        <f t="shared" si="20"/>
        <v>0</v>
      </c>
      <c r="O28" s="25"/>
      <c r="P28" s="25"/>
      <c r="Q28" s="25"/>
      <c r="R28" s="25"/>
      <c r="S28" s="25"/>
      <c r="T28" s="15">
        <f t="shared" si="18"/>
        <v>0</v>
      </c>
      <c r="U28" s="25"/>
      <c r="V28" s="25"/>
      <c r="W28" s="25"/>
      <c r="X28" s="25"/>
      <c r="Y28" s="25"/>
      <c r="Z28" s="181"/>
      <c r="AA28" s="25">
        <f t="shared" si="16"/>
        <v>0</v>
      </c>
      <c r="AB28" s="25">
        <f t="shared" si="19"/>
        <v>0</v>
      </c>
      <c r="AC28" s="111"/>
    </row>
    <row r="29" spans="1:29" s="31" customFormat="1" ht="61.5" hidden="1" customHeight="1" x14ac:dyDescent="0.25">
      <c r="A29" s="27"/>
      <c r="B29" s="32"/>
      <c r="C29" s="32"/>
      <c r="D29" s="29" t="str">
        <f>'дод 5'!C27</f>
        <v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v>
      </c>
      <c r="E29" s="30">
        <f t="shared" si="17"/>
        <v>0</v>
      </c>
      <c r="F29" s="30"/>
      <c r="G29" s="30"/>
      <c r="H29" s="30"/>
      <c r="I29" s="30"/>
      <c r="J29" s="30"/>
      <c r="K29" s="30"/>
      <c r="L29" s="30"/>
      <c r="M29" s="182" t="e">
        <f t="shared" si="3"/>
        <v>#DIV/0!</v>
      </c>
      <c r="N29" s="30">
        <f t="shared" si="20"/>
        <v>0</v>
      </c>
      <c r="O29" s="30"/>
      <c r="P29" s="30"/>
      <c r="Q29" s="30"/>
      <c r="R29" s="30"/>
      <c r="S29" s="30"/>
      <c r="T29" s="15">
        <f t="shared" si="18"/>
        <v>0</v>
      </c>
      <c r="U29" s="30"/>
      <c r="V29" s="30"/>
      <c r="W29" s="30"/>
      <c r="X29" s="30"/>
      <c r="Y29" s="30"/>
      <c r="Z29" s="182"/>
      <c r="AA29" s="30">
        <f t="shared" si="16"/>
        <v>0</v>
      </c>
      <c r="AB29" s="30">
        <f t="shared" si="19"/>
        <v>0</v>
      </c>
      <c r="AC29" s="111"/>
    </row>
    <row r="30" spans="1:29" s="26" customFormat="1" ht="47.25" customHeight="1" x14ac:dyDescent="0.25">
      <c r="A30" s="22" t="s">
        <v>248</v>
      </c>
      <c r="B30" s="23" t="str">
        <f>'дод 5'!A148</f>
        <v>3033</v>
      </c>
      <c r="C30" s="23" t="str">
        <f>'дод 5'!B148</f>
        <v>1070</v>
      </c>
      <c r="D30" s="24" t="s">
        <v>391</v>
      </c>
      <c r="E30" s="25">
        <f t="shared" si="17"/>
        <v>555700</v>
      </c>
      <c r="F30" s="25">
        <v>555700</v>
      </c>
      <c r="G30" s="25"/>
      <c r="H30" s="25"/>
      <c r="I30" s="25"/>
      <c r="J30" s="25">
        <v>555648</v>
      </c>
      <c r="K30" s="25"/>
      <c r="L30" s="25"/>
      <c r="M30" s="181">
        <f t="shared" si="3"/>
        <v>99.990642432967419</v>
      </c>
      <c r="N30" s="25">
        <f t="shared" ref="N30:N76" si="24">P30+S30</f>
        <v>0</v>
      </c>
      <c r="O30" s="25"/>
      <c r="P30" s="25"/>
      <c r="Q30" s="25"/>
      <c r="R30" s="25"/>
      <c r="S30" s="25"/>
      <c r="T30" s="15">
        <f t="shared" si="18"/>
        <v>0</v>
      </c>
      <c r="U30" s="25"/>
      <c r="V30" s="25"/>
      <c r="W30" s="25"/>
      <c r="X30" s="25"/>
      <c r="Y30" s="25"/>
      <c r="Z30" s="181"/>
      <c r="AA30" s="25">
        <f t="shared" si="16"/>
        <v>555648</v>
      </c>
      <c r="AB30" s="25">
        <f t="shared" si="19"/>
        <v>555700</v>
      </c>
      <c r="AC30" s="111"/>
    </row>
    <row r="31" spans="1:29" s="26" customFormat="1" ht="31.5" customHeight="1" x14ac:dyDescent="0.25">
      <c r="A31" s="22" t="s">
        <v>144</v>
      </c>
      <c r="B31" s="23" t="str">
        <f>'дод 5'!A151</f>
        <v>3036</v>
      </c>
      <c r="C31" s="23" t="str">
        <f>'дод 5'!B151</f>
        <v>1070</v>
      </c>
      <c r="D31" s="24" t="str">
        <f>'дод 5'!C151</f>
        <v>Компенсаційні виплати на пільговий проїзд електротранспортом окремим категоріям громадян</v>
      </c>
      <c r="E31" s="25">
        <f t="shared" si="17"/>
        <v>966300</v>
      </c>
      <c r="F31" s="25">
        <v>966300</v>
      </c>
      <c r="G31" s="25"/>
      <c r="H31" s="25"/>
      <c r="I31" s="25"/>
      <c r="J31" s="25">
        <v>966272</v>
      </c>
      <c r="K31" s="25"/>
      <c r="L31" s="25"/>
      <c r="M31" s="181">
        <f t="shared" si="3"/>
        <v>99.997102349166923</v>
      </c>
      <c r="N31" s="25">
        <f t="shared" si="24"/>
        <v>0</v>
      </c>
      <c r="O31" s="25"/>
      <c r="P31" s="25"/>
      <c r="Q31" s="25"/>
      <c r="R31" s="25"/>
      <c r="S31" s="25"/>
      <c r="T31" s="15">
        <f t="shared" si="18"/>
        <v>0</v>
      </c>
      <c r="U31" s="25"/>
      <c r="V31" s="25"/>
      <c r="W31" s="25"/>
      <c r="X31" s="25"/>
      <c r="Y31" s="25"/>
      <c r="Z31" s="181"/>
      <c r="AA31" s="25">
        <f t="shared" si="16"/>
        <v>966272</v>
      </c>
      <c r="AB31" s="25">
        <f t="shared" si="19"/>
        <v>966300</v>
      </c>
      <c r="AC31" s="111"/>
    </row>
    <row r="32" spans="1:29" s="26" customFormat="1" ht="36" customHeight="1" x14ac:dyDescent="0.25">
      <c r="A32" s="22" t="s">
        <v>145</v>
      </c>
      <c r="B32" s="23" t="str">
        <f>'дод 5'!A159</f>
        <v>3121</v>
      </c>
      <c r="C32" s="23" t="str">
        <f>'дод 5'!B159</f>
        <v>1040</v>
      </c>
      <c r="D32" s="24" t="str">
        <f>'дод 5'!C159</f>
        <v>Утримання та забезпечення діяльності центрів соціальних служб, у т.ч. за рахунок:</v>
      </c>
      <c r="E32" s="25">
        <f t="shared" si="17"/>
        <v>4262000</v>
      </c>
      <c r="F32" s="25">
        <f>4383800-231800+110000</f>
        <v>4262000</v>
      </c>
      <c r="G32" s="25">
        <f>3236100-190000</f>
        <v>3046100</v>
      </c>
      <c r="H32" s="25">
        <v>106600</v>
      </c>
      <c r="I32" s="25"/>
      <c r="J32" s="25">
        <v>4092171.46</v>
      </c>
      <c r="K32" s="25">
        <v>3046082.5600000001</v>
      </c>
      <c r="L32" s="25">
        <v>88373.63</v>
      </c>
      <c r="M32" s="181">
        <f t="shared" si="3"/>
        <v>96.015285312060058</v>
      </c>
      <c r="N32" s="25">
        <f t="shared" si="24"/>
        <v>2100000</v>
      </c>
      <c r="O32" s="25">
        <f>100000+2000000</f>
        <v>2100000</v>
      </c>
      <c r="P32" s="25"/>
      <c r="Q32" s="25"/>
      <c r="R32" s="25"/>
      <c r="S32" s="25">
        <f>100000+2000000</f>
        <v>2100000</v>
      </c>
      <c r="T32" s="15">
        <f t="shared" si="18"/>
        <v>0</v>
      </c>
      <c r="U32" s="25"/>
      <c r="V32" s="25"/>
      <c r="W32" s="25"/>
      <c r="X32" s="25"/>
      <c r="Y32" s="25"/>
      <c r="Z32" s="181">
        <f t="shared" si="4"/>
        <v>0</v>
      </c>
      <c r="AA32" s="25">
        <f>J32+T32</f>
        <v>4092171.46</v>
      </c>
      <c r="AB32" s="25">
        <f t="shared" si="19"/>
        <v>6362000</v>
      </c>
      <c r="AC32" s="111"/>
    </row>
    <row r="33" spans="1:29" s="31" customFormat="1" ht="68.25" customHeight="1" x14ac:dyDescent="0.25">
      <c r="A33" s="27"/>
      <c r="B33" s="28">
        <f>'дод 5'!A160</f>
        <v>0</v>
      </c>
      <c r="C33" s="28">
        <f>'дод 5'!B160</f>
        <v>0</v>
      </c>
      <c r="D33" s="43" t="str">
        <f>'дод 5'!C160</f>
        <v>субвенції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v>
      </c>
      <c r="E33" s="30">
        <f t="shared" si="17"/>
        <v>0</v>
      </c>
      <c r="F33" s="30"/>
      <c r="G33" s="30"/>
      <c r="H33" s="30"/>
      <c r="I33" s="30"/>
      <c r="J33" s="30"/>
      <c r="K33" s="30"/>
      <c r="L33" s="30"/>
      <c r="M33" s="182"/>
      <c r="N33" s="30">
        <f t="shared" si="24"/>
        <v>2000000</v>
      </c>
      <c r="O33" s="30">
        <v>2000000</v>
      </c>
      <c r="P33" s="30"/>
      <c r="Q33" s="30"/>
      <c r="R33" s="30"/>
      <c r="S33" s="30">
        <v>2000000</v>
      </c>
      <c r="T33" s="15">
        <f t="shared" si="18"/>
        <v>0</v>
      </c>
      <c r="U33" s="30"/>
      <c r="V33" s="30"/>
      <c r="W33" s="30"/>
      <c r="X33" s="30"/>
      <c r="Y33" s="30"/>
      <c r="Z33" s="182">
        <f t="shared" si="4"/>
        <v>0</v>
      </c>
      <c r="AA33" s="30">
        <f t="shared" si="16"/>
        <v>0</v>
      </c>
      <c r="AB33" s="30">
        <f t="shared" si="19"/>
        <v>2000000</v>
      </c>
      <c r="AC33" s="111"/>
    </row>
    <row r="34" spans="1:29" s="26" customFormat="1" ht="42" customHeight="1" x14ac:dyDescent="0.25">
      <c r="A34" s="22" t="s">
        <v>146</v>
      </c>
      <c r="B34" s="23" t="str">
        <f>'дод 5'!A161</f>
        <v>3131</v>
      </c>
      <c r="C34" s="23" t="str">
        <f>'дод 5'!B161</f>
        <v>1040</v>
      </c>
      <c r="D34" s="24" t="str">
        <f>'дод 5'!C161</f>
        <v>Здійснення заходів та реалізація проектів на виконання Державної цільової соціальної програми "Молодь України"</v>
      </c>
      <c r="E34" s="25">
        <f t="shared" si="17"/>
        <v>500000</v>
      </c>
      <c r="F34" s="25">
        <f>1000000-500000</f>
        <v>500000</v>
      </c>
      <c r="G34" s="25"/>
      <c r="H34" s="25"/>
      <c r="I34" s="25"/>
      <c r="J34" s="25">
        <v>483760</v>
      </c>
      <c r="K34" s="25"/>
      <c r="L34" s="25"/>
      <c r="M34" s="181">
        <f t="shared" si="3"/>
        <v>96.75200000000001</v>
      </c>
      <c r="N34" s="25">
        <f t="shared" si="24"/>
        <v>0</v>
      </c>
      <c r="O34" s="25"/>
      <c r="P34" s="25"/>
      <c r="Q34" s="25"/>
      <c r="R34" s="25"/>
      <c r="S34" s="25"/>
      <c r="T34" s="15">
        <f t="shared" si="18"/>
        <v>0</v>
      </c>
      <c r="U34" s="25"/>
      <c r="V34" s="25"/>
      <c r="W34" s="25"/>
      <c r="X34" s="25"/>
      <c r="Y34" s="25"/>
      <c r="Z34" s="181"/>
      <c r="AA34" s="25">
        <f t="shared" si="16"/>
        <v>483760</v>
      </c>
      <c r="AB34" s="25">
        <f t="shared" si="19"/>
        <v>500000</v>
      </c>
      <c r="AC34" s="111"/>
    </row>
    <row r="35" spans="1:29" s="26" customFormat="1" ht="21.75" customHeight="1" x14ac:dyDescent="0.25">
      <c r="A35" s="22" t="s">
        <v>533</v>
      </c>
      <c r="B35" s="23">
        <v>3133</v>
      </c>
      <c r="C35" s="23">
        <v>1040</v>
      </c>
      <c r="D35" s="24" t="str">
        <f>'дод 5'!C162</f>
        <v>Інші заходи та заклади молодіжної політики</v>
      </c>
      <c r="E35" s="25">
        <f t="shared" si="17"/>
        <v>6017000</v>
      </c>
      <c r="F35" s="25">
        <f>6227600+70000-280600</f>
        <v>6017000</v>
      </c>
      <c r="G35" s="25">
        <f>3587200-230000</f>
        <v>3357200</v>
      </c>
      <c r="H35" s="25">
        <v>1085700</v>
      </c>
      <c r="I35" s="25"/>
      <c r="J35" s="25">
        <v>5566990.5899999999</v>
      </c>
      <c r="K35" s="25">
        <v>3355220.27</v>
      </c>
      <c r="L35" s="25">
        <v>691013.44</v>
      </c>
      <c r="M35" s="181">
        <f t="shared" si="3"/>
        <v>92.521033571547278</v>
      </c>
      <c r="N35" s="25">
        <f t="shared" si="24"/>
        <v>10000</v>
      </c>
      <c r="O35" s="25"/>
      <c r="P35" s="25">
        <v>10000</v>
      </c>
      <c r="Q35" s="25"/>
      <c r="R35" s="25">
        <v>3500</v>
      </c>
      <c r="S35" s="25"/>
      <c r="T35" s="15">
        <f t="shared" si="18"/>
        <v>457848.36</v>
      </c>
      <c r="U35" s="25"/>
      <c r="V35" s="25">
        <v>353548.36</v>
      </c>
      <c r="W35" s="25">
        <v>2663</v>
      </c>
      <c r="X35" s="25">
        <v>5192</v>
      </c>
      <c r="Y35" s="25">
        <v>104300</v>
      </c>
      <c r="Z35" s="181" t="s">
        <v>770</v>
      </c>
      <c r="AA35" s="25">
        <f t="shared" si="16"/>
        <v>6024838.9500000002</v>
      </c>
      <c r="AB35" s="25">
        <f t="shared" si="19"/>
        <v>6027000</v>
      </c>
      <c r="AC35" s="111"/>
    </row>
    <row r="36" spans="1:29" s="26" customFormat="1" ht="78.75" hidden="1" customHeight="1" x14ac:dyDescent="0.25">
      <c r="A36" s="22" t="s">
        <v>147</v>
      </c>
      <c r="B36" s="23" t="str">
        <f>'дод 5'!A163</f>
        <v>3140</v>
      </c>
      <c r="C36" s="23" t="str">
        <f>'дод 5'!B163</f>
        <v>1040</v>
      </c>
      <c r="D36" s="24" t="str">
        <f>'дод 5'!C163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36" s="25">
        <f t="shared" si="17"/>
        <v>0</v>
      </c>
      <c r="F36" s="25"/>
      <c r="G36" s="25"/>
      <c r="H36" s="25"/>
      <c r="I36" s="25"/>
      <c r="J36" s="25"/>
      <c r="K36" s="25"/>
      <c r="L36" s="25"/>
      <c r="M36" s="181" t="e">
        <f t="shared" si="3"/>
        <v>#DIV/0!</v>
      </c>
      <c r="N36" s="25">
        <f t="shared" si="24"/>
        <v>0</v>
      </c>
      <c r="O36" s="25"/>
      <c r="P36" s="25"/>
      <c r="Q36" s="25"/>
      <c r="R36" s="25"/>
      <c r="S36" s="25"/>
      <c r="T36" s="15">
        <f t="shared" si="18"/>
        <v>0</v>
      </c>
      <c r="U36" s="25"/>
      <c r="V36" s="25"/>
      <c r="W36" s="25"/>
      <c r="X36" s="25"/>
      <c r="Y36" s="25"/>
      <c r="Z36" s="181" t="e">
        <f t="shared" si="4"/>
        <v>#DIV/0!</v>
      </c>
      <c r="AA36" s="25">
        <f t="shared" si="16"/>
        <v>0</v>
      </c>
      <c r="AB36" s="25">
        <f t="shared" si="19"/>
        <v>0</v>
      </c>
      <c r="AC36" s="111"/>
    </row>
    <row r="37" spans="1:29" s="26" customFormat="1" ht="32.25" customHeight="1" x14ac:dyDescent="0.25">
      <c r="A37" s="22" t="s">
        <v>292</v>
      </c>
      <c r="B37" s="23" t="str">
        <f>'дод 5'!A184</f>
        <v>3241</v>
      </c>
      <c r="C37" s="23" t="str">
        <f>'дод 5'!B184</f>
        <v>1090</v>
      </c>
      <c r="D37" s="33" t="s">
        <v>280</v>
      </c>
      <c r="E37" s="25">
        <f t="shared" si="17"/>
        <v>1852953</v>
      </c>
      <c r="F37" s="25">
        <f>1931700-121000+42253</f>
        <v>1852953</v>
      </c>
      <c r="G37" s="25">
        <f>1270900-100000+42253</f>
        <v>1213153</v>
      </c>
      <c r="H37" s="25">
        <v>258800</v>
      </c>
      <c r="I37" s="25"/>
      <c r="J37" s="25">
        <v>1693637.94</v>
      </c>
      <c r="K37" s="25">
        <v>1201340.58</v>
      </c>
      <c r="L37" s="25">
        <v>168477.74</v>
      </c>
      <c r="M37" s="181">
        <f t="shared" si="3"/>
        <v>91.402099243747685</v>
      </c>
      <c r="N37" s="25">
        <f t="shared" si="24"/>
        <v>0</v>
      </c>
      <c r="O37" s="25"/>
      <c r="P37" s="25"/>
      <c r="Q37" s="25"/>
      <c r="R37" s="25"/>
      <c r="S37" s="25"/>
      <c r="T37" s="15">
        <f t="shared" si="18"/>
        <v>113.2</v>
      </c>
      <c r="U37" s="25"/>
      <c r="V37" s="25">
        <v>113.2</v>
      </c>
      <c r="W37" s="25"/>
      <c r="X37" s="25"/>
      <c r="Y37" s="25"/>
      <c r="Z37" s="181"/>
      <c r="AA37" s="25">
        <f t="shared" si="16"/>
        <v>1693751.14</v>
      </c>
      <c r="AB37" s="25">
        <f t="shared" si="19"/>
        <v>1852953</v>
      </c>
      <c r="AC37" s="198">
        <v>2</v>
      </c>
    </row>
    <row r="38" spans="1:29" s="26" customFormat="1" ht="33.75" customHeight="1" x14ac:dyDescent="0.25">
      <c r="A38" s="22" t="s">
        <v>293</v>
      </c>
      <c r="B38" s="23" t="str">
        <f>'дод 5'!A185</f>
        <v>3242</v>
      </c>
      <c r="C38" s="23" t="str">
        <f>'дод 5'!B185</f>
        <v>1090</v>
      </c>
      <c r="D38" s="24" t="s">
        <v>392</v>
      </c>
      <c r="E38" s="25">
        <f t="shared" si="17"/>
        <v>178232</v>
      </c>
      <c r="F38" s="25">
        <f>157100+21132</f>
        <v>178232</v>
      </c>
      <c r="G38" s="25"/>
      <c r="H38" s="25"/>
      <c r="I38" s="25"/>
      <c r="J38" s="25">
        <v>174489</v>
      </c>
      <c r="K38" s="25"/>
      <c r="L38" s="25"/>
      <c r="M38" s="181">
        <f t="shared" si="3"/>
        <v>97.899928183491184</v>
      </c>
      <c r="N38" s="25">
        <f t="shared" si="24"/>
        <v>0</v>
      </c>
      <c r="O38" s="25"/>
      <c r="P38" s="25"/>
      <c r="Q38" s="25"/>
      <c r="R38" s="25"/>
      <c r="S38" s="25"/>
      <c r="T38" s="15">
        <f t="shared" si="18"/>
        <v>0</v>
      </c>
      <c r="U38" s="25"/>
      <c r="V38" s="25"/>
      <c r="W38" s="25"/>
      <c r="X38" s="25"/>
      <c r="Y38" s="25"/>
      <c r="Z38" s="181"/>
      <c r="AA38" s="25">
        <f t="shared" si="16"/>
        <v>174489</v>
      </c>
      <c r="AB38" s="25">
        <f t="shared" si="19"/>
        <v>178232</v>
      </c>
      <c r="AC38" s="198"/>
    </row>
    <row r="39" spans="1:29" s="26" customFormat="1" ht="50.25" hidden="1" customHeight="1" x14ac:dyDescent="0.25">
      <c r="A39" s="22" t="s">
        <v>305</v>
      </c>
      <c r="B39" s="23" t="str">
        <f>'дод 5'!A191</f>
        <v>4060</v>
      </c>
      <c r="C39" s="23" t="str">
        <f>'дод 5'!B191</f>
        <v>0828</v>
      </c>
      <c r="D39" s="24" t="str">
        <f>'дод 5'!C191</f>
        <v>Забезпечення діяльності палаців i будинків культури, клубів, центрів дозвілля та iнших клубних закладів, у т.ч. за рахунок:</v>
      </c>
      <c r="E39" s="25">
        <f t="shared" si="17"/>
        <v>0</v>
      </c>
      <c r="F39" s="1"/>
      <c r="G39" s="25"/>
      <c r="H39" s="25"/>
      <c r="I39" s="25"/>
      <c r="J39" s="25"/>
      <c r="K39" s="25"/>
      <c r="L39" s="25"/>
      <c r="M39" s="181" t="e">
        <f t="shared" si="3"/>
        <v>#DIV/0!</v>
      </c>
      <c r="N39" s="25">
        <f t="shared" si="24"/>
        <v>0</v>
      </c>
      <c r="O39" s="25"/>
      <c r="P39" s="25"/>
      <c r="Q39" s="25"/>
      <c r="R39" s="25"/>
      <c r="S39" s="25"/>
      <c r="T39" s="15">
        <f t="shared" si="18"/>
        <v>0</v>
      </c>
      <c r="U39" s="25"/>
      <c r="V39" s="25"/>
      <c r="W39" s="25"/>
      <c r="X39" s="25"/>
      <c r="Y39" s="25"/>
      <c r="Z39" s="181"/>
      <c r="AA39" s="25">
        <f t="shared" si="16"/>
        <v>0</v>
      </c>
      <c r="AB39" s="25">
        <f t="shared" si="19"/>
        <v>0</v>
      </c>
      <c r="AC39" s="198"/>
    </row>
    <row r="40" spans="1:29" s="26" customFormat="1" ht="30.75" customHeight="1" x14ac:dyDescent="0.25">
      <c r="A40" s="22" t="s">
        <v>290</v>
      </c>
      <c r="B40" s="23" t="str">
        <f>'дод 5'!A193</f>
        <v>4081</v>
      </c>
      <c r="C40" s="23" t="str">
        <f>'дод 5'!B193</f>
        <v>0829</v>
      </c>
      <c r="D40" s="24" t="str">
        <f>'дод 5'!C193</f>
        <v>Забезпечення діяльності інших закладів в галузі культури і мистецтва</v>
      </c>
      <c r="E40" s="25">
        <f t="shared" si="17"/>
        <v>2998800</v>
      </c>
      <c r="F40" s="25">
        <f>3157300-158500</f>
        <v>2998800</v>
      </c>
      <c r="G40" s="25">
        <f>2128600-130000-3990</f>
        <v>1994610</v>
      </c>
      <c r="H40" s="25">
        <f>211100+39000</f>
        <v>250100</v>
      </c>
      <c r="I40" s="25"/>
      <c r="J40" s="25">
        <v>2943010.13</v>
      </c>
      <c r="K40" s="25">
        <v>1994607.02</v>
      </c>
      <c r="L40" s="25">
        <v>239920.44</v>
      </c>
      <c r="M40" s="181">
        <f t="shared" si="3"/>
        <v>98.139593504068287</v>
      </c>
      <c r="N40" s="25">
        <f t="shared" si="24"/>
        <v>0</v>
      </c>
      <c r="O40" s="25"/>
      <c r="P40" s="25"/>
      <c r="Q40" s="25"/>
      <c r="R40" s="25"/>
      <c r="S40" s="25"/>
      <c r="T40" s="15">
        <f t="shared" si="18"/>
        <v>0</v>
      </c>
      <c r="U40" s="25"/>
      <c r="V40" s="25"/>
      <c r="W40" s="25"/>
      <c r="X40" s="25"/>
      <c r="Y40" s="25"/>
      <c r="Z40" s="181"/>
      <c r="AA40" s="25">
        <f t="shared" si="16"/>
        <v>2943010.13</v>
      </c>
      <c r="AB40" s="25">
        <f t="shared" si="19"/>
        <v>2998800</v>
      </c>
      <c r="AC40" s="198"/>
    </row>
    <row r="41" spans="1:29" s="26" customFormat="1" ht="25.5" hidden="1" customHeight="1" x14ac:dyDescent="0.25">
      <c r="A41" s="22" t="s">
        <v>291</v>
      </c>
      <c r="B41" s="23">
        <v>4082</v>
      </c>
      <c r="C41" s="23" t="str">
        <f>'дод 5'!B194</f>
        <v>0829</v>
      </c>
      <c r="D41" s="24" t="str">
        <f>'дод 5'!C194</f>
        <v>Інші заходи в галузі культури і мистецтва</v>
      </c>
      <c r="E41" s="25">
        <f t="shared" si="17"/>
        <v>0</v>
      </c>
      <c r="F41" s="25"/>
      <c r="G41" s="25"/>
      <c r="H41" s="25"/>
      <c r="I41" s="25"/>
      <c r="J41" s="25"/>
      <c r="K41" s="25"/>
      <c r="L41" s="25"/>
      <c r="M41" s="181" t="e">
        <f t="shared" si="3"/>
        <v>#DIV/0!</v>
      </c>
      <c r="N41" s="25">
        <f t="shared" si="24"/>
        <v>0</v>
      </c>
      <c r="O41" s="25"/>
      <c r="P41" s="25"/>
      <c r="Q41" s="25"/>
      <c r="R41" s="25"/>
      <c r="S41" s="25"/>
      <c r="T41" s="15">
        <f t="shared" si="18"/>
        <v>0</v>
      </c>
      <c r="U41" s="25"/>
      <c r="V41" s="25"/>
      <c r="W41" s="25"/>
      <c r="X41" s="25"/>
      <c r="Y41" s="25"/>
      <c r="Z41" s="181"/>
      <c r="AA41" s="25">
        <f t="shared" si="16"/>
        <v>0</v>
      </c>
      <c r="AB41" s="25">
        <f t="shared" si="19"/>
        <v>0</v>
      </c>
      <c r="AC41" s="198"/>
    </row>
    <row r="42" spans="1:29" s="26" customFormat="1" ht="36.75" customHeight="1" x14ac:dyDescent="0.25">
      <c r="A42" s="22" t="s">
        <v>148</v>
      </c>
      <c r="B42" s="23" t="str">
        <f>'дод 5'!A198</f>
        <v>5011</v>
      </c>
      <c r="C42" s="23" t="str">
        <f>'дод 5'!B198</f>
        <v>0810</v>
      </c>
      <c r="D42" s="24" t="str">
        <f>'дод 5'!C198</f>
        <v>Проведення навчально-тренувальних зборів і змагань з олімпійських видів спорту</v>
      </c>
      <c r="E42" s="25">
        <f t="shared" si="17"/>
        <v>1237920</v>
      </c>
      <c r="F42" s="25">
        <f>500000-100000+1387920-150000-400000</f>
        <v>1237920</v>
      </c>
      <c r="G42" s="25"/>
      <c r="H42" s="25"/>
      <c r="I42" s="25"/>
      <c r="J42" s="25">
        <v>875900.1</v>
      </c>
      <c r="K42" s="25"/>
      <c r="L42" s="25"/>
      <c r="M42" s="181">
        <f t="shared" si="3"/>
        <v>70.75579197363318</v>
      </c>
      <c r="N42" s="25">
        <f t="shared" si="24"/>
        <v>0</v>
      </c>
      <c r="O42" s="25"/>
      <c r="P42" s="25"/>
      <c r="Q42" s="25"/>
      <c r="R42" s="25"/>
      <c r="S42" s="25"/>
      <c r="T42" s="15">
        <f t="shared" si="18"/>
        <v>0</v>
      </c>
      <c r="U42" s="25"/>
      <c r="V42" s="25"/>
      <c r="W42" s="25"/>
      <c r="X42" s="25"/>
      <c r="Y42" s="25"/>
      <c r="Z42" s="181"/>
      <c r="AA42" s="25">
        <f t="shared" si="16"/>
        <v>875900.1</v>
      </c>
      <c r="AB42" s="25">
        <f t="shared" si="19"/>
        <v>1237920</v>
      </c>
      <c r="AC42" s="198"/>
    </row>
    <row r="43" spans="1:29" s="26" customFormat="1" ht="34.5" customHeight="1" x14ac:dyDescent="0.25">
      <c r="A43" s="22" t="s">
        <v>149</v>
      </c>
      <c r="B43" s="23" t="str">
        <f>'дод 5'!A199</f>
        <v>5012</v>
      </c>
      <c r="C43" s="23" t="str">
        <f>'дод 5'!B199</f>
        <v>0810</v>
      </c>
      <c r="D43" s="24" t="str">
        <f>'дод 5'!C199</f>
        <v>Проведення навчально-тренувальних зборів і змагань з неолімпійських видів спорту</v>
      </c>
      <c r="E43" s="25">
        <f t="shared" si="17"/>
        <v>1540000</v>
      </c>
      <c r="F43" s="25">
        <f>500000-100000+740000+400000</f>
        <v>1540000</v>
      </c>
      <c r="G43" s="25"/>
      <c r="H43" s="25"/>
      <c r="I43" s="25"/>
      <c r="J43" s="25">
        <v>755400.02</v>
      </c>
      <c r="K43" s="25"/>
      <c r="L43" s="25"/>
      <c r="M43" s="181">
        <f t="shared" si="3"/>
        <v>49.051949350649352</v>
      </c>
      <c r="N43" s="25">
        <f t="shared" si="24"/>
        <v>0</v>
      </c>
      <c r="O43" s="25"/>
      <c r="P43" s="25"/>
      <c r="Q43" s="25"/>
      <c r="R43" s="25"/>
      <c r="S43" s="25"/>
      <c r="T43" s="15">
        <f t="shared" si="18"/>
        <v>0</v>
      </c>
      <c r="U43" s="25"/>
      <c r="V43" s="25"/>
      <c r="W43" s="25"/>
      <c r="X43" s="25"/>
      <c r="Y43" s="25"/>
      <c r="Z43" s="181"/>
      <c r="AA43" s="25">
        <f t="shared" si="16"/>
        <v>755400.02</v>
      </c>
      <c r="AB43" s="25">
        <f t="shared" si="19"/>
        <v>1540000</v>
      </c>
      <c r="AC43" s="198"/>
    </row>
    <row r="44" spans="1:29" s="26" customFormat="1" ht="39.75" customHeight="1" x14ac:dyDescent="0.25">
      <c r="A44" s="22" t="s">
        <v>150</v>
      </c>
      <c r="B44" s="23" t="str">
        <f>'дод 5'!A200</f>
        <v>5031</v>
      </c>
      <c r="C44" s="23" t="str">
        <f>'дод 5'!B200</f>
        <v>0810</v>
      </c>
      <c r="D44" s="24" t="str">
        <f>'дод 5'!C200</f>
        <v>Утримання та навчально-тренувальна робота комунальних дитячо-юнацьких спортивних шкіл, у т.ч. за рахунок:</v>
      </c>
      <c r="E44" s="25">
        <f t="shared" si="17"/>
        <v>27863370</v>
      </c>
      <c r="F44" s="25">
        <f>28174800-20000+942070+500000+190000+136500-2060000</f>
        <v>27863370</v>
      </c>
      <c r="G44" s="25">
        <f>21075000-1700000</f>
        <v>19375000</v>
      </c>
      <c r="H44" s="25">
        <v>1904100</v>
      </c>
      <c r="I44" s="25"/>
      <c r="J44" s="25">
        <v>27330442.199999999</v>
      </c>
      <c r="K44" s="25">
        <v>19374330.710000001</v>
      </c>
      <c r="L44" s="25">
        <v>1631397.1</v>
      </c>
      <c r="M44" s="181">
        <f t="shared" si="3"/>
        <v>98.087353396233112</v>
      </c>
      <c r="N44" s="25">
        <f t="shared" si="24"/>
        <v>150350</v>
      </c>
      <c r="O44" s="25">
        <f>130000+20350</f>
        <v>150350</v>
      </c>
      <c r="P44" s="25"/>
      <c r="Q44" s="25"/>
      <c r="R44" s="25"/>
      <c r="S44" s="25">
        <f>130000+20350</f>
        <v>150350</v>
      </c>
      <c r="T44" s="15">
        <f t="shared" si="18"/>
        <v>150350</v>
      </c>
      <c r="U44" s="25">
        <v>150350</v>
      </c>
      <c r="V44" s="25"/>
      <c r="W44" s="25"/>
      <c r="X44" s="25"/>
      <c r="Y44" s="25">
        <v>150350</v>
      </c>
      <c r="Z44" s="181">
        <f t="shared" si="4"/>
        <v>100</v>
      </c>
      <c r="AA44" s="25">
        <f t="shared" si="16"/>
        <v>27480792.199999999</v>
      </c>
      <c r="AB44" s="25">
        <f t="shared" si="19"/>
        <v>28013720</v>
      </c>
      <c r="AC44" s="198"/>
    </row>
    <row r="45" spans="1:29" s="31" customFormat="1" ht="96" customHeight="1" x14ac:dyDescent="0.25">
      <c r="A45" s="27"/>
      <c r="B45" s="28"/>
      <c r="C45" s="28"/>
      <c r="D45" s="48" t="s">
        <v>618</v>
      </c>
      <c r="E45" s="30">
        <f t="shared" si="17"/>
        <v>0</v>
      </c>
      <c r="F45" s="30"/>
      <c r="G45" s="30"/>
      <c r="H45" s="30"/>
      <c r="I45" s="30"/>
      <c r="J45" s="30"/>
      <c r="K45" s="30"/>
      <c r="L45" s="30"/>
      <c r="M45" s="182"/>
      <c r="N45" s="30">
        <f t="shared" si="24"/>
        <v>20350</v>
      </c>
      <c r="O45" s="30">
        <v>20350</v>
      </c>
      <c r="P45" s="30"/>
      <c r="Q45" s="30"/>
      <c r="R45" s="30"/>
      <c r="S45" s="30">
        <v>20350</v>
      </c>
      <c r="T45" s="15">
        <f t="shared" si="18"/>
        <v>20350</v>
      </c>
      <c r="U45" s="30">
        <v>20350</v>
      </c>
      <c r="V45" s="30"/>
      <c r="W45" s="30"/>
      <c r="X45" s="30"/>
      <c r="Y45" s="30">
        <v>20350</v>
      </c>
      <c r="Z45" s="182">
        <f t="shared" si="4"/>
        <v>100</v>
      </c>
      <c r="AA45" s="30">
        <f t="shared" si="16"/>
        <v>20350</v>
      </c>
      <c r="AB45" s="30">
        <f t="shared" si="19"/>
        <v>20350</v>
      </c>
      <c r="AC45" s="198"/>
    </row>
    <row r="46" spans="1:29" s="26" customFormat="1" ht="44.25" customHeight="1" x14ac:dyDescent="0.25">
      <c r="A46" s="22" t="s">
        <v>343</v>
      </c>
      <c r="B46" s="23" t="str">
        <f>'дод 5'!A203</f>
        <v>5032</v>
      </c>
      <c r="C46" s="23" t="str">
        <f>'дод 5'!B203</f>
        <v>0810</v>
      </c>
      <c r="D46" s="24" t="str">
        <f>'дод 5'!C203</f>
        <v>Фінансова підтримка дитячо-юнацьких спортивних шкіл фізкультурно-спортивних товариств</v>
      </c>
      <c r="E46" s="25">
        <f t="shared" si="17"/>
        <v>21067610</v>
      </c>
      <c r="F46" s="25">
        <f>21982100-7000+630010+157500-1695000</f>
        <v>21067610</v>
      </c>
      <c r="G46" s="25"/>
      <c r="H46" s="25"/>
      <c r="I46" s="25"/>
      <c r="J46" s="25">
        <v>20916389.100000001</v>
      </c>
      <c r="K46" s="25"/>
      <c r="L46" s="25"/>
      <c r="M46" s="181">
        <f t="shared" si="3"/>
        <v>99.282211413634485</v>
      </c>
      <c r="N46" s="25">
        <f t="shared" si="24"/>
        <v>0</v>
      </c>
      <c r="O46" s="25"/>
      <c r="P46" s="25"/>
      <c r="Q46" s="25"/>
      <c r="R46" s="25"/>
      <c r="S46" s="25"/>
      <c r="T46" s="15">
        <f t="shared" si="18"/>
        <v>0</v>
      </c>
      <c r="U46" s="25"/>
      <c r="V46" s="25"/>
      <c r="W46" s="25"/>
      <c r="X46" s="25"/>
      <c r="Y46" s="25"/>
      <c r="Z46" s="181"/>
      <c r="AA46" s="25">
        <f t="shared" si="16"/>
        <v>20916389.100000001</v>
      </c>
      <c r="AB46" s="25">
        <f t="shared" si="19"/>
        <v>21067610</v>
      </c>
      <c r="AC46" s="198"/>
    </row>
    <row r="47" spans="1:29" s="26" customFormat="1" ht="48" customHeight="1" x14ac:dyDescent="0.25">
      <c r="A47" s="22" t="s">
        <v>151</v>
      </c>
      <c r="B47" s="23" t="str">
        <f>'дод 5'!A204</f>
        <v>5061</v>
      </c>
      <c r="C47" s="23" t="str">
        <f>'дод 5'!B204</f>
        <v>0810</v>
      </c>
      <c r="D47" s="24" t="str">
        <f>'дод 5'!C204</f>
        <v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</c>
      <c r="E47" s="25">
        <f t="shared" si="17"/>
        <v>6952500</v>
      </c>
      <c r="F47" s="25">
        <v>6952500</v>
      </c>
      <c r="G47" s="25">
        <v>4148000</v>
      </c>
      <c r="H47" s="25">
        <v>839400</v>
      </c>
      <c r="I47" s="25"/>
      <c r="J47" s="25">
        <v>6712472</v>
      </c>
      <c r="K47" s="25">
        <v>4114762.49</v>
      </c>
      <c r="L47" s="25">
        <v>742663.92</v>
      </c>
      <c r="M47" s="181">
        <f t="shared" si="3"/>
        <v>96.547601582164688</v>
      </c>
      <c r="N47" s="25">
        <f t="shared" si="24"/>
        <v>990440</v>
      </c>
      <c r="O47" s="25">
        <v>450000</v>
      </c>
      <c r="P47" s="25">
        <v>540440</v>
      </c>
      <c r="Q47" s="25">
        <v>345344</v>
      </c>
      <c r="R47" s="25">
        <v>98012</v>
      </c>
      <c r="S47" s="25">
        <v>450000</v>
      </c>
      <c r="T47" s="15">
        <f t="shared" si="18"/>
        <v>597825.72</v>
      </c>
      <c r="U47" s="25">
        <v>450000</v>
      </c>
      <c r="V47" s="25">
        <v>147825.72</v>
      </c>
      <c r="W47" s="25">
        <v>40290.61</v>
      </c>
      <c r="X47" s="25">
        <v>17864.990000000002</v>
      </c>
      <c r="Y47" s="25">
        <v>450000</v>
      </c>
      <c r="Z47" s="181">
        <f t="shared" si="4"/>
        <v>60.359609870360643</v>
      </c>
      <c r="AA47" s="25">
        <f t="shared" si="16"/>
        <v>7310297.7199999997</v>
      </c>
      <c r="AB47" s="25">
        <f t="shared" si="19"/>
        <v>7942940</v>
      </c>
      <c r="AC47" s="198"/>
    </row>
    <row r="48" spans="1:29" s="26" customFormat="1" ht="47.25" x14ac:dyDescent="0.25">
      <c r="A48" s="22" t="s">
        <v>335</v>
      </c>
      <c r="B48" s="23" t="str">
        <f>'дод 5'!A205</f>
        <v>5062</v>
      </c>
      <c r="C48" s="23" t="str">
        <f>'дод 5'!B205</f>
        <v>0810</v>
      </c>
      <c r="D48" s="24" t="str">
        <f>'дод 5'!C205</f>
        <v>Підтримка спорту вищих досягнень та організацій, які здійснюють фізкультурно-спортивну діяльність в регіоні</v>
      </c>
      <c r="E48" s="25">
        <f t="shared" si="17"/>
        <v>15423204</v>
      </c>
      <c r="F48" s="25">
        <f>14430400-500000-800000+500000+264867+517349+1158008+227180+150000-524600</f>
        <v>15423204</v>
      </c>
      <c r="G48" s="25"/>
      <c r="H48" s="25"/>
      <c r="I48" s="25"/>
      <c r="J48" s="25">
        <v>14980057.51</v>
      </c>
      <c r="K48" s="25"/>
      <c r="L48" s="25"/>
      <c r="M48" s="181">
        <f t="shared" si="3"/>
        <v>97.126754661353104</v>
      </c>
      <c r="N48" s="25">
        <f t="shared" si="24"/>
        <v>0</v>
      </c>
      <c r="O48" s="25"/>
      <c r="P48" s="25"/>
      <c r="Q48" s="25"/>
      <c r="R48" s="25"/>
      <c r="S48" s="25"/>
      <c r="T48" s="15">
        <f t="shared" si="18"/>
        <v>0</v>
      </c>
      <c r="U48" s="25"/>
      <c r="V48" s="25"/>
      <c r="W48" s="25"/>
      <c r="X48" s="25"/>
      <c r="Y48" s="25"/>
      <c r="Z48" s="181"/>
      <c r="AA48" s="25">
        <f t="shared" si="16"/>
        <v>14980057.51</v>
      </c>
      <c r="AB48" s="25">
        <f t="shared" si="19"/>
        <v>15423204</v>
      </c>
      <c r="AC48" s="198"/>
    </row>
    <row r="49" spans="1:29" s="26" customFormat="1" ht="37.5" hidden="1" customHeight="1" x14ac:dyDescent="0.25">
      <c r="A49" s="22" t="s">
        <v>532</v>
      </c>
      <c r="B49" s="23">
        <v>7323</v>
      </c>
      <c r="C49" s="22" t="s">
        <v>107</v>
      </c>
      <c r="D49" s="24" t="str">
        <f>'дод 5'!C249</f>
        <v>Будівництво1 установ та закладів соціальної сфери</v>
      </c>
      <c r="E49" s="25">
        <f t="shared" si="17"/>
        <v>0</v>
      </c>
      <c r="F49" s="25"/>
      <c r="G49" s="25"/>
      <c r="H49" s="25"/>
      <c r="I49" s="25"/>
      <c r="J49" s="25"/>
      <c r="K49" s="25"/>
      <c r="L49" s="25"/>
      <c r="M49" s="181" t="e">
        <f t="shared" si="3"/>
        <v>#DIV/0!</v>
      </c>
      <c r="N49" s="25">
        <f t="shared" si="24"/>
        <v>0</v>
      </c>
      <c r="O49" s="25"/>
      <c r="P49" s="25"/>
      <c r="Q49" s="25"/>
      <c r="R49" s="25"/>
      <c r="S49" s="25"/>
      <c r="T49" s="15">
        <f t="shared" si="18"/>
        <v>0</v>
      </c>
      <c r="U49" s="25"/>
      <c r="V49" s="25"/>
      <c r="W49" s="25"/>
      <c r="X49" s="25"/>
      <c r="Y49" s="25"/>
      <c r="Z49" s="181"/>
      <c r="AA49" s="25">
        <f t="shared" si="16"/>
        <v>0</v>
      </c>
      <c r="AB49" s="25">
        <f t="shared" si="19"/>
        <v>0</v>
      </c>
      <c r="AC49" s="198"/>
    </row>
    <row r="50" spans="1:29" s="26" customFormat="1" ht="31.5" hidden="1" customHeight="1" x14ac:dyDescent="0.25">
      <c r="A50" s="22" t="s">
        <v>394</v>
      </c>
      <c r="B50" s="23">
        <v>7325</v>
      </c>
      <c r="C50" s="34" t="s">
        <v>107</v>
      </c>
      <c r="D50" s="35" t="str">
        <f>'дод 5'!C251</f>
        <v>Будівництво1 споруд, установ та закладів фізичної культури і спорту</v>
      </c>
      <c r="E50" s="25">
        <f t="shared" si="17"/>
        <v>0</v>
      </c>
      <c r="F50" s="25"/>
      <c r="G50" s="25"/>
      <c r="H50" s="25"/>
      <c r="I50" s="25"/>
      <c r="J50" s="25"/>
      <c r="K50" s="25"/>
      <c r="L50" s="25"/>
      <c r="M50" s="181" t="e">
        <f t="shared" si="3"/>
        <v>#DIV/0!</v>
      </c>
      <c r="N50" s="25">
        <f t="shared" si="24"/>
        <v>0</v>
      </c>
      <c r="O50" s="25"/>
      <c r="P50" s="25"/>
      <c r="Q50" s="25"/>
      <c r="R50" s="25"/>
      <c r="S50" s="25"/>
      <c r="T50" s="15">
        <f t="shared" si="18"/>
        <v>0</v>
      </c>
      <c r="U50" s="25"/>
      <c r="V50" s="25"/>
      <c r="W50" s="25"/>
      <c r="X50" s="25"/>
      <c r="Y50" s="25"/>
      <c r="Z50" s="181"/>
      <c r="AA50" s="25">
        <f t="shared" si="16"/>
        <v>0</v>
      </c>
      <c r="AB50" s="25">
        <f t="shared" si="19"/>
        <v>0</v>
      </c>
      <c r="AC50" s="198"/>
    </row>
    <row r="51" spans="1:29" s="26" customFormat="1" ht="15.75" hidden="1" customHeight="1" x14ac:dyDescent="0.25">
      <c r="A51" s="22" t="s">
        <v>395</v>
      </c>
      <c r="B51" s="23">
        <v>7330</v>
      </c>
      <c r="C51" s="34" t="s">
        <v>107</v>
      </c>
      <c r="D51" s="35" t="str">
        <f>'дод 5'!C252</f>
        <v>Будівництво1 інших об'єктів комунальної власності, у т.ч. за рахунок:</v>
      </c>
      <c r="E51" s="25">
        <f t="shared" si="17"/>
        <v>0</v>
      </c>
      <c r="F51" s="25"/>
      <c r="G51" s="25"/>
      <c r="H51" s="25"/>
      <c r="I51" s="25"/>
      <c r="J51" s="25"/>
      <c r="K51" s="25"/>
      <c r="L51" s="25"/>
      <c r="M51" s="181" t="e">
        <f t="shared" si="3"/>
        <v>#DIV/0!</v>
      </c>
      <c r="N51" s="25">
        <f t="shared" si="24"/>
        <v>0</v>
      </c>
      <c r="O51" s="25"/>
      <c r="P51" s="25"/>
      <c r="Q51" s="25"/>
      <c r="R51" s="25"/>
      <c r="S51" s="25"/>
      <c r="T51" s="15">
        <f t="shared" si="18"/>
        <v>0</v>
      </c>
      <c r="U51" s="25"/>
      <c r="V51" s="25"/>
      <c r="W51" s="25"/>
      <c r="X51" s="25"/>
      <c r="Y51" s="25"/>
      <c r="Z51" s="181"/>
      <c r="AA51" s="25">
        <f t="shared" si="16"/>
        <v>0</v>
      </c>
      <c r="AB51" s="25">
        <f t="shared" si="19"/>
        <v>0</v>
      </c>
      <c r="AC51" s="198"/>
    </row>
    <row r="52" spans="1:29" s="26" customFormat="1" ht="33" customHeight="1" x14ac:dyDescent="0.25">
      <c r="A52" s="22" t="s">
        <v>152</v>
      </c>
      <c r="B52" s="23" t="str">
        <f>'дод 5'!A273</f>
        <v>7412</v>
      </c>
      <c r="C52" s="23" t="str">
        <f>'дод 5'!B273</f>
        <v>0451</v>
      </c>
      <c r="D52" s="24" t="str">
        <f>'дод 5'!C273</f>
        <v>Регулювання цін на послуги місцевого автотранспорту</v>
      </c>
      <c r="E52" s="25">
        <f t="shared" si="17"/>
        <v>19615344</v>
      </c>
      <c r="G52" s="25"/>
      <c r="H52" s="25"/>
      <c r="I52" s="25">
        <f>27600000-1500000-6484656</f>
        <v>19615344</v>
      </c>
      <c r="J52" s="25">
        <v>19615344</v>
      </c>
      <c r="K52" s="25"/>
      <c r="L52" s="25"/>
      <c r="M52" s="181">
        <f t="shared" si="3"/>
        <v>100</v>
      </c>
      <c r="N52" s="25">
        <f t="shared" si="24"/>
        <v>0</v>
      </c>
      <c r="O52" s="25"/>
      <c r="P52" s="25"/>
      <c r="Q52" s="25"/>
      <c r="R52" s="25"/>
      <c r="S52" s="25"/>
      <c r="T52" s="15">
        <f t="shared" si="18"/>
        <v>0</v>
      </c>
      <c r="U52" s="25"/>
      <c r="V52" s="25"/>
      <c r="W52" s="25"/>
      <c r="X52" s="25"/>
      <c r="Y52" s="25"/>
      <c r="Z52" s="181"/>
      <c r="AA52" s="25">
        <f t="shared" si="16"/>
        <v>19615344</v>
      </c>
      <c r="AB52" s="25">
        <f t="shared" si="19"/>
        <v>19615344</v>
      </c>
      <c r="AC52" s="198"/>
    </row>
    <row r="53" spans="1:29" s="26" customFormat="1" ht="24" hidden="1" customHeight="1" x14ac:dyDescent="0.25">
      <c r="A53" s="22" t="s">
        <v>363</v>
      </c>
      <c r="B53" s="23">
        <f>'дод 5'!A274</f>
        <v>7413</v>
      </c>
      <c r="C53" s="23" t="str">
        <f>'дод 5'!B274</f>
        <v>0451</v>
      </c>
      <c r="D53" s="36" t="str">
        <f>'дод 5'!C274</f>
        <v>Інші заходи у сфері автотранспорту</v>
      </c>
      <c r="E53" s="25">
        <f t="shared" si="17"/>
        <v>0</v>
      </c>
      <c r="F53" s="25"/>
      <c r="G53" s="25"/>
      <c r="H53" s="25"/>
      <c r="I53" s="25"/>
      <c r="J53" s="25"/>
      <c r="K53" s="25"/>
      <c r="L53" s="25"/>
      <c r="M53" s="181" t="e">
        <f t="shared" si="3"/>
        <v>#DIV/0!</v>
      </c>
      <c r="N53" s="25">
        <f t="shared" si="24"/>
        <v>0</v>
      </c>
      <c r="O53" s="25"/>
      <c r="P53" s="25"/>
      <c r="Q53" s="25"/>
      <c r="R53" s="25"/>
      <c r="S53" s="25"/>
      <c r="T53" s="15">
        <f t="shared" si="18"/>
        <v>0</v>
      </c>
      <c r="U53" s="25"/>
      <c r="V53" s="25"/>
      <c r="W53" s="25"/>
      <c r="X53" s="25"/>
      <c r="Y53" s="25"/>
      <c r="Z53" s="181" t="e">
        <f t="shared" si="4"/>
        <v>#DIV/0!</v>
      </c>
      <c r="AA53" s="25">
        <f t="shared" si="16"/>
        <v>0</v>
      </c>
      <c r="AB53" s="25">
        <f t="shared" si="19"/>
        <v>0</v>
      </c>
      <c r="AC53" s="198"/>
    </row>
    <row r="54" spans="1:29" s="26" customFormat="1" ht="33" customHeight="1" x14ac:dyDescent="0.25">
      <c r="A54" s="22" t="s">
        <v>508</v>
      </c>
      <c r="B54" s="23">
        <v>7422</v>
      </c>
      <c r="C54" s="22" t="s">
        <v>393</v>
      </c>
      <c r="D54" s="36" t="str">
        <f>'дод 5'!C275</f>
        <v>Регулювання цін на послуги місцевого наземного електротранспорту</v>
      </c>
      <c r="E54" s="25">
        <f t="shared" si="17"/>
        <v>46883224</v>
      </c>
      <c r="F54" s="25"/>
      <c r="G54" s="25"/>
      <c r="H54" s="25"/>
      <c r="I54" s="25">
        <f>69010000-4050000-18076776</f>
        <v>46883224</v>
      </c>
      <c r="J54" s="25">
        <v>46883224</v>
      </c>
      <c r="K54" s="25"/>
      <c r="L54" s="25"/>
      <c r="M54" s="181">
        <f t="shared" si="3"/>
        <v>100</v>
      </c>
      <c r="N54" s="25">
        <f t="shared" si="24"/>
        <v>0</v>
      </c>
      <c r="O54" s="25"/>
      <c r="P54" s="25"/>
      <c r="Q54" s="25"/>
      <c r="R54" s="25"/>
      <c r="S54" s="25"/>
      <c r="T54" s="15">
        <f t="shared" si="18"/>
        <v>0</v>
      </c>
      <c r="U54" s="25"/>
      <c r="V54" s="25"/>
      <c r="W54" s="25"/>
      <c r="X54" s="25"/>
      <c r="Y54" s="25"/>
      <c r="Z54" s="181"/>
      <c r="AA54" s="25">
        <f t="shared" si="16"/>
        <v>46883224</v>
      </c>
      <c r="AB54" s="25">
        <f t="shared" si="19"/>
        <v>46883224</v>
      </c>
      <c r="AC54" s="198"/>
    </row>
    <row r="55" spans="1:29" s="26" customFormat="1" ht="24" hidden="1" customHeight="1" x14ac:dyDescent="0.25">
      <c r="A55" s="22" t="s">
        <v>364</v>
      </c>
      <c r="B55" s="23">
        <f>'дод 5'!A276</f>
        <v>7426</v>
      </c>
      <c r="C55" s="22" t="s">
        <v>393</v>
      </c>
      <c r="D55" s="36" t="str">
        <f>'дод 5'!C276</f>
        <v>Інші заходи у сфері електротранспорту</v>
      </c>
      <c r="E55" s="25">
        <f t="shared" si="17"/>
        <v>0</v>
      </c>
      <c r="F55" s="25"/>
      <c r="G55" s="25"/>
      <c r="H55" s="25"/>
      <c r="I55" s="25"/>
      <c r="J55" s="25"/>
      <c r="K55" s="25"/>
      <c r="L55" s="25"/>
      <c r="M55" s="181" t="e">
        <f t="shared" si="3"/>
        <v>#DIV/0!</v>
      </c>
      <c r="N55" s="25">
        <f t="shared" si="24"/>
        <v>0</v>
      </c>
      <c r="O55" s="25"/>
      <c r="P55" s="25"/>
      <c r="Q55" s="25"/>
      <c r="R55" s="25"/>
      <c r="S55" s="25"/>
      <c r="T55" s="15">
        <f t="shared" si="18"/>
        <v>0</v>
      </c>
      <c r="U55" s="25"/>
      <c r="V55" s="25"/>
      <c r="W55" s="25"/>
      <c r="X55" s="25"/>
      <c r="Y55" s="25"/>
      <c r="Z55" s="181" t="e">
        <f t="shared" si="4"/>
        <v>#DIV/0!</v>
      </c>
      <c r="AA55" s="25">
        <f t="shared" si="16"/>
        <v>0</v>
      </c>
      <c r="AB55" s="25">
        <f t="shared" si="19"/>
        <v>0</v>
      </c>
      <c r="AC55" s="198"/>
    </row>
    <row r="56" spans="1:29" s="26" customFormat="1" ht="21.75" hidden="1" customHeight="1" x14ac:dyDescent="0.25">
      <c r="A56" s="22" t="s">
        <v>424</v>
      </c>
      <c r="B56" s="22" t="s">
        <v>425</v>
      </c>
      <c r="C56" s="22" t="s">
        <v>384</v>
      </c>
      <c r="D56" s="36" t="str">
        <f>'дод 5'!C278</f>
        <v>Інша діяльність у сфері транспорту</v>
      </c>
      <c r="E56" s="25">
        <f t="shared" si="17"/>
        <v>0</v>
      </c>
      <c r="F56" s="25">
        <f>1500000+321000-1500000-321000</f>
        <v>0</v>
      </c>
      <c r="G56" s="25"/>
      <c r="H56" s="25"/>
      <c r="I56" s="25"/>
      <c r="J56" s="25"/>
      <c r="K56" s="25"/>
      <c r="L56" s="25"/>
      <c r="M56" s="181" t="e">
        <f t="shared" si="3"/>
        <v>#DIV/0!</v>
      </c>
      <c r="N56" s="25">
        <f t="shared" si="24"/>
        <v>0</v>
      </c>
      <c r="O56" s="25"/>
      <c r="P56" s="25"/>
      <c r="Q56" s="25"/>
      <c r="R56" s="25"/>
      <c r="S56" s="25"/>
      <c r="T56" s="15">
        <f t="shared" si="18"/>
        <v>0</v>
      </c>
      <c r="U56" s="25"/>
      <c r="V56" s="25"/>
      <c r="W56" s="25"/>
      <c r="X56" s="25"/>
      <c r="Y56" s="25"/>
      <c r="Z56" s="181" t="e">
        <f t="shared" si="4"/>
        <v>#DIV/0!</v>
      </c>
      <c r="AA56" s="25">
        <f t="shared" si="16"/>
        <v>0</v>
      </c>
      <c r="AB56" s="25">
        <f t="shared" si="19"/>
        <v>0</v>
      </c>
      <c r="AC56" s="198"/>
    </row>
    <row r="57" spans="1:29" s="26" customFormat="1" ht="30.75" customHeight="1" x14ac:dyDescent="0.25">
      <c r="A57" s="22" t="s">
        <v>225</v>
      </c>
      <c r="B57" s="23" t="str">
        <f>'дод 5'!A283</f>
        <v>7530</v>
      </c>
      <c r="C57" s="23" t="str">
        <f>'дод 5'!B283</f>
        <v>0460</v>
      </c>
      <c r="D57" s="24" t="str">
        <f>'дод 5'!C283</f>
        <v>Інші заходи у сфері зв'язку, телекомунікації та інформатики</v>
      </c>
      <c r="E57" s="25">
        <f t="shared" si="17"/>
        <v>5710468</v>
      </c>
      <c r="F57" s="25">
        <f>5323200+180000+193200+75200-40000-21132</f>
        <v>5710468</v>
      </c>
      <c r="G57" s="25"/>
      <c r="H57" s="25"/>
      <c r="I57" s="25"/>
      <c r="J57" s="25">
        <v>2130940.08</v>
      </c>
      <c r="K57" s="25"/>
      <c r="L57" s="25"/>
      <c r="M57" s="181">
        <f t="shared" si="3"/>
        <v>37.31638247513164</v>
      </c>
      <c r="N57" s="25">
        <f>P57+S57</f>
        <v>1000000</v>
      </c>
      <c r="O57" s="25">
        <f>19036280-18036280</f>
        <v>1000000</v>
      </c>
      <c r="P57" s="25"/>
      <c r="Q57" s="25"/>
      <c r="R57" s="25"/>
      <c r="S57" s="25">
        <f>19036280-18036280</f>
        <v>1000000</v>
      </c>
      <c r="T57" s="15">
        <f t="shared" si="18"/>
        <v>903888</v>
      </c>
      <c r="U57" s="25">
        <v>903888</v>
      </c>
      <c r="V57" s="25"/>
      <c r="W57" s="25"/>
      <c r="X57" s="25"/>
      <c r="Y57" s="25">
        <v>903888</v>
      </c>
      <c r="Z57" s="181">
        <f t="shared" si="4"/>
        <v>90.388800000000003</v>
      </c>
      <c r="AA57" s="25">
        <f t="shared" si="16"/>
        <v>3034828.08</v>
      </c>
      <c r="AB57" s="25">
        <f t="shared" si="19"/>
        <v>6710468</v>
      </c>
      <c r="AC57" s="198"/>
    </row>
    <row r="58" spans="1:29" s="26" customFormat="1" ht="31.5" hidden="1" customHeight="1" x14ac:dyDescent="0.25">
      <c r="A58" s="22" t="s">
        <v>153</v>
      </c>
      <c r="B58" s="23" t="str">
        <f>'дод 5'!A289</f>
        <v>7610</v>
      </c>
      <c r="C58" s="23" t="str">
        <f>'дод 5'!B289</f>
        <v>0411</v>
      </c>
      <c r="D58" s="24" t="str">
        <f>'дод 5'!C289</f>
        <v>Сприяння розвитку малого та середнього підприємництва</v>
      </c>
      <c r="E58" s="25">
        <f t="shared" si="17"/>
        <v>0</v>
      </c>
      <c r="F58" s="25"/>
      <c r="G58" s="25"/>
      <c r="H58" s="25"/>
      <c r="I58" s="25"/>
      <c r="J58" s="25"/>
      <c r="K58" s="25"/>
      <c r="L58" s="25"/>
      <c r="M58" s="181" t="e">
        <f t="shared" si="3"/>
        <v>#DIV/0!</v>
      </c>
      <c r="N58" s="25">
        <f t="shared" si="24"/>
        <v>0</v>
      </c>
      <c r="O58" s="25"/>
      <c r="P58" s="25"/>
      <c r="Q58" s="25"/>
      <c r="R58" s="25"/>
      <c r="S58" s="25"/>
      <c r="T58" s="15">
        <f t="shared" si="18"/>
        <v>0</v>
      </c>
      <c r="U58" s="25"/>
      <c r="V58" s="25"/>
      <c r="W58" s="25"/>
      <c r="X58" s="25"/>
      <c r="Y58" s="25"/>
      <c r="Z58" s="181" t="e">
        <f t="shared" si="4"/>
        <v>#DIV/0!</v>
      </c>
      <c r="AA58" s="25">
        <f t="shared" si="16"/>
        <v>0</v>
      </c>
      <c r="AB58" s="25">
        <f t="shared" si="19"/>
        <v>0</v>
      </c>
      <c r="AC58" s="198"/>
    </row>
    <row r="59" spans="1:29" s="26" customFormat="1" ht="24.75" customHeight="1" x14ac:dyDescent="0.25">
      <c r="A59" s="22" t="s">
        <v>593</v>
      </c>
      <c r="B59" s="23" t="str">
        <f>'дод 5'!A290</f>
        <v>7640</v>
      </c>
      <c r="C59" s="23" t="str">
        <f>'дод 5'!B290</f>
        <v>0470</v>
      </c>
      <c r="D59" s="36" t="s">
        <v>402</v>
      </c>
      <c r="E59" s="25">
        <f t="shared" ref="E59" si="25">F59+I59</f>
        <v>0</v>
      </c>
      <c r="F59" s="25"/>
      <c r="G59" s="25"/>
      <c r="H59" s="25"/>
      <c r="I59" s="25"/>
      <c r="J59" s="25"/>
      <c r="K59" s="25"/>
      <c r="L59" s="25"/>
      <c r="M59" s="181"/>
      <c r="N59" s="25">
        <f t="shared" ref="N59" si="26">P59+S59</f>
        <v>10000000</v>
      </c>
      <c r="O59" s="25">
        <v>10000000</v>
      </c>
      <c r="P59" s="25"/>
      <c r="Q59" s="25"/>
      <c r="R59" s="25"/>
      <c r="S59" s="25">
        <v>10000000</v>
      </c>
      <c r="T59" s="15">
        <f t="shared" si="18"/>
        <v>7178726.8700000001</v>
      </c>
      <c r="U59" s="25">
        <v>7178726.8700000001</v>
      </c>
      <c r="V59" s="25"/>
      <c r="W59" s="25"/>
      <c r="X59" s="25"/>
      <c r="Y59" s="25">
        <v>7178726.8700000001</v>
      </c>
      <c r="Z59" s="181">
        <f t="shared" si="4"/>
        <v>71.787268700000013</v>
      </c>
      <c r="AA59" s="25">
        <f t="shared" si="16"/>
        <v>7178726.8700000001</v>
      </c>
      <c r="AB59" s="25">
        <f t="shared" ref="AB59" si="27">E59+N59</f>
        <v>10000000</v>
      </c>
      <c r="AC59" s="198"/>
    </row>
    <row r="60" spans="1:29" s="26" customFormat="1" ht="33.75" hidden="1" customHeight="1" x14ac:dyDescent="0.25">
      <c r="A60" s="22" t="s">
        <v>154</v>
      </c>
      <c r="B60" s="23" t="str">
        <f>'дод 5'!A296</f>
        <v>7670</v>
      </c>
      <c r="C60" s="23" t="str">
        <f>'дод 5'!B296</f>
        <v>0490</v>
      </c>
      <c r="D60" s="24" t="str">
        <f>'дод 5'!C296</f>
        <v>Внески до статутного капіталу суб'єктів господарювання,  у т.ч. за рахунок:</v>
      </c>
      <c r="E60" s="25">
        <f t="shared" si="17"/>
        <v>0</v>
      </c>
      <c r="F60" s="25"/>
      <c r="G60" s="25"/>
      <c r="H60" s="25"/>
      <c r="I60" s="25"/>
      <c r="J60" s="25"/>
      <c r="K60" s="25"/>
      <c r="L60" s="25"/>
      <c r="M60" s="181" t="e">
        <f t="shared" si="3"/>
        <v>#DIV/0!</v>
      </c>
      <c r="N60" s="25">
        <f t="shared" si="24"/>
        <v>0</v>
      </c>
      <c r="O60" s="25">
        <f>1580400-1580400</f>
        <v>0</v>
      </c>
      <c r="P60" s="25"/>
      <c r="Q60" s="25"/>
      <c r="R60" s="25"/>
      <c r="S60" s="25">
        <v>0</v>
      </c>
      <c r="T60" s="15">
        <f t="shared" si="18"/>
        <v>0</v>
      </c>
      <c r="U60" s="25"/>
      <c r="V60" s="25"/>
      <c r="W60" s="25"/>
      <c r="X60" s="25"/>
      <c r="Y60" s="25"/>
      <c r="Z60" s="181" t="e">
        <f t="shared" si="4"/>
        <v>#DIV/0!</v>
      </c>
      <c r="AA60" s="25">
        <f t="shared" si="16"/>
        <v>0</v>
      </c>
      <c r="AB60" s="25">
        <f t="shared" si="19"/>
        <v>0</v>
      </c>
      <c r="AC60" s="198"/>
    </row>
    <row r="61" spans="1:29" s="26" customFormat="1" ht="34.5" customHeight="1" x14ac:dyDescent="0.25">
      <c r="A61" s="22" t="s">
        <v>239</v>
      </c>
      <c r="B61" s="23" t="str">
        <f>'дод 5'!A299</f>
        <v>7680</v>
      </c>
      <c r="C61" s="23" t="str">
        <f>'дод 5'!B299</f>
        <v>0490</v>
      </c>
      <c r="D61" s="24" t="str">
        <f>'дод 5'!C299</f>
        <v>Членські внески до асоціацій органів місцевого самоврядування</v>
      </c>
      <c r="E61" s="25">
        <f t="shared" si="17"/>
        <v>441318</v>
      </c>
      <c r="F61" s="25">
        <f>279854+167500-6036</f>
        <v>441318</v>
      </c>
      <c r="G61" s="25"/>
      <c r="H61" s="25"/>
      <c r="I61" s="25"/>
      <c r="J61" s="25">
        <v>441318</v>
      </c>
      <c r="K61" s="25"/>
      <c r="L61" s="25"/>
      <c r="M61" s="181">
        <f t="shared" si="3"/>
        <v>100</v>
      </c>
      <c r="N61" s="25">
        <f t="shared" si="24"/>
        <v>0</v>
      </c>
      <c r="O61" s="25"/>
      <c r="P61" s="25"/>
      <c r="Q61" s="25"/>
      <c r="R61" s="25"/>
      <c r="S61" s="25"/>
      <c r="T61" s="15">
        <f t="shared" si="18"/>
        <v>0</v>
      </c>
      <c r="U61" s="25"/>
      <c r="V61" s="25"/>
      <c r="W61" s="25"/>
      <c r="X61" s="25"/>
      <c r="Y61" s="25"/>
      <c r="Z61" s="181"/>
      <c r="AA61" s="25">
        <f t="shared" si="16"/>
        <v>441318</v>
      </c>
      <c r="AB61" s="25">
        <f t="shared" si="19"/>
        <v>441318</v>
      </c>
      <c r="AC61" s="198"/>
    </row>
    <row r="62" spans="1:29" s="26" customFormat="1" ht="111" customHeight="1" x14ac:dyDescent="0.25">
      <c r="A62" s="22" t="s">
        <v>288</v>
      </c>
      <c r="B62" s="23" t="str">
        <f>'дод 5'!A300</f>
        <v>7691</v>
      </c>
      <c r="C62" s="23" t="str">
        <f>'дод 5'!B300</f>
        <v>0490</v>
      </c>
      <c r="D62" s="24" t="str">
        <f>'дод 5'!C300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62" s="25">
        <f t="shared" si="17"/>
        <v>0</v>
      </c>
      <c r="F62" s="25"/>
      <c r="G62" s="25"/>
      <c r="H62" s="25"/>
      <c r="I62" s="25"/>
      <c r="J62" s="25"/>
      <c r="K62" s="25"/>
      <c r="L62" s="25"/>
      <c r="M62" s="181"/>
      <c r="N62" s="25">
        <f t="shared" si="24"/>
        <v>50000</v>
      </c>
      <c r="O62" s="25"/>
      <c r="P62" s="25">
        <v>50000</v>
      </c>
      <c r="Q62" s="25"/>
      <c r="R62" s="25"/>
      <c r="S62" s="25"/>
      <c r="T62" s="15">
        <f t="shared" si="18"/>
        <v>10000</v>
      </c>
      <c r="U62" s="25"/>
      <c r="V62" s="25">
        <v>10000</v>
      </c>
      <c r="W62" s="25"/>
      <c r="X62" s="25"/>
      <c r="Y62" s="25"/>
      <c r="Z62" s="181">
        <f t="shared" si="4"/>
        <v>20</v>
      </c>
      <c r="AA62" s="25">
        <f t="shared" si="16"/>
        <v>10000</v>
      </c>
      <c r="AB62" s="25">
        <f t="shared" si="19"/>
        <v>50000</v>
      </c>
      <c r="AC62" s="198"/>
    </row>
    <row r="63" spans="1:29" s="26" customFormat="1" ht="39.75" customHeight="1" x14ac:dyDescent="0.25">
      <c r="A63" s="22" t="s">
        <v>232</v>
      </c>
      <c r="B63" s="23" t="str">
        <f>'дод 5'!A301</f>
        <v>7693</v>
      </c>
      <c r="C63" s="23" t="str">
        <f>'дод 5'!B301</f>
        <v>0490</v>
      </c>
      <c r="D63" s="24" t="s">
        <v>17</v>
      </c>
      <c r="E63" s="25">
        <f t="shared" si="17"/>
        <v>900000</v>
      </c>
      <c r="F63" s="25">
        <f>1944700-1044700</f>
        <v>900000</v>
      </c>
      <c r="G63" s="25"/>
      <c r="H63" s="25"/>
      <c r="I63" s="25"/>
      <c r="J63" s="25">
        <v>684455.74</v>
      </c>
      <c r="K63" s="25"/>
      <c r="L63" s="25"/>
      <c r="M63" s="181">
        <f t="shared" si="3"/>
        <v>76.05063777777778</v>
      </c>
      <c r="N63" s="25">
        <f t="shared" si="24"/>
        <v>0</v>
      </c>
      <c r="O63" s="25"/>
      <c r="P63" s="25"/>
      <c r="Q63" s="25"/>
      <c r="R63" s="25"/>
      <c r="S63" s="25"/>
      <c r="T63" s="15">
        <f t="shared" si="18"/>
        <v>0</v>
      </c>
      <c r="U63" s="25"/>
      <c r="V63" s="25"/>
      <c r="W63" s="25"/>
      <c r="X63" s="25"/>
      <c r="Y63" s="25"/>
      <c r="Z63" s="181"/>
      <c r="AA63" s="25">
        <f t="shared" si="16"/>
        <v>684455.74</v>
      </c>
      <c r="AB63" s="25">
        <f t="shared" si="19"/>
        <v>900000</v>
      </c>
      <c r="AC63" s="198"/>
    </row>
    <row r="64" spans="1:29" s="26" customFormat="1" ht="62.25" customHeight="1" x14ac:dyDescent="0.25">
      <c r="A64" s="22" t="s">
        <v>710</v>
      </c>
      <c r="B64" s="23">
        <f>'дод 5'!A303</f>
        <v>7700</v>
      </c>
      <c r="C64" s="23" t="str">
        <f>'дод 5'!B303</f>
        <v>0133</v>
      </c>
      <c r="D64" s="36" t="str">
        <f>'дод 5'!C303</f>
        <v>Реалізація програм допомоги і грантів Європейського Союзу, урядів іноземних держав, міжнародних організацій, донорських установ, у т.ч. за рахунок:</v>
      </c>
      <c r="E64" s="25">
        <f t="shared" ref="E64:E65" si="28">F64+I64</f>
        <v>0</v>
      </c>
      <c r="F64" s="25"/>
      <c r="G64" s="25"/>
      <c r="H64" s="25"/>
      <c r="I64" s="25"/>
      <c r="J64" s="25"/>
      <c r="K64" s="25"/>
      <c r="L64" s="25"/>
      <c r="M64" s="181"/>
      <c r="N64" s="25">
        <f t="shared" ref="N64:N65" si="29">P64+S64</f>
        <v>85265</v>
      </c>
      <c r="O64" s="25"/>
      <c r="P64" s="25">
        <v>85265</v>
      </c>
      <c r="Q64" s="25"/>
      <c r="R64" s="25"/>
      <c r="S64" s="25"/>
      <c r="T64" s="15">
        <f t="shared" si="18"/>
        <v>85000</v>
      </c>
      <c r="U64" s="25"/>
      <c r="V64" s="25">
        <v>85000</v>
      </c>
      <c r="W64" s="25"/>
      <c r="X64" s="25"/>
      <c r="Y64" s="25"/>
      <c r="Z64" s="181">
        <f t="shared" si="4"/>
        <v>99.689204245587277</v>
      </c>
      <c r="AA64" s="25">
        <f t="shared" si="16"/>
        <v>85000</v>
      </c>
      <c r="AB64" s="25">
        <f t="shared" ref="AB64:AB65" si="30">E64+N64</f>
        <v>85265</v>
      </c>
      <c r="AC64" s="198"/>
    </row>
    <row r="65" spans="1:30" s="31" customFormat="1" ht="23.25" customHeight="1" x14ac:dyDescent="0.25">
      <c r="A65" s="27"/>
      <c r="B65" s="28"/>
      <c r="C65" s="28"/>
      <c r="D65" s="29" t="str">
        <f>'дод 5'!C304</f>
        <v>грантів (дарунків)</v>
      </c>
      <c r="E65" s="30">
        <f t="shared" si="28"/>
        <v>0</v>
      </c>
      <c r="F65" s="30"/>
      <c r="G65" s="30"/>
      <c r="H65" s="30"/>
      <c r="I65" s="30"/>
      <c r="J65" s="30"/>
      <c r="K65" s="30"/>
      <c r="L65" s="30"/>
      <c r="M65" s="182"/>
      <c r="N65" s="30">
        <f t="shared" si="29"/>
        <v>85265</v>
      </c>
      <c r="O65" s="30"/>
      <c r="P65" s="30">
        <v>85265</v>
      </c>
      <c r="Q65" s="30"/>
      <c r="R65" s="30"/>
      <c r="S65" s="30"/>
      <c r="T65" s="15">
        <f t="shared" si="18"/>
        <v>85000</v>
      </c>
      <c r="U65" s="30"/>
      <c r="V65" s="30">
        <v>85000</v>
      </c>
      <c r="W65" s="30"/>
      <c r="X65" s="30"/>
      <c r="Y65" s="30"/>
      <c r="Z65" s="182">
        <f t="shared" si="4"/>
        <v>99.689204245587277</v>
      </c>
      <c r="AA65" s="30">
        <f t="shared" si="16"/>
        <v>85000</v>
      </c>
      <c r="AB65" s="30">
        <f t="shared" si="30"/>
        <v>85265</v>
      </c>
      <c r="AC65" s="198"/>
    </row>
    <row r="66" spans="1:30" s="26" customFormat="1" ht="34.5" customHeight="1" x14ac:dyDescent="0.25">
      <c r="A66" s="22" t="s">
        <v>155</v>
      </c>
      <c r="B66" s="23" t="str">
        <f>'дод 5'!A314</f>
        <v>8110</v>
      </c>
      <c r="C66" s="23" t="str">
        <f>'дод 5'!B314</f>
        <v>0320</v>
      </c>
      <c r="D66" s="24" t="str">
        <f>'дод 5'!C314</f>
        <v>Заходи із запобігання та ліквідації надзвичайних ситуацій та наслідків стихійного лиха, у т.ч. за рахунок:</v>
      </c>
      <c r="E66" s="25">
        <f t="shared" si="17"/>
        <v>5238300</v>
      </c>
      <c r="F66" s="25">
        <f>3718400+36000+825000+20000-130000+62400+130000+370000+164000+42500</f>
        <v>5238300</v>
      </c>
      <c r="G66" s="25"/>
      <c r="H66" s="25">
        <f>28500+20000+24000</f>
        <v>72500</v>
      </c>
      <c r="I66" s="25"/>
      <c r="J66" s="25">
        <v>3249854.71</v>
      </c>
      <c r="K66" s="25"/>
      <c r="L66" s="25">
        <v>36581.5</v>
      </c>
      <c r="M66" s="181">
        <f t="shared" si="3"/>
        <v>62.040255617280415</v>
      </c>
      <c r="N66" s="25">
        <f t="shared" si="24"/>
        <v>3525500</v>
      </c>
      <c r="O66" s="25">
        <f>795000+2730500+130000-130000</f>
        <v>3525500</v>
      </c>
      <c r="P66" s="25"/>
      <c r="Q66" s="25"/>
      <c r="R66" s="25"/>
      <c r="S66" s="25">
        <f>795000+2730500+130000-130000</f>
        <v>3525500</v>
      </c>
      <c r="T66" s="15">
        <f t="shared" si="18"/>
        <v>3534555</v>
      </c>
      <c r="U66" s="25">
        <v>3434555</v>
      </c>
      <c r="V66" s="25">
        <v>100000</v>
      </c>
      <c r="W66" s="25">
        <v>81967.199999999997</v>
      </c>
      <c r="X66" s="25"/>
      <c r="Y66" s="25">
        <v>3434555</v>
      </c>
      <c r="Z66" s="181">
        <f t="shared" si="4"/>
        <v>100.25684300099276</v>
      </c>
      <c r="AA66" s="25">
        <f t="shared" si="16"/>
        <v>6784409.71</v>
      </c>
      <c r="AB66" s="25">
        <f t="shared" si="19"/>
        <v>8763800</v>
      </c>
      <c r="AC66" s="198"/>
    </row>
    <row r="67" spans="1:30" s="31" customFormat="1" ht="93" customHeight="1" x14ac:dyDescent="0.25">
      <c r="A67" s="27"/>
      <c r="B67" s="28"/>
      <c r="C67" s="28"/>
      <c r="D67" s="29" t="str">
        <f>'дод 5'!C316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67" s="30">
        <f t="shared" ref="E67" si="31">F67+I67</f>
        <v>164000</v>
      </c>
      <c r="F67" s="30">
        <v>164000</v>
      </c>
      <c r="G67" s="30"/>
      <c r="H67" s="30"/>
      <c r="I67" s="30"/>
      <c r="J67" s="30">
        <v>164000</v>
      </c>
      <c r="K67" s="30"/>
      <c r="L67" s="30"/>
      <c r="M67" s="182">
        <f t="shared" si="3"/>
        <v>100</v>
      </c>
      <c r="N67" s="30">
        <f t="shared" ref="N67" si="32">P67+S67</f>
        <v>0</v>
      </c>
      <c r="O67" s="30"/>
      <c r="P67" s="30"/>
      <c r="Q67" s="30"/>
      <c r="R67" s="30"/>
      <c r="S67" s="30"/>
      <c r="T67" s="15">
        <f t="shared" si="18"/>
        <v>0</v>
      </c>
      <c r="U67" s="30"/>
      <c r="V67" s="30"/>
      <c r="W67" s="30"/>
      <c r="X67" s="30"/>
      <c r="Y67" s="30"/>
      <c r="Z67" s="182"/>
      <c r="AA67" s="30">
        <f t="shared" si="16"/>
        <v>164000</v>
      </c>
      <c r="AB67" s="30">
        <f t="shared" ref="AB67" si="33">E67+N67</f>
        <v>164000</v>
      </c>
      <c r="AC67" s="198"/>
    </row>
    <row r="68" spans="1:30" s="26" customFormat="1" ht="30" customHeight="1" x14ac:dyDescent="0.25">
      <c r="A68" s="22" t="s">
        <v>215</v>
      </c>
      <c r="B68" s="23" t="str">
        <f>'дод 5'!A317</f>
        <v>8120</v>
      </c>
      <c r="C68" s="23" t="str">
        <f>'дод 5'!B317</f>
        <v>0320</v>
      </c>
      <c r="D68" s="24" t="str">
        <f>'дод 5'!C317</f>
        <v>Заходи з організації рятування на водах, у т. ч. за рахунок:</v>
      </c>
      <c r="E68" s="25">
        <f t="shared" si="17"/>
        <v>4386700</v>
      </c>
      <c r="F68" s="25">
        <f>3131100+2000+1302200-48600</f>
        <v>4386700</v>
      </c>
      <c r="G68" s="25">
        <f>2400000+687400</f>
        <v>3087400</v>
      </c>
      <c r="H68" s="25">
        <v>109000</v>
      </c>
      <c r="I68" s="25"/>
      <c r="J68" s="25">
        <v>3549318.28</v>
      </c>
      <c r="K68" s="25">
        <v>2540015.84</v>
      </c>
      <c r="L68" s="25">
        <v>101843.16</v>
      </c>
      <c r="M68" s="181">
        <f t="shared" si="3"/>
        <v>80.910896117810651</v>
      </c>
      <c r="N68" s="25">
        <f t="shared" si="24"/>
        <v>134000</v>
      </c>
      <c r="O68" s="25">
        <f>80500-2000+48600</f>
        <v>127100</v>
      </c>
      <c r="P68" s="25">
        <v>6900</v>
      </c>
      <c r="Q68" s="25"/>
      <c r="R68" s="25">
        <v>1600</v>
      </c>
      <c r="S68" s="25">
        <f>80500-2000+48600</f>
        <v>127100</v>
      </c>
      <c r="T68" s="15">
        <f t="shared" si="18"/>
        <v>150822.72</v>
      </c>
      <c r="U68" s="25">
        <v>117597</v>
      </c>
      <c r="V68" s="25">
        <v>33225.72</v>
      </c>
      <c r="W68" s="25">
        <v>20000</v>
      </c>
      <c r="X68" s="25"/>
      <c r="Y68" s="25">
        <v>117597</v>
      </c>
      <c r="Z68" s="181" t="s">
        <v>771</v>
      </c>
      <c r="AA68" s="25">
        <f t="shared" si="16"/>
        <v>3700141</v>
      </c>
      <c r="AB68" s="25">
        <f t="shared" si="19"/>
        <v>4520700</v>
      </c>
      <c r="AC68" s="198"/>
    </row>
    <row r="69" spans="1:30" s="31" customFormat="1" ht="47.25" customHeight="1" x14ac:dyDescent="0.25">
      <c r="A69" s="27"/>
      <c r="B69" s="28"/>
      <c r="C69" s="28"/>
      <c r="D69" s="29" t="str">
        <f>'дод 5'!C318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69" s="30">
        <f t="shared" si="17"/>
        <v>410600</v>
      </c>
      <c r="F69" s="30">
        <v>410600</v>
      </c>
      <c r="G69" s="30">
        <v>336800</v>
      </c>
      <c r="H69" s="30"/>
      <c r="I69" s="30"/>
      <c r="J69" s="30">
        <v>410600</v>
      </c>
      <c r="K69" s="30">
        <v>336750</v>
      </c>
      <c r="L69" s="30"/>
      <c r="M69" s="182">
        <f t="shared" si="3"/>
        <v>100</v>
      </c>
      <c r="N69" s="30">
        <f t="shared" si="24"/>
        <v>0</v>
      </c>
      <c r="O69" s="30"/>
      <c r="P69" s="30"/>
      <c r="Q69" s="30"/>
      <c r="R69" s="30"/>
      <c r="S69" s="30"/>
      <c r="T69" s="15">
        <f t="shared" si="18"/>
        <v>0</v>
      </c>
      <c r="U69" s="30"/>
      <c r="V69" s="30"/>
      <c r="W69" s="30"/>
      <c r="X69" s="30"/>
      <c r="Y69" s="30"/>
      <c r="Z69" s="182"/>
      <c r="AA69" s="30">
        <f t="shared" si="16"/>
        <v>410600</v>
      </c>
      <c r="AB69" s="30">
        <f t="shared" si="19"/>
        <v>410600</v>
      </c>
      <c r="AC69" s="198"/>
    </row>
    <row r="70" spans="1:30" s="26" customFormat="1" ht="27" customHeight="1" x14ac:dyDescent="0.25">
      <c r="A70" s="22" t="s">
        <v>235</v>
      </c>
      <c r="B70" s="23" t="str">
        <f>'дод 5'!A321</f>
        <v>8230</v>
      </c>
      <c r="C70" s="23" t="str">
        <f>'дод 5'!B321</f>
        <v>0380</v>
      </c>
      <c r="D70" s="24" t="str">
        <f>'дод 5'!C321</f>
        <v>Інші заходи громадського порядку та безпеки</v>
      </c>
      <c r="E70" s="25">
        <f t="shared" si="17"/>
        <v>1158892</v>
      </c>
      <c r="F70" s="25">
        <f>743000+25892+150000+40000+200000</f>
        <v>1158892</v>
      </c>
      <c r="G70" s="25"/>
      <c r="H70" s="25">
        <f>546600+40000+54000</f>
        <v>640600</v>
      </c>
      <c r="I70" s="25"/>
      <c r="J70" s="25">
        <v>1085388.3400000001</v>
      </c>
      <c r="K70" s="25"/>
      <c r="L70" s="25">
        <v>603579.5</v>
      </c>
      <c r="M70" s="181">
        <f t="shared" si="3"/>
        <v>93.657419328116859</v>
      </c>
      <c r="N70" s="25">
        <f t="shared" si="24"/>
        <v>0</v>
      </c>
      <c r="O70" s="25"/>
      <c r="P70" s="25"/>
      <c r="Q70" s="25"/>
      <c r="R70" s="25"/>
      <c r="S70" s="25"/>
      <c r="T70" s="15">
        <f t="shared" si="18"/>
        <v>0</v>
      </c>
      <c r="U70" s="25"/>
      <c r="V70" s="25"/>
      <c r="W70" s="25"/>
      <c r="X70" s="25"/>
      <c r="Y70" s="25"/>
      <c r="Z70" s="181"/>
      <c r="AA70" s="25">
        <f t="shared" si="16"/>
        <v>1085388.3400000001</v>
      </c>
      <c r="AB70" s="25">
        <f t="shared" si="19"/>
        <v>1158892</v>
      </c>
      <c r="AC70" s="198"/>
    </row>
    <row r="71" spans="1:30" s="26" customFormat="1" ht="20.25" customHeight="1" x14ac:dyDescent="0.25">
      <c r="A71" s="22" t="s">
        <v>565</v>
      </c>
      <c r="B71" s="23">
        <f>'дод 5'!A322</f>
        <v>8240</v>
      </c>
      <c r="C71" s="23" t="str">
        <f>'дод 5'!B322</f>
        <v>0380</v>
      </c>
      <c r="D71" s="24" t="s">
        <v>566</v>
      </c>
      <c r="E71" s="25">
        <f t="shared" ref="E71" si="34">F71+I71</f>
        <v>14637735.879999999</v>
      </c>
      <c r="F71" s="25">
        <f>22706200-39999-97332+27533.88-7958667</f>
        <v>14637735.879999999</v>
      </c>
      <c r="G71" s="25"/>
      <c r="H71" s="25">
        <f>5530100-925297.42-84864</f>
        <v>4519938.58</v>
      </c>
      <c r="I71" s="25"/>
      <c r="J71" s="25">
        <v>11129881.369999999</v>
      </c>
      <c r="K71" s="25"/>
      <c r="L71" s="25">
        <v>2375250.81</v>
      </c>
      <c r="M71" s="181">
        <f t="shared" si="3"/>
        <v>76.035538974351269</v>
      </c>
      <c r="N71" s="25">
        <f t="shared" ref="N71:N72" si="35">P71+S71</f>
        <v>845998</v>
      </c>
      <c r="O71" s="25">
        <f>750000+39999+97332-41333</f>
        <v>845998</v>
      </c>
      <c r="P71" s="25"/>
      <c r="Q71" s="25"/>
      <c r="R71" s="25"/>
      <c r="S71" s="25">
        <f>750000+39999+97332-41333</f>
        <v>845998</v>
      </c>
      <c r="T71" s="15">
        <f t="shared" si="18"/>
        <v>845998</v>
      </c>
      <c r="U71" s="25">
        <v>845998</v>
      </c>
      <c r="V71" s="25"/>
      <c r="W71" s="25"/>
      <c r="X71" s="25"/>
      <c r="Y71" s="25">
        <v>845998</v>
      </c>
      <c r="Z71" s="181">
        <f t="shared" si="4"/>
        <v>100</v>
      </c>
      <c r="AA71" s="25">
        <f t="shared" si="16"/>
        <v>11975879.369999999</v>
      </c>
      <c r="AB71" s="25">
        <f t="shared" ref="AB71:AB72" si="36">E71+N71</f>
        <v>15483733.879999999</v>
      </c>
      <c r="AC71" s="198"/>
    </row>
    <row r="72" spans="1:30" s="31" customFormat="1" ht="21.4" hidden="1" customHeight="1" x14ac:dyDescent="0.25">
      <c r="A72" s="27"/>
      <c r="B72" s="28"/>
      <c r="C72" s="28"/>
      <c r="D72" s="43" t="s">
        <v>379</v>
      </c>
      <c r="E72" s="30"/>
      <c r="F72" s="30"/>
      <c r="G72" s="30"/>
      <c r="H72" s="30"/>
      <c r="I72" s="30"/>
      <c r="J72" s="30"/>
      <c r="K72" s="30"/>
      <c r="L72" s="30"/>
      <c r="M72" s="182" t="e">
        <f t="shared" si="3"/>
        <v>#DIV/0!</v>
      </c>
      <c r="N72" s="30">
        <f t="shared" si="35"/>
        <v>0</v>
      </c>
      <c r="O72" s="30"/>
      <c r="P72" s="30"/>
      <c r="Q72" s="30"/>
      <c r="R72" s="30"/>
      <c r="S72" s="30"/>
      <c r="T72" s="15">
        <f t="shared" si="18"/>
        <v>0</v>
      </c>
      <c r="U72" s="30"/>
      <c r="V72" s="30"/>
      <c r="W72" s="30"/>
      <c r="X72" s="30"/>
      <c r="Y72" s="30"/>
      <c r="Z72" s="182" t="e">
        <f t="shared" si="4"/>
        <v>#DIV/0!</v>
      </c>
      <c r="AA72" s="30">
        <f t="shared" si="16"/>
        <v>0</v>
      </c>
      <c r="AB72" s="30">
        <f t="shared" si="36"/>
        <v>0</v>
      </c>
      <c r="AC72" s="104"/>
    </row>
    <row r="73" spans="1:30" s="26" customFormat="1" ht="31.5" x14ac:dyDescent="0.25">
      <c r="A73" s="22" t="s">
        <v>156</v>
      </c>
      <c r="B73" s="23" t="str">
        <f>'дод 5'!A327</f>
        <v>8340</v>
      </c>
      <c r="C73" s="23" t="str">
        <f>'дод 5'!B327</f>
        <v>0540</v>
      </c>
      <c r="D73" s="24" t="str">
        <f>'дод 5'!C327</f>
        <v>Природоохоронні заходи за рахунок цільових фондів</v>
      </c>
      <c r="E73" s="25">
        <f t="shared" si="17"/>
        <v>0</v>
      </c>
      <c r="F73" s="25"/>
      <c r="G73" s="25"/>
      <c r="H73" s="25"/>
      <c r="I73" s="25"/>
      <c r="J73" s="25"/>
      <c r="K73" s="25"/>
      <c r="L73" s="25"/>
      <c r="M73" s="181"/>
      <c r="N73" s="25">
        <f t="shared" si="24"/>
        <v>70000</v>
      </c>
      <c r="O73" s="25"/>
      <c r="P73" s="25">
        <v>70000</v>
      </c>
      <c r="Q73" s="25"/>
      <c r="R73" s="25"/>
      <c r="S73" s="25"/>
      <c r="T73" s="15">
        <f t="shared" si="18"/>
        <v>67500</v>
      </c>
      <c r="U73" s="25"/>
      <c r="V73" s="25">
        <v>67500</v>
      </c>
      <c r="W73" s="25"/>
      <c r="X73" s="25"/>
      <c r="Y73" s="25"/>
      <c r="Z73" s="181">
        <f t="shared" si="4"/>
        <v>96.428571428571431</v>
      </c>
      <c r="AA73" s="25">
        <f t="shared" si="16"/>
        <v>67500</v>
      </c>
      <c r="AB73" s="25">
        <f t="shared" si="19"/>
        <v>70000</v>
      </c>
      <c r="AC73" s="198">
        <v>3</v>
      </c>
    </row>
    <row r="74" spans="1:30" s="26" customFormat="1" ht="15.75" hidden="1" customHeight="1" x14ac:dyDescent="0.25">
      <c r="A74" s="22" t="s">
        <v>245</v>
      </c>
      <c r="B74" s="23" t="str">
        <f>'дод 5'!A329</f>
        <v>8420</v>
      </c>
      <c r="C74" s="23" t="str">
        <f>'дод 5'!B329</f>
        <v>0830</v>
      </c>
      <c r="D74" s="24" t="str">
        <f>'дод 5'!C329</f>
        <v>Інші заходи у сфері засобів масової інформації</v>
      </c>
      <c r="E74" s="25">
        <f t="shared" si="17"/>
        <v>0</v>
      </c>
      <c r="F74" s="25"/>
      <c r="G74" s="25"/>
      <c r="H74" s="25"/>
      <c r="I74" s="25"/>
      <c r="J74" s="25"/>
      <c r="K74" s="25"/>
      <c r="L74" s="25"/>
      <c r="M74" s="181" t="e">
        <f t="shared" si="3"/>
        <v>#DIV/0!</v>
      </c>
      <c r="N74" s="25">
        <f t="shared" si="24"/>
        <v>0</v>
      </c>
      <c r="O74" s="25"/>
      <c r="P74" s="25"/>
      <c r="Q74" s="25"/>
      <c r="R74" s="25"/>
      <c r="S74" s="25"/>
      <c r="T74" s="15">
        <f t="shared" si="18"/>
        <v>0</v>
      </c>
      <c r="U74" s="25"/>
      <c r="V74" s="25"/>
      <c r="W74" s="25"/>
      <c r="X74" s="25"/>
      <c r="Y74" s="25"/>
      <c r="Z74" s="181" t="e">
        <f t="shared" si="4"/>
        <v>#DIV/0!</v>
      </c>
      <c r="AA74" s="25">
        <f t="shared" si="16"/>
        <v>0</v>
      </c>
      <c r="AB74" s="25">
        <f t="shared" si="19"/>
        <v>0</v>
      </c>
      <c r="AC74" s="198"/>
    </row>
    <row r="75" spans="1:30" s="26" customFormat="1" ht="18.75" customHeight="1" x14ac:dyDescent="0.25">
      <c r="A75" s="22" t="s">
        <v>528</v>
      </c>
      <c r="B75" s="23">
        <v>9770</v>
      </c>
      <c r="C75" s="22" t="s">
        <v>43</v>
      </c>
      <c r="D75" s="24" t="s">
        <v>342</v>
      </c>
      <c r="E75" s="25">
        <f t="shared" si="17"/>
        <v>1400000</v>
      </c>
      <c r="F75" s="25">
        <f>800000+300000+300000</f>
        <v>1400000</v>
      </c>
      <c r="G75" s="25"/>
      <c r="H75" s="25"/>
      <c r="I75" s="25"/>
      <c r="J75" s="25">
        <v>1399925</v>
      </c>
      <c r="K75" s="25"/>
      <c r="L75" s="25"/>
      <c r="M75" s="181">
        <f t="shared" si="3"/>
        <v>99.99464285714285</v>
      </c>
      <c r="N75" s="25">
        <f t="shared" si="24"/>
        <v>4179664</v>
      </c>
      <c r="O75" s="25">
        <f>2900000+355664+924000</f>
        <v>4179664</v>
      </c>
      <c r="P75" s="25"/>
      <c r="Q75" s="25"/>
      <c r="R75" s="25"/>
      <c r="S75" s="25">
        <f>2900000+355664+924000</f>
        <v>4179664</v>
      </c>
      <c r="T75" s="15">
        <f t="shared" si="18"/>
        <v>4175490.57</v>
      </c>
      <c r="U75" s="25">
        <v>4175490.57</v>
      </c>
      <c r="V75" s="25"/>
      <c r="W75" s="25"/>
      <c r="X75" s="25"/>
      <c r="Y75" s="25">
        <v>4175490.57</v>
      </c>
      <c r="Z75" s="181">
        <f t="shared" si="4"/>
        <v>99.900149150745136</v>
      </c>
      <c r="AA75" s="25">
        <f t="shared" si="16"/>
        <v>5575415.5700000003</v>
      </c>
      <c r="AB75" s="25">
        <f t="shared" si="19"/>
        <v>5579664</v>
      </c>
      <c r="AC75" s="198"/>
    </row>
    <row r="76" spans="1:30" s="26" customFormat="1" ht="47.25" customHeight="1" x14ac:dyDescent="0.25">
      <c r="A76" s="22" t="s">
        <v>367</v>
      </c>
      <c r="B76" s="23">
        <v>9800</v>
      </c>
      <c r="C76" s="22" t="s">
        <v>43</v>
      </c>
      <c r="D76" s="24" t="s">
        <v>353</v>
      </c>
      <c r="E76" s="25">
        <f>F76+I76</f>
        <v>18078015.98</v>
      </c>
      <c r="F76" s="25">
        <f>540000+340000+2270000+150000+2500000+626900+70000+300000+100000+20000+300000+450000+350000+50000+250000+200000-300000+1414599-116600+300000+250000+13116.98+8000000</f>
        <v>18078015.98</v>
      </c>
      <c r="G76" s="25"/>
      <c r="H76" s="25"/>
      <c r="I76" s="25"/>
      <c r="J76" s="25">
        <v>17449104.550000001</v>
      </c>
      <c r="K76" s="25"/>
      <c r="L76" s="25"/>
      <c r="M76" s="181">
        <f t="shared" si="3"/>
        <v>96.521125821020547</v>
      </c>
      <c r="N76" s="25">
        <f t="shared" si="24"/>
        <v>43433661.600000001</v>
      </c>
      <c r="O76" s="25">
        <f>19170000+600000+300000+1500000+950000+3420500+2000000+5000000+222000+1027350+2000000+140000+2000000+420000+930000+1300000+200000-300000+1550000+195000+350000+475000-16188.4+8000000-8000000</f>
        <v>43433661.600000001</v>
      </c>
      <c r="P76" s="25"/>
      <c r="Q76" s="25"/>
      <c r="R76" s="25"/>
      <c r="S76" s="25">
        <f>19170000+600000+300000+1500000+950000+3420500+2000000+5000000+222000+1027350+2000000+140000+2000000+420000+930000+1300000+200000-300000+1550000+195000+350000+475000-16188.4+8000000-8000000</f>
        <v>43433661.600000001</v>
      </c>
      <c r="T76" s="15">
        <f t="shared" si="18"/>
        <v>39862152.539999999</v>
      </c>
      <c r="U76" s="25">
        <v>39862152.539999999</v>
      </c>
      <c r="V76" s="25"/>
      <c r="W76" s="25"/>
      <c r="X76" s="25"/>
      <c r="Y76" s="25">
        <v>39862152.539999999</v>
      </c>
      <c r="Z76" s="181">
        <f t="shared" si="4"/>
        <v>91.777094243419711</v>
      </c>
      <c r="AA76" s="25">
        <f t="shared" si="16"/>
        <v>57311257.090000004</v>
      </c>
      <c r="AB76" s="25">
        <f t="shared" si="19"/>
        <v>61511677.579999998</v>
      </c>
      <c r="AC76" s="198"/>
    </row>
    <row r="77" spans="1:30" s="16" customFormat="1" ht="29.25" customHeight="1" x14ac:dyDescent="0.25">
      <c r="A77" s="37" t="s">
        <v>157</v>
      </c>
      <c r="B77" s="38"/>
      <c r="C77" s="38"/>
      <c r="D77" s="39" t="s">
        <v>24</v>
      </c>
      <c r="E77" s="15">
        <f>E78</f>
        <v>1502178233.1700001</v>
      </c>
      <c r="F77" s="15">
        <f t="shared" ref="F77:AA77" si="37">F78</f>
        <v>1502178233.1700001</v>
      </c>
      <c r="G77" s="15">
        <f t="shared" si="37"/>
        <v>1007935361</v>
      </c>
      <c r="H77" s="15">
        <f t="shared" si="37"/>
        <v>145311765</v>
      </c>
      <c r="I77" s="15">
        <f t="shared" si="37"/>
        <v>0</v>
      </c>
      <c r="J77" s="15">
        <f t="shared" si="37"/>
        <v>1462290309.4200003</v>
      </c>
      <c r="K77" s="15">
        <f t="shared" si="37"/>
        <v>1004649115.9399999</v>
      </c>
      <c r="L77" s="15">
        <f t="shared" si="37"/>
        <v>131678104.79000001</v>
      </c>
      <c r="M77" s="121">
        <f t="shared" si="3"/>
        <v>97.344661048254878</v>
      </c>
      <c r="N77" s="15">
        <f t="shared" si="37"/>
        <v>567567264.65999997</v>
      </c>
      <c r="O77" s="15">
        <f t="shared" si="37"/>
        <v>366907361</v>
      </c>
      <c r="P77" s="15">
        <f t="shared" si="37"/>
        <v>135330823</v>
      </c>
      <c r="Q77" s="15">
        <f t="shared" si="37"/>
        <v>6739662</v>
      </c>
      <c r="R77" s="15">
        <f t="shared" si="37"/>
        <v>5594400</v>
      </c>
      <c r="S77" s="15">
        <f t="shared" si="37"/>
        <v>432236441.65999997</v>
      </c>
      <c r="T77" s="15">
        <f t="shared" si="37"/>
        <v>462350371.32999992</v>
      </c>
      <c r="U77" s="15">
        <f t="shared" si="37"/>
        <v>291355263.93000001</v>
      </c>
      <c r="V77" s="15">
        <f t="shared" si="37"/>
        <v>80090649.640000001</v>
      </c>
      <c r="W77" s="15">
        <f t="shared" si="37"/>
        <v>13467608.84</v>
      </c>
      <c r="X77" s="15">
        <f t="shared" si="37"/>
        <v>4898124.4099999992</v>
      </c>
      <c r="Y77" s="15">
        <f t="shared" si="37"/>
        <v>382259721.69</v>
      </c>
      <c r="Z77" s="121">
        <f t="shared" si="4"/>
        <v>81.461775567160316</v>
      </c>
      <c r="AA77" s="15">
        <f t="shared" si="37"/>
        <v>1924640680.75</v>
      </c>
      <c r="AB77" s="15">
        <f t="shared" ref="AB77" si="38">AB78</f>
        <v>2069745497.8300002</v>
      </c>
      <c r="AC77" s="198"/>
      <c r="AD77" s="198"/>
    </row>
    <row r="78" spans="1:30" s="21" customFormat="1" ht="33" customHeight="1" x14ac:dyDescent="0.25">
      <c r="A78" s="17" t="s">
        <v>158</v>
      </c>
      <c r="B78" s="40"/>
      <c r="C78" s="40"/>
      <c r="D78" s="19" t="s">
        <v>601</v>
      </c>
      <c r="E78" s="20">
        <f t="shared" ref="E78:AB78" si="39">E93+E94+E95+E98+E100+E101+E104+E106+E108+E111+E113+E120+E121+E122+E123+E125+E126+E127+E129+E131+E133+E135+E137+E154+E155+E157+E159+E164+E165+E170+E171+E173+E174+E114+E116+E163+E166+E169+E167+E144+E145+E151+E161+E149+E147+E139+E138+E141+E118+E142+E152</f>
        <v>1502178233.1700001</v>
      </c>
      <c r="F78" s="20">
        <f t="shared" ref="F78:AA78" si="40">F93+F94+F95+F98+F100+F101+F104+F106+F108+F111+F113+F120+F121+F122+F123+F125+F126+F127+F129+F131+F133+F135+F137+F154+F155+F157+F159+F164+F165+F170+F171+F173+F174+F114+F116+F163+F166+F169+F167+F144+F145+F151+F161+F149+F147+F139+F138+F141+F118+F142+F152</f>
        <v>1502178233.1700001</v>
      </c>
      <c r="G78" s="20">
        <f t="shared" si="40"/>
        <v>1007935361</v>
      </c>
      <c r="H78" s="20">
        <f t="shared" si="40"/>
        <v>145311765</v>
      </c>
      <c r="I78" s="20">
        <f t="shared" si="40"/>
        <v>0</v>
      </c>
      <c r="J78" s="20">
        <f t="shared" si="40"/>
        <v>1462290309.4200003</v>
      </c>
      <c r="K78" s="20">
        <f t="shared" si="40"/>
        <v>1004649115.9399999</v>
      </c>
      <c r="L78" s="20">
        <f t="shared" si="40"/>
        <v>131678104.79000001</v>
      </c>
      <c r="M78" s="187">
        <f t="shared" si="3"/>
        <v>97.344661048254878</v>
      </c>
      <c r="N78" s="20">
        <f t="shared" si="40"/>
        <v>567567264.65999997</v>
      </c>
      <c r="O78" s="20">
        <f t="shared" si="40"/>
        <v>366907361</v>
      </c>
      <c r="P78" s="20">
        <f t="shared" si="40"/>
        <v>135330823</v>
      </c>
      <c r="Q78" s="20">
        <f t="shared" si="40"/>
        <v>6739662</v>
      </c>
      <c r="R78" s="20">
        <f t="shared" si="40"/>
        <v>5594400</v>
      </c>
      <c r="S78" s="20">
        <f t="shared" si="40"/>
        <v>432236441.65999997</v>
      </c>
      <c r="T78" s="20">
        <f t="shared" si="40"/>
        <v>462350371.32999992</v>
      </c>
      <c r="U78" s="20">
        <f t="shared" si="40"/>
        <v>291355263.93000001</v>
      </c>
      <c r="V78" s="20">
        <f t="shared" si="40"/>
        <v>80090649.640000001</v>
      </c>
      <c r="W78" s="20">
        <f t="shared" si="40"/>
        <v>13467608.84</v>
      </c>
      <c r="X78" s="20">
        <f t="shared" si="40"/>
        <v>4898124.4099999992</v>
      </c>
      <c r="Y78" s="20">
        <f t="shared" si="40"/>
        <v>382259721.69</v>
      </c>
      <c r="Z78" s="187">
        <f t="shared" si="4"/>
        <v>81.461775567160316</v>
      </c>
      <c r="AA78" s="20">
        <f t="shared" si="40"/>
        <v>1924640680.75</v>
      </c>
      <c r="AB78" s="20">
        <f t="shared" si="39"/>
        <v>2069745497.8300002</v>
      </c>
      <c r="AC78" s="198"/>
      <c r="AD78" s="198"/>
    </row>
    <row r="79" spans="1:30" s="21" customFormat="1" ht="31.5" customHeight="1" x14ac:dyDescent="0.25">
      <c r="A79" s="17"/>
      <c r="B79" s="40"/>
      <c r="C79" s="40"/>
      <c r="D79" s="19" t="s">
        <v>375</v>
      </c>
      <c r="E79" s="20">
        <f>E102+E105+E107+E117</f>
        <v>551078300</v>
      </c>
      <c r="F79" s="20">
        <f t="shared" ref="F79:AA79" si="41">F102+F105+F107+F117</f>
        <v>551078300</v>
      </c>
      <c r="G79" s="20">
        <f t="shared" si="41"/>
        <v>452384600</v>
      </c>
      <c r="H79" s="20">
        <f t="shared" si="41"/>
        <v>0</v>
      </c>
      <c r="I79" s="20">
        <f t="shared" si="41"/>
        <v>0</v>
      </c>
      <c r="J79" s="20">
        <f t="shared" si="41"/>
        <v>546955919.57000005</v>
      </c>
      <c r="K79" s="20">
        <f t="shared" si="41"/>
        <v>449712648.14999998</v>
      </c>
      <c r="L79" s="20">
        <f t="shared" si="41"/>
        <v>0</v>
      </c>
      <c r="M79" s="187">
        <f t="shared" si="3"/>
        <v>99.251942885430267</v>
      </c>
      <c r="N79" s="20">
        <f t="shared" si="41"/>
        <v>0</v>
      </c>
      <c r="O79" s="20">
        <f t="shared" si="41"/>
        <v>0</v>
      </c>
      <c r="P79" s="20">
        <f t="shared" si="41"/>
        <v>0</v>
      </c>
      <c r="Q79" s="20">
        <f t="shared" si="41"/>
        <v>0</v>
      </c>
      <c r="R79" s="20">
        <f t="shared" si="41"/>
        <v>0</v>
      </c>
      <c r="S79" s="20">
        <f t="shared" si="41"/>
        <v>0</v>
      </c>
      <c r="T79" s="20">
        <f t="shared" si="41"/>
        <v>0</v>
      </c>
      <c r="U79" s="20">
        <f t="shared" si="41"/>
        <v>0</v>
      </c>
      <c r="V79" s="20">
        <f t="shared" si="41"/>
        <v>0</v>
      </c>
      <c r="W79" s="20">
        <f t="shared" si="41"/>
        <v>0</v>
      </c>
      <c r="X79" s="20">
        <f t="shared" si="41"/>
        <v>0</v>
      </c>
      <c r="Y79" s="20">
        <f t="shared" si="41"/>
        <v>0</v>
      </c>
      <c r="Z79" s="187"/>
      <c r="AA79" s="20">
        <f t="shared" si="41"/>
        <v>546955919.57000005</v>
      </c>
      <c r="AB79" s="20">
        <f t="shared" ref="AB79" si="42">AB102+AB105+AB107+AB117</f>
        <v>551078300</v>
      </c>
      <c r="AC79" s="198"/>
      <c r="AD79" s="198"/>
    </row>
    <row r="80" spans="1:30" s="21" customFormat="1" ht="31.5" customHeight="1" x14ac:dyDescent="0.25">
      <c r="A80" s="17"/>
      <c r="B80" s="40"/>
      <c r="C80" s="40"/>
      <c r="D80" s="19" t="s">
        <v>575</v>
      </c>
      <c r="E80" s="20">
        <f>E110</f>
        <v>351767.89</v>
      </c>
      <c r="F80" s="20">
        <f t="shared" ref="F80:AA80" si="43">F110</f>
        <v>351767.89</v>
      </c>
      <c r="G80" s="20">
        <f t="shared" si="43"/>
        <v>290000</v>
      </c>
      <c r="H80" s="20">
        <f t="shared" si="43"/>
        <v>0</v>
      </c>
      <c r="I80" s="20">
        <f t="shared" si="43"/>
        <v>0</v>
      </c>
      <c r="J80" s="20">
        <f t="shared" si="43"/>
        <v>351767.89</v>
      </c>
      <c r="K80" s="20">
        <f t="shared" si="43"/>
        <v>290000</v>
      </c>
      <c r="L80" s="20">
        <f t="shared" si="43"/>
        <v>0</v>
      </c>
      <c r="M80" s="187">
        <f t="shared" si="3"/>
        <v>100</v>
      </c>
      <c r="N80" s="20">
        <f t="shared" si="43"/>
        <v>0</v>
      </c>
      <c r="O80" s="20">
        <f t="shared" si="43"/>
        <v>0</v>
      </c>
      <c r="P80" s="20">
        <f t="shared" si="43"/>
        <v>0</v>
      </c>
      <c r="Q80" s="20">
        <f t="shared" si="43"/>
        <v>0</v>
      </c>
      <c r="R80" s="20">
        <f t="shared" si="43"/>
        <v>0</v>
      </c>
      <c r="S80" s="20">
        <f t="shared" si="43"/>
        <v>0</v>
      </c>
      <c r="T80" s="20">
        <f t="shared" si="43"/>
        <v>0</v>
      </c>
      <c r="U80" s="20">
        <f t="shared" si="43"/>
        <v>0</v>
      </c>
      <c r="V80" s="20">
        <f t="shared" si="43"/>
        <v>0</v>
      </c>
      <c r="W80" s="20">
        <f t="shared" si="43"/>
        <v>0</v>
      </c>
      <c r="X80" s="20">
        <f t="shared" si="43"/>
        <v>0</v>
      </c>
      <c r="Y80" s="20">
        <f t="shared" si="43"/>
        <v>0</v>
      </c>
      <c r="Z80" s="187"/>
      <c r="AA80" s="20">
        <f t="shared" si="43"/>
        <v>351767.89</v>
      </c>
      <c r="AB80" s="20">
        <f t="shared" ref="AB80" si="44">AB110</f>
        <v>351767.89</v>
      </c>
      <c r="AC80" s="198"/>
      <c r="AD80" s="198"/>
    </row>
    <row r="81" spans="1:30" s="21" customFormat="1" ht="63" x14ac:dyDescent="0.25">
      <c r="A81" s="17"/>
      <c r="B81" s="40"/>
      <c r="C81" s="40"/>
      <c r="D81" s="19" t="str">
        <f>D140</f>
        <v>субвенції з державного бюджету місцевим бюджетам на створення навчально-практичних центрів сучасної професійної (професійно-технічної) освіти</v>
      </c>
      <c r="E81" s="20">
        <f t="shared" ref="E81:AB81" si="45">E140</f>
        <v>2847046</v>
      </c>
      <c r="F81" s="20">
        <f t="shared" ref="F81:AA81" si="46">F140</f>
        <v>2847046</v>
      </c>
      <c r="G81" s="20">
        <f t="shared" si="46"/>
        <v>0</v>
      </c>
      <c r="H81" s="20">
        <f t="shared" si="46"/>
        <v>0</v>
      </c>
      <c r="I81" s="20">
        <f t="shared" si="46"/>
        <v>0</v>
      </c>
      <c r="J81" s="20">
        <f t="shared" si="46"/>
        <v>2846060.89</v>
      </c>
      <c r="K81" s="20">
        <f t="shared" si="46"/>
        <v>0</v>
      </c>
      <c r="L81" s="20">
        <f t="shared" si="46"/>
        <v>0</v>
      </c>
      <c r="M81" s="187">
        <f t="shared" si="3"/>
        <v>99.965398873077575</v>
      </c>
      <c r="N81" s="20">
        <f t="shared" si="46"/>
        <v>5552954</v>
      </c>
      <c r="O81" s="20">
        <f t="shared" si="46"/>
        <v>5552954</v>
      </c>
      <c r="P81" s="20">
        <f t="shared" si="46"/>
        <v>0</v>
      </c>
      <c r="Q81" s="20">
        <f t="shared" si="46"/>
        <v>0</v>
      </c>
      <c r="R81" s="20">
        <f t="shared" si="46"/>
        <v>0</v>
      </c>
      <c r="S81" s="20">
        <f t="shared" si="46"/>
        <v>5552954</v>
      </c>
      <c r="T81" s="20">
        <f t="shared" si="46"/>
        <v>5552954</v>
      </c>
      <c r="U81" s="20">
        <f t="shared" si="46"/>
        <v>5552954</v>
      </c>
      <c r="V81" s="20">
        <f t="shared" si="46"/>
        <v>0</v>
      </c>
      <c r="W81" s="20">
        <f t="shared" si="46"/>
        <v>0</v>
      </c>
      <c r="X81" s="20">
        <f t="shared" si="46"/>
        <v>0</v>
      </c>
      <c r="Y81" s="20">
        <f t="shared" si="46"/>
        <v>5552954</v>
      </c>
      <c r="Z81" s="187">
        <f t="shared" si="4"/>
        <v>100</v>
      </c>
      <c r="AA81" s="20">
        <f t="shared" si="46"/>
        <v>8399014.8900000006</v>
      </c>
      <c r="AB81" s="20">
        <f t="shared" si="45"/>
        <v>8400000</v>
      </c>
      <c r="AC81" s="198"/>
      <c r="AD81" s="198"/>
    </row>
    <row r="82" spans="1:30" s="21" customFormat="1" ht="74.25" customHeight="1" x14ac:dyDescent="0.25">
      <c r="A82" s="17"/>
      <c r="B82" s="40"/>
      <c r="C82" s="40"/>
      <c r="D82" s="19" t="str">
        <f>D143</f>
        <v>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v>
      </c>
      <c r="E82" s="20">
        <f>E143</f>
        <v>0</v>
      </c>
      <c r="F82" s="20">
        <f t="shared" ref="F82:AA82" si="47">F143</f>
        <v>0</v>
      </c>
      <c r="G82" s="20">
        <f t="shared" si="47"/>
        <v>0</v>
      </c>
      <c r="H82" s="20">
        <f t="shared" si="47"/>
        <v>0</v>
      </c>
      <c r="I82" s="20">
        <f t="shared" si="47"/>
        <v>0</v>
      </c>
      <c r="J82" s="20">
        <f t="shared" si="47"/>
        <v>0</v>
      </c>
      <c r="K82" s="20">
        <f t="shared" si="47"/>
        <v>0</v>
      </c>
      <c r="L82" s="20">
        <f t="shared" si="47"/>
        <v>0</v>
      </c>
      <c r="M82" s="187"/>
      <c r="N82" s="20">
        <f t="shared" si="47"/>
        <v>79554500</v>
      </c>
      <c r="O82" s="20">
        <f t="shared" si="47"/>
        <v>79554500</v>
      </c>
      <c r="P82" s="20">
        <f t="shared" si="47"/>
        <v>0</v>
      </c>
      <c r="Q82" s="20">
        <f t="shared" si="47"/>
        <v>0</v>
      </c>
      <c r="R82" s="20">
        <f t="shared" si="47"/>
        <v>0</v>
      </c>
      <c r="S82" s="20">
        <f t="shared" si="47"/>
        <v>79554500</v>
      </c>
      <c r="T82" s="20">
        <f t="shared" si="47"/>
        <v>67512062.799999997</v>
      </c>
      <c r="U82" s="20">
        <f t="shared" si="47"/>
        <v>67512062.799999997</v>
      </c>
      <c r="V82" s="20">
        <f t="shared" si="47"/>
        <v>0</v>
      </c>
      <c r="W82" s="20">
        <f t="shared" si="47"/>
        <v>0</v>
      </c>
      <c r="X82" s="20">
        <f t="shared" si="47"/>
        <v>0</v>
      </c>
      <c r="Y82" s="20">
        <f t="shared" si="47"/>
        <v>67512062.799999997</v>
      </c>
      <c r="Z82" s="187">
        <f t="shared" ref="Z82:Z145" si="48">T82/N82*100</f>
        <v>84.862657423527267</v>
      </c>
      <c r="AA82" s="20">
        <f t="shared" si="47"/>
        <v>67512062.799999997</v>
      </c>
      <c r="AB82" s="20">
        <f t="shared" ref="AB82" si="49">AB143</f>
        <v>79554500</v>
      </c>
      <c r="AC82" s="198"/>
      <c r="AD82" s="198"/>
    </row>
    <row r="83" spans="1:30" s="21" customFormat="1" ht="49.9" customHeight="1" x14ac:dyDescent="0.25">
      <c r="A83" s="17"/>
      <c r="B83" s="40"/>
      <c r="C83" s="40"/>
      <c r="D83" s="19" t="str">
        <f>D153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83" s="20">
        <f>E153</f>
        <v>12935800</v>
      </c>
      <c r="F83" s="20">
        <f t="shared" ref="F83:AA83" si="50">F153</f>
        <v>12935800</v>
      </c>
      <c r="G83" s="20">
        <f t="shared" si="50"/>
        <v>0</v>
      </c>
      <c r="H83" s="20">
        <f t="shared" si="50"/>
        <v>0</v>
      </c>
      <c r="I83" s="20">
        <f t="shared" si="50"/>
        <v>0</v>
      </c>
      <c r="J83" s="20">
        <f t="shared" si="50"/>
        <v>521533.91</v>
      </c>
      <c r="K83" s="20">
        <f t="shared" si="50"/>
        <v>0</v>
      </c>
      <c r="L83" s="20">
        <f t="shared" si="50"/>
        <v>0</v>
      </c>
      <c r="M83" s="187">
        <f t="shared" ref="M83:M145" si="51">J83/E83*100</f>
        <v>4.031709751233012</v>
      </c>
      <c r="N83" s="20">
        <f t="shared" si="50"/>
        <v>22533600</v>
      </c>
      <c r="O83" s="20">
        <f t="shared" si="50"/>
        <v>0</v>
      </c>
      <c r="P83" s="20">
        <f t="shared" si="50"/>
        <v>22533600</v>
      </c>
      <c r="Q83" s="20">
        <f t="shared" si="50"/>
        <v>0</v>
      </c>
      <c r="R83" s="20">
        <f t="shared" si="50"/>
        <v>0</v>
      </c>
      <c r="S83" s="20">
        <f t="shared" si="50"/>
        <v>0</v>
      </c>
      <c r="T83" s="20">
        <f t="shared" si="50"/>
        <v>0</v>
      </c>
      <c r="U83" s="20">
        <f t="shared" si="50"/>
        <v>0</v>
      </c>
      <c r="V83" s="20">
        <f t="shared" si="50"/>
        <v>0</v>
      </c>
      <c r="W83" s="20">
        <f t="shared" si="50"/>
        <v>0</v>
      </c>
      <c r="X83" s="20">
        <f t="shared" si="50"/>
        <v>0</v>
      </c>
      <c r="Y83" s="20">
        <f t="shared" si="50"/>
        <v>0</v>
      </c>
      <c r="Z83" s="187">
        <f t="shared" si="48"/>
        <v>0</v>
      </c>
      <c r="AA83" s="20">
        <f t="shared" si="50"/>
        <v>521533.91</v>
      </c>
      <c r="AB83" s="20">
        <f t="shared" ref="AB83" si="52">AB153</f>
        <v>35469400</v>
      </c>
      <c r="AC83" s="198"/>
      <c r="AD83" s="198"/>
    </row>
    <row r="84" spans="1:30" s="21" customFormat="1" ht="99.75" customHeight="1" x14ac:dyDescent="0.25">
      <c r="A84" s="17"/>
      <c r="B84" s="40"/>
      <c r="C84" s="40"/>
      <c r="D84" s="19" t="str">
        <f>D115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84" s="20">
        <f t="shared" ref="E84:AB84" si="53">E115+E148+E97+E99</f>
        <v>1686473</v>
      </c>
      <c r="F84" s="20">
        <f t="shared" ref="F84:AA84" si="54">F115+F148+F97+F99</f>
        <v>1686473</v>
      </c>
      <c r="G84" s="20">
        <f t="shared" si="54"/>
        <v>0</v>
      </c>
      <c r="H84" s="20">
        <f t="shared" si="54"/>
        <v>0</v>
      </c>
      <c r="I84" s="20">
        <f t="shared" si="54"/>
        <v>0</v>
      </c>
      <c r="J84" s="20">
        <f t="shared" si="54"/>
        <v>1562339.57</v>
      </c>
      <c r="K84" s="20">
        <f t="shared" si="54"/>
        <v>0</v>
      </c>
      <c r="L84" s="20">
        <f t="shared" si="54"/>
        <v>0</v>
      </c>
      <c r="M84" s="187">
        <f t="shared" si="51"/>
        <v>92.639465322006345</v>
      </c>
      <c r="N84" s="20">
        <f t="shared" si="54"/>
        <v>39145989</v>
      </c>
      <c r="O84" s="20">
        <f t="shared" si="54"/>
        <v>39145989</v>
      </c>
      <c r="P84" s="20">
        <f t="shared" si="54"/>
        <v>0</v>
      </c>
      <c r="Q84" s="20">
        <f t="shared" si="54"/>
        <v>0</v>
      </c>
      <c r="R84" s="20">
        <f t="shared" si="54"/>
        <v>0</v>
      </c>
      <c r="S84" s="20">
        <f t="shared" si="54"/>
        <v>39145989</v>
      </c>
      <c r="T84" s="20">
        <f t="shared" si="54"/>
        <v>3360522.0300000003</v>
      </c>
      <c r="U84" s="20">
        <f t="shared" si="54"/>
        <v>3360522.0300000003</v>
      </c>
      <c r="V84" s="20">
        <f t="shared" si="54"/>
        <v>0</v>
      </c>
      <c r="W84" s="20">
        <f t="shared" si="54"/>
        <v>0</v>
      </c>
      <c r="X84" s="20">
        <f t="shared" si="54"/>
        <v>0</v>
      </c>
      <c r="Y84" s="20">
        <f t="shared" si="54"/>
        <v>3360522.0300000003</v>
      </c>
      <c r="Z84" s="187">
        <f t="shared" si="48"/>
        <v>8.5845883980604007</v>
      </c>
      <c r="AA84" s="20">
        <f t="shared" si="54"/>
        <v>4922861.5999999996</v>
      </c>
      <c r="AB84" s="20">
        <f t="shared" si="53"/>
        <v>40832462</v>
      </c>
      <c r="AC84" s="198"/>
      <c r="AD84" s="198"/>
    </row>
    <row r="85" spans="1:30" s="21" customFormat="1" ht="47.25" customHeight="1" x14ac:dyDescent="0.25">
      <c r="A85" s="17"/>
      <c r="B85" s="40"/>
      <c r="C85" s="40"/>
      <c r="D85" s="19" t="s">
        <v>370</v>
      </c>
      <c r="E85" s="20">
        <f>E103+E124</f>
        <v>4320175</v>
      </c>
      <c r="F85" s="20">
        <f t="shared" ref="F85:AA85" si="55">F103+F124</f>
        <v>4320175</v>
      </c>
      <c r="G85" s="20">
        <f t="shared" si="55"/>
        <v>1714570</v>
      </c>
      <c r="H85" s="20">
        <f t="shared" si="55"/>
        <v>0</v>
      </c>
      <c r="I85" s="20">
        <f t="shared" si="55"/>
        <v>0</v>
      </c>
      <c r="J85" s="20">
        <f t="shared" si="55"/>
        <v>3569322.3200000003</v>
      </c>
      <c r="K85" s="20">
        <f t="shared" si="55"/>
        <v>1711153.81</v>
      </c>
      <c r="L85" s="20">
        <f t="shared" si="55"/>
        <v>0</v>
      </c>
      <c r="M85" s="187">
        <f t="shared" si="51"/>
        <v>82.619854982726409</v>
      </c>
      <c r="N85" s="20">
        <f t="shared" si="55"/>
        <v>0</v>
      </c>
      <c r="O85" s="20">
        <f t="shared" si="55"/>
        <v>0</v>
      </c>
      <c r="P85" s="20">
        <f t="shared" si="55"/>
        <v>0</v>
      </c>
      <c r="Q85" s="20">
        <f t="shared" si="55"/>
        <v>0</v>
      </c>
      <c r="R85" s="20">
        <f t="shared" si="55"/>
        <v>0</v>
      </c>
      <c r="S85" s="20">
        <f t="shared" si="55"/>
        <v>0</v>
      </c>
      <c r="T85" s="20">
        <f t="shared" si="55"/>
        <v>0</v>
      </c>
      <c r="U85" s="20">
        <f t="shared" si="55"/>
        <v>0</v>
      </c>
      <c r="V85" s="20">
        <f t="shared" si="55"/>
        <v>0</v>
      </c>
      <c r="W85" s="20">
        <f t="shared" si="55"/>
        <v>0</v>
      </c>
      <c r="X85" s="20">
        <f t="shared" si="55"/>
        <v>0</v>
      </c>
      <c r="Y85" s="20">
        <f t="shared" si="55"/>
        <v>0</v>
      </c>
      <c r="Z85" s="187"/>
      <c r="AA85" s="20">
        <f t="shared" si="55"/>
        <v>3569322.3200000003</v>
      </c>
      <c r="AB85" s="20">
        <f t="shared" ref="AB85" si="56">AB103+AB124</f>
        <v>4320175</v>
      </c>
      <c r="AC85" s="198"/>
      <c r="AD85" s="198"/>
    </row>
    <row r="86" spans="1:30" s="21" customFormat="1" ht="45" customHeight="1" x14ac:dyDescent="0.25">
      <c r="A86" s="17"/>
      <c r="B86" s="40"/>
      <c r="C86" s="40"/>
      <c r="D86" s="19" t="s">
        <v>372</v>
      </c>
      <c r="E86" s="20">
        <f>E109+E150+E119</f>
        <v>0</v>
      </c>
      <c r="F86" s="20">
        <f t="shared" ref="F86:AA86" si="57">F109+F150+F119</f>
        <v>0</v>
      </c>
      <c r="G86" s="20">
        <f t="shared" si="57"/>
        <v>0</v>
      </c>
      <c r="H86" s="20">
        <f t="shared" si="57"/>
        <v>0</v>
      </c>
      <c r="I86" s="20">
        <f t="shared" si="57"/>
        <v>0</v>
      </c>
      <c r="J86" s="20">
        <f t="shared" si="57"/>
        <v>0</v>
      </c>
      <c r="K86" s="20">
        <f t="shared" si="57"/>
        <v>0</v>
      </c>
      <c r="L86" s="20">
        <f t="shared" si="57"/>
        <v>0</v>
      </c>
      <c r="M86" s="187"/>
      <c r="N86" s="20">
        <f t="shared" si="57"/>
        <v>25887830</v>
      </c>
      <c r="O86" s="20">
        <f t="shared" si="57"/>
        <v>7819500</v>
      </c>
      <c r="P86" s="20">
        <f t="shared" si="57"/>
        <v>4558902</v>
      </c>
      <c r="Q86" s="20">
        <f t="shared" si="57"/>
        <v>0</v>
      </c>
      <c r="R86" s="20">
        <f t="shared" si="57"/>
        <v>0</v>
      </c>
      <c r="S86" s="20">
        <f t="shared" si="57"/>
        <v>21328928</v>
      </c>
      <c r="T86" s="20">
        <f t="shared" si="57"/>
        <v>19927443.77</v>
      </c>
      <c r="U86" s="20">
        <f t="shared" si="57"/>
        <v>3514398.89</v>
      </c>
      <c r="V86" s="20">
        <f t="shared" si="57"/>
        <v>3507058.64</v>
      </c>
      <c r="W86" s="20">
        <f t="shared" si="57"/>
        <v>0</v>
      </c>
      <c r="X86" s="20">
        <f t="shared" si="57"/>
        <v>0</v>
      </c>
      <c r="Y86" s="20">
        <f t="shared" si="57"/>
        <v>16420385.130000001</v>
      </c>
      <c r="Z86" s="187">
        <f t="shared" si="48"/>
        <v>76.976107190135295</v>
      </c>
      <c r="AA86" s="20">
        <f t="shared" si="57"/>
        <v>19927443.77</v>
      </c>
      <c r="AB86" s="20">
        <f t="shared" ref="AB86" si="58">AB109+AB150+AB119</f>
        <v>25887830</v>
      </c>
      <c r="AC86" s="198"/>
      <c r="AD86" s="198"/>
    </row>
    <row r="87" spans="1:30" s="21" customFormat="1" ht="63" customHeight="1" x14ac:dyDescent="0.25">
      <c r="A87" s="17"/>
      <c r="B87" s="40"/>
      <c r="C87" s="40"/>
      <c r="D87" s="19" t="s">
        <v>668</v>
      </c>
      <c r="E87" s="20">
        <f>E134</f>
        <v>2233488.84</v>
      </c>
      <c r="F87" s="20">
        <f t="shared" ref="F87:AA87" si="59">F134</f>
        <v>2233488.84</v>
      </c>
      <c r="G87" s="20">
        <f t="shared" si="59"/>
        <v>1830728</v>
      </c>
      <c r="H87" s="20">
        <f t="shared" si="59"/>
        <v>0</v>
      </c>
      <c r="I87" s="20">
        <f t="shared" si="59"/>
        <v>0</v>
      </c>
      <c r="J87" s="20">
        <f t="shared" si="59"/>
        <v>2233206.7999999998</v>
      </c>
      <c r="K87" s="20">
        <f t="shared" si="59"/>
        <v>1830497.34</v>
      </c>
      <c r="L87" s="20">
        <f t="shared" si="59"/>
        <v>0</v>
      </c>
      <c r="M87" s="187">
        <f t="shared" si="51"/>
        <v>99.987372222553844</v>
      </c>
      <c r="N87" s="20">
        <f t="shared" si="59"/>
        <v>0</v>
      </c>
      <c r="O87" s="20">
        <f t="shared" si="59"/>
        <v>0</v>
      </c>
      <c r="P87" s="20">
        <f t="shared" si="59"/>
        <v>0</v>
      </c>
      <c r="Q87" s="20">
        <f t="shared" si="59"/>
        <v>0</v>
      </c>
      <c r="R87" s="20">
        <f t="shared" si="59"/>
        <v>0</v>
      </c>
      <c r="S87" s="20">
        <f t="shared" si="59"/>
        <v>0</v>
      </c>
      <c r="T87" s="20">
        <f t="shared" si="59"/>
        <v>0</v>
      </c>
      <c r="U87" s="20">
        <f t="shared" si="59"/>
        <v>0</v>
      </c>
      <c r="V87" s="20">
        <f t="shared" si="59"/>
        <v>0</v>
      </c>
      <c r="W87" s="20">
        <f t="shared" si="59"/>
        <v>0</v>
      </c>
      <c r="X87" s="20">
        <f t="shared" si="59"/>
        <v>0</v>
      </c>
      <c r="Y87" s="20">
        <f t="shared" si="59"/>
        <v>0</v>
      </c>
      <c r="Z87" s="187"/>
      <c r="AA87" s="20">
        <f t="shared" si="59"/>
        <v>2233206.7999999998</v>
      </c>
      <c r="AB87" s="20">
        <f t="shared" ref="AB87" si="60">AB134</f>
        <v>2233488.84</v>
      </c>
      <c r="AC87" s="198"/>
      <c r="AD87" s="198"/>
    </row>
    <row r="88" spans="1:30" s="21" customFormat="1" ht="70.900000000000006" customHeight="1" x14ac:dyDescent="0.25">
      <c r="A88" s="17"/>
      <c r="B88" s="41"/>
      <c r="C88" s="40"/>
      <c r="D88" s="19" t="s">
        <v>669</v>
      </c>
      <c r="E88" s="20">
        <f>E136</f>
        <v>872618.44</v>
      </c>
      <c r="F88" s="20">
        <f t="shared" ref="F88:AA88" si="61">F136</f>
        <v>872618.44</v>
      </c>
      <c r="G88" s="20">
        <f t="shared" si="61"/>
        <v>715261</v>
      </c>
      <c r="H88" s="20">
        <f t="shared" si="61"/>
        <v>0</v>
      </c>
      <c r="I88" s="20">
        <f t="shared" si="61"/>
        <v>0</v>
      </c>
      <c r="J88" s="20">
        <f t="shared" si="61"/>
        <v>872618.44</v>
      </c>
      <c r="K88" s="20">
        <f t="shared" si="61"/>
        <v>715261</v>
      </c>
      <c r="L88" s="20">
        <f t="shared" si="61"/>
        <v>0</v>
      </c>
      <c r="M88" s="187">
        <f t="shared" si="51"/>
        <v>100</v>
      </c>
      <c r="N88" s="20">
        <f t="shared" si="61"/>
        <v>0</v>
      </c>
      <c r="O88" s="20">
        <f t="shared" si="61"/>
        <v>0</v>
      </c>
      <c r="P88" s="20">
        <f t="shared" si="61"/>
        <v>0</v>
      </c>
      <c r="Q88" s="20">
        <f t="shared" si="61"/>
        <v>0</v>
      </c>
      <c r="R88" s="20">
        <f t="shared" si="61"/>
        <v>0</v>
      </c>
      <c r="S88" s="20">
        <f t="shared" si="61"/>
        <v>0</v>
      </c>
      <c r="T88" s="20">
        <f t="shared" si="61"/>
        <v>0</v>
      </c>
      <c r="U88" s="20">
        <f t="shared" si="61"/>
        <v>0</v>
      </c>
      <c r="V88" s="20">
        <f t="shared" si="61"/>
        <v>0</v>
      </c>
      <c r="W88" s="20">
        <f t="shared" si="61"/>
        <v>0</v>
      </c>
      <c r="X88" s="20">
        <f t="shared" si="61"/>
        <v>0</v>
      </c>
      <c r="Y88" s="20">
        <f t="shared" si="61"/>
        <v>0</v>
      </c>
      <c r="Z88" s="187"/>
      <c r="AA88" s="20">
        <f t="shared" si="61"/>
        <v>872618.44</v>
      </c>
      <c r="AB88" s="20">
        <f t="shared" ref="AB88" si="62">AB136</f>
        <v>872618.44</v>
      </c>
      <c r="AC88" s="198"/>
      <c r="AD88" s="198"/>
    </row>
    <row r="89" spans="1:30" s="21" customFormat="1" ht="78.75" customHeight="1" x14ac:dyDescent="0.25">
      <c r="A89" s="17"/>
      <c r="B89" s="40"/>
      <c r="C89" s="40"/>
      <c r="D89" s="19" t="str">
        <f>D132</f>
        <v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</c>
      <c r="E89" s="20">
        <f>E132</f>
        <v>577400</v>
      </c>
      <c r="F89" s="20">
        <f t="shared" ref="F89:AA89" si="63">F132</f>
        <v>577400</v>
      </c>
      <c r="G89" s="20">
        <f t="shared" si="63"/>
        <v>0</v>
      </c>
      <c r="H89" s="20">
        <f t="shared" si="63"/>
        <v>0</v>
      </c>
      <c r="I89" s="20">
        <f t="shared" si="63"/>
        <v>0</v>
      </c>
      <c r="J89" s="20">
        <f t="shared" si="63"/>
        <v>559818.69999999995</v>
      </c>
      <c r="K89" s="20">
        <f t="shared" si="63"/>
        <v>0</v>
      </c>
      <c r="L89" s="20">
        <f t="shared" si="63"/>
        <v>0</v>
      </c>
      <c r="M89" s="187">
        <f t="shared" si="51"/>
        <v>96.95509179078627</v>
      </c>
      <c r="N89" s="20">
        <f t="shared" si="63"/>
        <v>10157256</v>
      </c>
      <c r="O89" s="20">
        <f t="shared" si="63"/>
        <v>10157256</v>
      </c>
      <c r="P89" s="20">
        <f t="shared" si="63"/>
        <v>0</v>
      </c>
      <c r="Q89" s="20">
        <f t="shared" si="63"/>
        <v>0</v>
      </c>
      <c r="R89" s="20">
        <f t="shared" si="63"/>
        <v>0</v>
      </c>
      <c r="S89" s="20">
        <f t="shared" si="63"/>
        <v>10157256</v>
      </c>
      <c r="T89" s="20">
        <f t="shared" si="63"/>
        <v>9472070.1999999993</v>
      </c>
      <c r="U89" s="20">
        <f t="shared" si="63"/>
        <v>9472070.1999999993</v>
      </c>
      <c r="V89" s="20">
        <f t="shared" si="63"/>
        <v>0</v>
      </c>
      <c r="W89" s="20">
        <f t="shared" si="63"/>
        <v>0</v>
      </c>
      <c r="X89" s="20">
        <f t="shared" si="63"/>
        <v>0</v>
      </c>
      <c r="Y89" s="20">
        <f t="shared" si="63"/>
        <v>9472070.1999999993</v>
      </c>
      <c r="Z89" s="187">
        <f t="shared" si="48"/>
        <v>93.254223384740911</v>
      </c>
      <c r="AA89" s="20">
        <f t="shared" si="63"/>
        <v>10031888.899999999</v>
      </c>
      <c r="AB89" s="20">
        <f t="shared" ref="AB89" si="64">AB132</f>
        <v>10734656</v>
      </c>
      <c r="AC89" s="198"/>
      <c r="AD89" s="198"/>
    </row>
    <row r="90" spans="1:30" s="21" customFormat="1" ht="26.25" hidden="1" customHeight="1" x14ac:dyDescent="0.25">
      <c r="A90" s="17"/>
      <c r="B90" s="40"/>
      <c r="C90" s="37"/>
      <c r="D90" s="19" t="s">
        <v>524</v>
      </c>
      <c r="E90" s="20">
        <f>E128</f>
        <v>0</v>
      </c>
      <c r="F90" s="20">
        <f t="shared" ref="F90:AA90" si="65">F128</f>
        <v>0</v>
      </c>
      <c r="G90" s="20">
        <f t="shared" si="65"/>
        <v>0</v>
      </c>
      <c r="H90" s="20">
        <f t="shared" si="65"/>
        <v>0</v>
      </c>
      <c r="I90" s="20">
        <f t="shared" si="65"/>
        <v>0</v>
      </c>
      <c r="J90" s="20">
        <f t="shared" si="65"/>
        <v>0</v>
      </c>
      <c r="K90" s="20">
        <f t="shared" si="65"/>
        <v>0</v>
      </c>
      <c r="L90" s="20">
        <f t="shared" si="65"/>
        <v>0</v>
      </c>
      <c r="M90" s="187" t="e">
        <f t="shared" si="51"/>
        <v>#DIV/0!</v>
      </c>
      <c r="N90" s="20">
        <f t="shared" si="65"/>
        <v>0</v>
      </c>
      <c r="O90" s="20">
        <f t="shared" si="65"/>
        <v>0</v>
      </c>
      <c r="P90" s="20">
        <f t="shared" si="65"/>
        <v>0</v>
      </c>
      <c r="Q90" s="20">
        <f t="shared" si="65"/>
        <v>0</v>
      </c>
      <c r="R90" s="20">
        <f t="shared" si="65"/>
        <v>0</v>
      </c>
      <c r="S90" s="20">
        <f t="shared" si="65"/>
        <v>0</v>
      </c>
      <c r="T90" s="20">
        <f t="shared" si="65"/>
        <v>0</v>
      </c>
      <c r="U90" s="20">
        <f t="shared" si="65"/>
        <v>0</v>
      </c>
      <c r="V90" s="20">
        <f t="shared" si="65"/>
        <v>0</v>
      </c>
      <c r="W90" s="20">
        <f t="shared" si="65"/>
        <v>0</v>
      </c>
      <c r="X90" s="20">
        <f t="shared" si="65"/>
        <v>0</v>
      </c>
      <c r="Y90" s="20">
        <f t="shared" si="65"/>
        <v>0</v>
      </c>
      <c r="Z90" s="187" t="e">
        <f t="shared" si="48"/>
        <v>#DIV/0!</v>
      </c>
      <c r="AA90" s="20">
        <f t="shared" si="65"/>
        <v>0</v>
      </c>
      <c r="AB90" s="20">
        <f t="shared" ref="AB90" si="66">AB128</f>
        <v>0</v>
      </c>
      <c r="AC90" s="198"/>
      <c r="AD90" s="198"/>
    </row>
    <row r="91" spans="1:30" s="21" customFormat="1" ht="20.25" customHeight="1" x14ac:dyDescent="0.25">
      <c r="A91" s="17"/>
      <c r="B91" s="40"/>
      <c r="C91" s="40"/>
      <c r="D91" s="19" t="s">
        <v>380</v>
      </c>
      <c r="E91" s="20">
        <f t="shared" ref="E91:AB91" si="67">E96+E160</f>
        <v>0</v>
      </c>
      <c r="F91" s="20">
        <f t="shared" ref="F91:AA91" si="68">F96+F160</f>
        <v>0</v>
      </c>
      <c r="G91" s="20">
        <f t="shared" si="68"/>
        <v>0</v>
      </c>
      <c r="H91" s="20">
        <f t="shared" si="68"/>
        <v>0</v>
      </c>
      <c r="I91" s="20">
        <f t="shared" si="68"/>
        <v>0</v>
      </c>
      <c r="J91" s="20">
        <f t="shared" si="68"/>
        <v>0</v>
      </c>
      <c r="K91" s="20">
        <f t="shared" si="68"/>
        <v>0</v>
      </c>
      <c r="L91" s="20">
        <f t="shared" si="68"/>
        <v>0</v>
      </c>
      <c r="M91" s="187"/>
      <c r="N91" s="20">
        <f t="shared" si="68"/>
        <v>6564196</v>
      </c>
      <c r="O91" s="20">
        <f t="shared" si="68"/>
        <v>0</v>
      </c>
      <c r="P91" s="20">
        <f t="shared" si="68"/>
        <v>6564196</v>
      </c>
      <c r="Q91" s="20">
        <f t="shared" si="68"/>
        <v>0</v>
      </c>
      <c r="R91" s="20">
        <f t="shared" si="68"/>
        <v>0</v>
      </c>
      <c r="S91" s="20">
        <f t="shared" si="68"/>
        <v>0</v>
      </c>
      <c r="T91" s="20">
        <f t="shared" si="68"/>
        <v>1011611.5</v>
      </c>
      <c r="U91" s="20">
        <f t="shared" si="68"/>
        <v>0</v>
      </c>
      <c r="V91" s="20">
        <f t="shared" si="68"/>
        <v>1011611.5</v>
      </c>
      <c r="W91" s="20">
        <f t="shared" si="68"/>
        <v>0</v>
      </c>
      <c r="X91" s="20">
        <f t="shared" si="68"/>
        <v>0</v>
      </c>
      <c r="Y91" s="20">
        <f t="shared" si="68"/>
        <v>0</v>
      </c>
      <c r="Z91" s="187">
        <f t="shared" si="48"/>
        <v>15.411049578653655</v>
      </c>
      <c r="AA91" s="20">
        <f t="shared" si="68"/>
        <v>1011611.5</v>
      </c>
      <c r="AB91" s="20">
        <f t="shared" si="67"/>
        <v>6564196</v>
      </c>
      <c r="AC91" s="198"/>
      <c r="AD91" s="198"/>
    </row>
    <row r="92" spans="1:30" s="21" customFormat="1" ht="123" customHeight="1" x14ac:dyDescent="0.25">
      <c r="A92" s="17"/>
      <c r="B92" s="40"/>
      <c r="C92" s="40"/>
      <c r="D92" s="19" t="s">
        <v>660</v>
      </c>
      <c r="E92" s="20">
        <f>E162</f>
        <v>0</v>
      </c>
      <c r="F92" s="20">
        <f t="shared" ref="F92:AA92" si="69">F162</f>
        <v>0</v>
      </c>
      <c r="G92" s="20">
        <f t="shared" si="69"/>
        <v>0</v>
      </c>
      <c r="H92" s="20">
        <f t="shared" si="69"/>
        <v>0</v>
      </c>
      <c r="I92" s="20">
        <f t="shared" si="69"/>
        <v>0</v>
      </c>
      <c r="J92" s="20">
        <f t="shared" si="69"/>
        <v>0</v>
      </c>
      <c r="K92" s="20">
        <f t="shared" si="69"/>
        <v>0</v>
      </c>
      <c r="L92" s="20">
        <f t="shared" si="69"/>
        <v>0</v>
      </c>
      <c r="M92" s="187"/>
      <c r="N92" s="20">
        <f t="shared" si="69"/>
        <v>51527652.659999996</v>
      </c>
      <c r="O92" s="20">
        <f t="shared" si="69"/>
        <v>0</v>
      </c>
      <c r="P92" s="20">
        <f t="shared" si="69"/>
        <v>0</v>
      </c>
      <c r="Q92" s="20">
        <f t="shared" si="69"/>
        <v>0</v>
      </c>
      <c r="R92" s="20">
        <f t="shared" si="69"/>
        <v>0</v>
      </c>
      <c r="S92" s="20">
        <f t="shared" si="69"/>
        <v>51527652.659999996</v>
      </c>
      <c r="T92" s="20">
        <f t="shared" si="69"/>
        <v>51527652.659999996</v>
      </c>
      <c r="U92" s="20">
        <f t="shared" si="69"/>
        <v>0</v>
      </c>
      <c r="V92" s="20">
        <f t="shared" si="69"/>
        <v>0</v>
      </c>
      <c r="W92" s="20">
        <f t="shared" si="69"/>
        <v>0</v>
      </c>
      <c r="X92" s="20">
        <f t="shared" si="69"/>
        <v>0</v>
      </c>
      <c r="Y92" s="20">
        <f t="shared" si="69"/>
        <v>51527652.659999996</v>
      </c>
      <c r="Z92" s="187">
        <f t="shared" si="48"/>
        <v>100</v>
      </c>
      <c r="AA92" s="20">
        <f t="shared" si="69"/>
        <v>51527652.659999996</v>
      </c>
      <c r="AB92" s="20">
        <f t="shared" ref="AB92" si="70">AB162</f>
        <v>51527652.659999996</v>
      </c>
      <c r="AC92" s="198"/>
      <c r="AD92" s="198"/>
    </row>
    <row r="93" spans="1:30" s="26" customFormat="1" ht="45.75" customHeight="1" x14ac:dyDescent="0.25">
      <c r="A93" s="22" t="s">
        <v>159</v>
      </c>
      <c r="B93" s="23" t="str">
        <f>'дод 5'!A21</f>
        <v>0160</v>
      </c>
      <c r="C93" s="23" t="str">
        <f>'дод 5'!B21</f>
        <v>0111</v>
      </c>
      <c r="D93" s="24" t="s">
        <v>707</v>
      </c>
      <c r="E93" s="25">
        <f t="shared" ref="E93:E170" si="71">F93+I93</f>
        <v>5152200</v>
      </c>
      <c r="F93" s="25">
        <f>4452800+324900+374500</f>
        <v>5152200</v>
      </c>
      <c r="G93" s="25">
        <f>3309400+266300+307200</f>
        <v>3882900</v>
      </c>
      <c r="H93" s="25">
        <v>111200</v>
      </c>
      <c r="I93" s="25"/>
      <c r="J93" s="25">
        <v>4906738.6100000003</v>
      </c>
      <c r="K93" s="25">
        <v>3745971.96</v>
      </c>
      <c r="L93" s="25">
        <v>75977.039999999994</v>
      </c>
      <c r="M93" s="181">
        <f t="shared" si="51"/>
        <v>95.235794612010409</v>
      </c>
      <c r="N93" s="25">
        <f>P93+S93</f>
        <v>0</v>
      </c>
      <c r="O93" s="25">
        <v>0</v>
      </c>
      <c r="P93" s="25"/>
      <c r="Q93" s="25"/>
      <c r="R93" s="25"/>
      <c r="S93" s="25">
        <v>0</v>
      </c>
      <c r="T93" s="159">
        <f t="shared" ref="T93:T145" si="72">V93+Y93</f>
        <v>0</v>
      </c>
      <c r="U93" s="160"/>
      <c r="V93" s="160"/>
      <c r="W93" s="160"/>
      <c r="X93" s="160"/>
      <c r="Y93" s="160"/>
      <c r="Z93" s="181"/>
      <c r="AA93" s="25">
        <f t="shared" ref="AA93:AA145" si="73">J93+T93</f>
        <v>4906738.6100000003</v>
      </c>
      <c r="AB93" s="25">
        <f t="shared" ref="AB93:AB174" si="74">E93+N93</f>
        <v>5152200</v>
      </c>
      <c r="AC93" s="198"/>
      <c r="AD93" s="198"/>
    </row>
    <row r="94" spans="1:30" s="26" customFormat="1" ht="21.75" customHeight="1" x14ac:dyDescent="0.25">
      <c r="A94" s="22" t="s">
        <v>160</v>
      </c>
      <c r="B94" s="23" t="str">
        <f>'дод 5'!A44</f>
        <v>1010</v>
      </c>
      <c r="C94" s="23" t="str">
        <f>'дод 5'!B44</f>
        <v>0910</v>
      </c>
      <c r="D94" s="24" t="str">
        <f>'дод 5'!C44</f>
        <v>Надання дошкільної освіти</v>
      </c>
      <c r="E94" s="25">
        <f t="shared" si="71"/>
        <v>372814754</v>
      </c>
      <c r="F94" s="25">
        <f>387213800-11201080-750000+3500000+343793+3500000-375957-99500-2300280-300000-601222+1200000-7513800+199000</f>
        <v>372814754</v>
      </c>
      <c r="G94" s="25">
        <f>260000000-315000-100220-441000-1905000-250000-501022-6499000</f>
        <v>249988758</v>
      </c>
      <c r="H94" s="25">
        <f>46345800-250000</f>
        <v>46095800</v>
      </c>
      <c r="I94" s="25"/>
      <c r="J94" s="25">
        <v>368399092.58999997</v>
      </c>
      <c r="K94" s="25">
        <v>249987132.44</v>
      </c>
      <c r="L94" s="25">
        <v>43272743.350000001</v>
      </c>
      <c r="M94" s="181">
        <f t="shared" si="51"/>
        <v>98.815588341763956</v>
      </c>
      <c r="N94" s="25">
        <f>P94+S94</f>
        <v>86173859</v>
      </c>
      <c r="O94" s="25">
        <f>20000000+390000+193770+31455908+1954092+995200+375957+99500+601222+189060</f>
        <v>56254709</v>
      </c>
      <c r="P94" s="25">
        <v>29919150</v>
      </c>
      <c r="Q94" s="25"/>
      <c r="R94" s="25"/>
      <c r="S94" s="25">
        <f>20000000+390000+193770+31455908+1954092+995200+375957+99500+601222+189060</f>
        <v>56254709</v>
      </c>
      <c r="T94" s="15">
        <f t="shared" si="72"/>
        <v>65080192.759999998</v>
      </c>
      <c r="U94" s="25">
        <v>53012650.460000001</v>
      </c>
      <c r="V94" s="25">
        <v>11280631</v>
      </c>
      <c r="W94" s="25">
        <v>753639.44</v>
      </c>
      <c r="X94" s="25"/>
      <c r="Y94" s="25">
        <v>53799561.759999998</v>
      </c>
      <c r="Z94" s="181">
        <f t="shared" si="48"/>
        <v>75.521966307671093</v>
      </c>
      <c r="AA94" s="25">
        <f t="shared" si="73"/>
        <v>433479285.34999996</v>
      </c>
      <c r="AB94" s="25">
        <f t="shared" si="74"/>
        <v>458988613</v>
      </c>
      <c r="AC94" s="198"/>
      <c r="AD94" s="198"/>
    </row>
    <row r="95" spans="1:30" s="26" customFormat="1" ht="54" customHeight="1" x14ac:dyDescent="0.25">
      <c r="A95" s="22" t="s">
        <v>437</v>
      </c>
      <c r="B95" s="22">
        <f>'дод 5'!A46</f>
        <v>1021</v>
      </c>
      <c r="C95" s="23" t="str">
        <f>'дод 5'!B46</f>
        <v>0921</v>
      </c>
      <c r="D95" s="24" t="str">
        <f>'дод 5'!C46</f>
        <v>Надання загальної середньої освіти закладами загальної середньої освіти за рахунок коштів місцевого бюджету, у т.ч. за рахунок:</v>
      </c>
      <c r="E95" s="25">
        <f t="shared" si="71"/>
        <v>259665872</v>
      </c>
      <c r="F95" s="25">
        <f>276972600-11595000-750000+3638040+1200000+34100+114370+1500000+115600-69500+241942+29495+75672-1183703-45000-21541-2300282-1200034-100000-1123937+2920000-1200000-9050-4447900-3000000-130000</f>
        <v>259665872</v>
      </c>
      <c r="G95" s="25">
        <f>146950000-985000-182850-516900-1905000-1000000-335000-950000-4000000</f>
        <v>137075250</v>
      </c>
      <c r="H95" s="25">
        <f>64072800-250000-69500-130000</f>
        <v>63623300</v>
      </c>
      <c r="I95" s="25"/>
      <c r="J95" s="25">
        <v>249233954</v>
      </c>
      <c r="K95" s="25">
        <v>137029869.61000001</v>
      </c>
      <c r="L95" s="25">
        <v>55721829.149999999</v>
      </c>
      <c r="M95" s="181">
        <f t="shared" si="51"/>
        <v>95.982561004397212</v>
      </c>
      <c r="N95" s="25">
        <f t="shared" ref="N95:N174" si="75">P95+S95</f>
        <v>84505320</v>
      </c>
      <c r="O95" s="25">
        <f>10653058-3498324+2000000+2000000+320460+1913540+5285000+30000+1183703+45000+100000+1123937</f>
        <v>21156374</v>
      </c>
      <c r="P95" s="25">
        <f>56784750+6564196</f>
        <v>63348946</v>
      </c>
      <c r="Q95" s="25">
        <v>2197510</v>
      </c>
      <c r="R95" s="25">
        <v>276700</v>
      </c>
      <c r="S95" s="116">
        <f>10653058-3498324+2000000+2000000+320460+1913540+5285000+30000+1183703+45000+100000+1123937</f>
        <v>21156374</v>
      </c>
      <c r="T95" s="15">
        <f t="shared" si="72"/>
        <v>64973188.719999999</v>
      </c>
      <c r="U95" s="116">
        <v>18134350.219999999</v>
      </c>
      <c r="V95" s="116">
        <v>29092582.100000001</v>
      </c>
      <c r="W95" s="116">
        <v>6491751.8899999997</v>
      </c>
      <c r="X95" s="116">
        <v>49172.35</v>
      </c>
      <c r="Y95" s="116">
        <v>35880606.619999997</v>
      </c>
      <c r="Z95" s="181">
        <f t="shared" si="48"/>
        <v>76.886506932344616</v>
      </c>
      <c r="AA95" s="25">
        <f t="shared" si="73"/>
        <v>314207142.72000003</v>
      </c>
      <c r="AB95" s="25">
        <f t="shared" si="74"/>
        <v>344171192</v>
      </c>
      <c r="AC95" s="198"/>
      <c r="AD95" s="198"/>
    </row>
    <row r="96" spans="1:30" s="31" customFormat="1" ht="22.15" customHeight="1" x14ac:dyDescent="0.25">
      <c r="A96" s="27"/>
      <c r="B96" s="27"/>
      <c r="C96" s="28"/>
      <c r="D96" s="29" t="str">
        <f>'дод 5'!C48</f>
        <v>іншої субвенції з місцевого бюджету</v>
      </c>
      <c r="E96" s="30">
        <f t="shared" si="71"/>
        <v>0</v>
      </c>
      <c r="F96" s="30"/>
      <c r="G96" s="30"/>
      <c r="H96" s="30"/>
      <c r="I96" s="30"/>
      <c r="J96" s="30"/>
      <c r="K96" s="30"/>
      <c r="L96" s="30"/>
      <c r="M96" s="182"/>
      <c r="N96" s="30">
        <f t="shared" si="75"/>
        <v>6564196</v>
      </c>
      <c r="O96" s="30"/>
      <c r="P96" s="30">
        <v>6564196</v>
      </c>
      <c r="Q96" s="30"/>
      <c r="R96" s="30"/>
      <c r="S96" s="30"/>
      <c r="T96" s="15">
        <f t="shared" si="72"/>
        <v>1011611.5</v>
      </c>
      <c r="U96" s="30"/>
      <c r="V96" s="30">
        <v>1011611.5</v>
      </c>
      <c r="W96" s="30"/>
      <c r="X96" s="30"/>
      <c r="Y96" s="30"/>
      <c r="Z96" s="182">
        <f t="shared" si="48"/>
        <v>15.411049578653655</v>
      </c>
      <c r="AA96" s="30">
        <f t="shared" si="73"/>
        <v>1011611.5</v>
      </c>
      <c r="AB96" s="30">
        <f t="shared" si="74"/>
        <v>6564196</v>
      </c>
      <c r="AC96" s="104"/>
      <c r="AD96" s="198"/>
    </row>
    <row r="97" spans="1:29" s="31" customFormat="1" ht="110.25" x14ac:dyDescent="0.25">
      <c r="A97" s="27"/>
      <c r="B97" s="27"/>
      <c r="C97" s="28"/>
      <c r="D97" s="29" t="str">
        <f>'дод 5'!C47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97" s="30">
        <f t="shared" si="71"/>
        <v>325568</v>
      </c>
      <c r="F97" s="30">
        <f>241942+29495+75672-21541</f>
        <v>325568</v>
      </c>
      <c r="G97" s="30"/>
      <c r="H97" s="30"/>
      <c r="I97" s="30"/>
      <c r="J97" s="30">
        <v>249876</v>
      </c>
      <c r="K97" s="30"/>
      <c r="L97" s="30"/>
      <c r="M97" s="182">
        <f t="shared" si="51"/>
        <v>76.75078631806565</v>
      </c>
      <c r="N97" s="30">
        <f t="shared" si="75"/>
        <v>30000</v>
      </c>
      <c r="O97" s="30">
        <v>30000</v>
      </c>
      <c r="P97" s="30"/>
      <c r="Q97" s="30"/>
      <c r="R97" s="30"/>
      <c r="S97" s="30">
        <v>30000</v>
      </c>
      <c r="T97" s="15">
        <f t="shared" si="72"/>
        <v>30000</v>
      </c>
      <c r="U97" s="30">
        <v>30000</v>
      </c>
      <c r="V97" s="30"/>
      <c r="W97" s="30"/>
      <c r="X97" s="30"/>
      <c r="Y97" s="30">
        <v>30000</v>
      </c>
      <c r="Z97" s="182">
        <f t="shared" si="48"/>
        <v>100</v>
      </c>
      <c r="AA97" s="30">
        <f t="shared" si="73"/>
        <v>279876</v>
      </c>
      <c r="AB97" s="30">
        <f t="shared" si="74"/>
        <v>355568</v>
      </c>
      <c r="AC97" s="198">
        <v>4</v>
      </c>
    </row>
    <row r="98" spans="1:29" s="26" customFormat="1" ht="80.25" customHeight="1" x14ac:dyDescent="0.25">
      <c r="A98" s="22" t="s">
        <v>439</v>
      </c>
      <c r="B98" s="23">
        <v>1022</v>
      </c>
      <c r="C98" s="22" t="s">
        <v>53</v>
      </c>
      <c r="D98" s="24" t="str">
        <f>'дод 5'!C55</f>
        <v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бюджету, у т.ч. за рахунок:</v>
      </c>
      <c r="E98" s="25">
        <f t="shared" si="71"/>
        <v>18169841</v>
      </c>
      <c r="F98" s="25">
        <f>19640200+69500+21541-491400-1200000+130000</f>
        <v>18169841</v>
      </c>
      <c r="G98" s="25">
        <f>11259000-8200-400000</f>
        <v>10850800</v>
      </c>
      <c r="H98" s="25">
        <f>2667000+69500+130000</f>
        <v>2866500</v>
      </c>
      <c r="I98" s="25"/>
      <c r="J98" s="25">
        <v>18023897.23</v>
      </c>
      <c r="K98" s="25">
        <v>10850752.140000001</v>
      </c>
      <c r="L98" s="25">
        <v>2755496.49</v>
      </c>
      <c r="M98" s="181">
        <f t="shared" si="51"/>
        <v>99.196780147938554</v>
      </c>
      <c r="N98" s="25">
        <f t="shared" si="75"/>
        <v>0</v>
      </c>
      <c r="O98" s="25"/>
      <c r="P98" s="25"/>
      <c r="Q98" s="25"/>
      <c r="R98" s="25"/>
      <c r="S98" s="25"/>
      <c r="T98" s="15">
        <f t="shared" si="72"/>
        <v>1475549.6800000002</v>
      </c>
      <c r="U98" s="25"/>
      <c r="V98" s="25">
        <v>870764.27</v>
      </c>
      <c r="W98" s="25">
        <v>286566.84000000003</v>
      </c>
      <c r="X98" s="25"/>
      <c r="Y98" s="25">
        <v>604785.41</v>
      </c>
      <c r="Z98" s="181"/>
      <c r="AA98" s="25">
        <f t="shared" si="73"/>
        <v>19499446.91</v>
      </c>
      <c r="AB98" s="25">
        <f t="shared" si="74"/>
        <v>18169841</v>
      </c>
      <c r="AC98" s="198"/>
    </row>
    <row r="99" spans="1:29" s="26" customFormat="1" ht="110.25" x14ac:dyDescent="0.25">
      <c r="A99" s="22"/>
      <c r="B99" s="23"/>
      <c r="C99" s="22"/>
      <c r="D99" s="48" t="s">
        <v>618</v>
      </c>
      <c r="E99" s="30">
        <f t="shared" ref="E99" si="76">F99+I99</f>
        <v>21541</v>
      </c>
      <c r="F99" s="30">
        <v>21541</v>
      </c>
      <c r="G99" s="30"/>
      <c r="H99" s="30"/>
      <c r="I99" s="30"/>
      <c r="J99" s="30">
        <v>21541</v>
      </c>
      <c r="K99" s="30"/>
      <c r="L99" s="30"/>
      <c r="M99" s="182">
        <f t="shared" si="51"/>
        <v>100</v>
      </c>
      <c r="N99" s="30">
        <f t="shared" ref="N99" si="77">P99+S99</f>
        <v>0</v>
      </c>
      <c r="O99" s="30"/>
      <c r="P99" s="30"/>
      <c r="Q99" s="30"/>
      <c r="R99" s="30"/>
      <c r="S99" s="30"/>
      <c r="T99" s="15">
        <f t="shared" si="72"/>
        <v>0</v>
      </c>
      <c r="U99" s="30"/>
      <c r="V99" s="30"/>
      <c r="W99" s="30"/>
      <c r="X99" s="30"/>
      <c r="Y99" s="30"/>
      <c r="Z99" s="182"/>
      <c r="AA99" s="30">
        <f t="shared" si="73"/>
        <v>21541</v>
      </c>
      <c r="AB99" s="30">
        <f t="shared" ref="AB99" si="78">E99+N99</f>
        <v>21541</v>
      </c>
      <c r="AC99" s="198"/>
    </row>
    <row r="100" spans="1:29" s="26" customFormat="1" ht="83.25" customHeight="1" x14ac:dyDescent="0.25">
      <c r="A100" s="22" t="s">
        <v>522</v>
      </c>
      <c r="B100" s="23">
        <v>1025</v>
      </c>
      <c r="C100" s="22" t="s">
        <v>53</v>
      </c>
      <c r="D100" s="24" t="str">
        <f>'дод 5'!C58</f>
        <v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v>
      </c>
      <c r="E100" s="25">
        <f t="shared" si="71"/>
        <v>13539100</v>
      </c>
      <c r="F100" s="25">
        <f>14028100-329000-160000</f>
        <v>13539100</v>
      </c>
      <c r="G100" s="25">
        <f>9815000-250000</f>
        <v>9565000</v>
      </c>
      <c r="H100" s="25">
        <v>1219000</v>
      </c>
      <c r="I100" s="25"/>
      <c r="J100" s="25">
        <v>13061214.279999999</v>
      </c>
      <c r="K100" s="25">
        <v>9562422.6300000008</v>
      </c>
      <c r="L100" s="25">
        <v>943617.06</v>
      </c>
      <c r="M100" s="181">
        <f t="shared" si="51"/>
        <v>96.470328751541828</v>
      </c>
      <c r="N100" s="25">
        <f t="shared" si="75"/>
        <v>0</v>
      </c>
      <c r="O100" s="25"/>
      <c r="P100" s="25"/>
      <c r="Q100" s="25"/>
      <c r="R100" s="25"/>
      <c r="S100" s="25"/>
      <c r="T100" s="15">
        <f t="shared" si="72"/>
        <v>258589.57</v>
      </c>
      <c r="U100" s="25"/>
      <c r="V100" s="25">
        <v>206361.57</v>
      </c>
      <c r="W100" s="25"/>
      <c r="X100" s="25"/>
      <c r="Y100" s="25">
        <v>52228</v>
      </c>
      <c r="Z100" s="181"/>
      <c r="AA100" s="25">
        <f t="shared" si="73"/>
        <v>13319803.85</v>
      </c>
      <c r="AB100" s="25">
        <f t="shared" si="74"/>
        <v>13539100</v>
      </c>
      <c r="AC100" s="198"/>
    </row>
    <row r="101" spans="1:29" s="26" customFormat="1" ht="54" customHeight="1" x14ac:dyDescent="0.25">
      <c r="A101" s="22" t="s">
        <v>441</v>
      </c>
      <c r="B101" s="23">
        <v>1031</v>
      </c>
      <c r="C101" s="22" t="s">
        <v>49</v>
      </c>
      <c r="D101" s="24" t="str">
        <f>'дод 5'!C59</f>
        <v xml:space="preserve">Надання загальної середньої освіти закладами загальної середньої освіти за рахунок освітньої субвенції, у т.ч. за рахунок: </v>
      </c>
      <c r="E101" s="25">
        <f t="shared" si="71"/>
        <v>508400300</v>
      </c>
      <c r="F101" s="25">
        <v>508400300</v>
      </c>
      <c r="G101" s="25">
        <v>415576000</v>
      </c>
      <c r="H101" s="25"/>
      <c r="I101" s="25"/>
      <c r="J101" s="25">
        <v>506644238.12</v>
      </c>
      <c r="K101" s="25">
        <v>415329350.98000002</v>
      </c>
      <c r="L101" s="25"/>
      <c r="M101" s="181">
        <f t="shared" si="51"/>
        <v>99.654590707361905</v>
      </c>
      <c r="N101" s="25">
        <f t="shared" si="75"/>
        <v>0</v>
      </c>
      <c r="O101" s="25"/>
      <c r="P101" s="25"/>
      <c r="Q101" s="25"/>
      <c r="R101" s="25"/>
      <c r="S101" s="25"/>
      <c r="T101" s="15">
        <f t="shared" si="72"/>
        <v>0</v>
      </c>
      <c r="U101" s="25"/>
      <c r="V101" s="25"/>
      <c r="W101" s="25"/>
      <c r="X101" s="25"/>
      <c r="Y101" s="25"/>
      <c r="Z101" s="181"/>
      <c r="AA101" s="25">
        <f t="shared" si="73"/>
        <v>506644238.12</v>
      </c>
      <c r="AB101" s="25">
        <f t="shared" si="74"/>
        <v>508400300</v>
      </c>
      <c r="AC101" s="198"/>
    </row>
    <row r="102" spans="1:29" s="31" customFormat="1" ht="31.5" customHeight="1" x14ac:dyDescent="0.25">
      <c r="A102" s="27"/>
      <c r="B102" s="28"/>
      <c r="C102" s="28"/>
      <c r="D102" s="29" t="s">
        <v>375</v>
      </c>
      <c r="E102" s="30">
        <f t="shared" si="71"/>
        <v>506171900</v>
      </c>
      <c r="F102" s="30">
        <v>506171900</v>
      </c>
      <c r="G102" s="30">
        <v>415576000</v>
      </c>
      <c r="H102" s="30"/>
      <c r="I102" s="30"/>
      <c r="J102" s="30">
        <v>505163270.56999999</v>
      </c>
      <c r="K102" s="30">
        <v>415329350.98000002</v>
      </c>
      <c r="L102" s="30"/>
      <c r="M102" s="182">
        <f t="shared" si="51"/>
        <v>99.80073381592301</v>
      </c>
      <c r="N102" s="30">
        <f t="shared" si="75"/>
        <v>0</v>
      </c>
      <c r="O102" s="30"/>
      <c r="P102" s="30"/>
      <c r="Q102" s="30"/>
      <c r="R102" s="30"/>
      <c r="S102" s="30"/>
      <c r="T102" s="15">
        <f t="shared" si="72"/>
        <v>0</v>
      </c>
      <c r="U102" s="30"/>
      <c r="V102" s="30"/>
      <c r="W102" s="30"/>
      <c r="X102" s="30"/>
      <c r="Y102" s="30"/>
      <c r="Z102" s="182"/>
      <c r="AA102" s="30">
        <f t="shared" si="73"/>
        <v>505163270.56999999</v>
      </c>
      <c r="AB102" s="30">
        <f t="shared" si="74"/>
        <v>506171900</v>
      </c>
      <c r="AC102" s="198"/>
    </row>
    <row r="103" spans="1:29" s="31" customFormat="1" ht="47.25" x14ac:dyDescent="0.25">
      <c r="A103" s="27"/>
      <c r="B103" s="28"/>
      <c r="C103" s="28"/>
      <c r="D103" s="29" t="s">
        <v>370</v>
      </c>
      <c r="E103" s="30">
        <f t="shared" si="71"/>
        <v>2228400</v>
      </c>
      <c r="F103" s="30">
        <v>2228400</v>
      </c>
      <c r="G103" s="30"/>
      <c r="H103" s="30"/>
      <c r="I103" s="30"/>
      <c r="J103" s="30">
        <v>1480967.55</v>
      </c>
      <c r="K103" s="30"/>
      <c r="L103" s="30"/>
      <c r="M103" s="182">
        <f t="shared" si="51"/>
        <v>66.458784329563812</v>
      </c>
      <c r="N103" s="30">
        <f t="shared" si="75"/>
        <v>0</v>
      </c>
      <c r="O103" s="30"/>
      <c r="P103" s="30"/>
      <c r="Q103" s="30"/>
      <c r="R103" s="30"/>
      <c r="S103" s="30"/>
      <c r="T103" s="15">
        <f t="shared" si="72"/>
        <v>0</v>
      </c>
      <c r="U103" s="30"/>
      <c r="V103" s="30"/>
      <c r="W103" s="30"/>
      <c r="X103" s="30"/>
      <c r="Y103" s="30"/>
      <c r="Z103" s="182"/>
      <c r="AA103" s="30">
        <f t="shared" si="73"/>
        <v>1480967.55</v>
      </c>
      <c r="AB103" s="30">
        <f t="shared" si="74"/>
        <v>2228400</v>
      </c>
      <c r="AC103" s="198"/>
    </row>
    <row r="104" spans="1:29" s="26" customFormat="1" ht="84" customHeight="1" x14ac:dyDescent="0.25">
      <c r="A104" s="22" t="s">
        <v>442</v>
      </c>
      <c r="B104" s="22" t="s">
        <v>443</v>
      </c>
      <c r="C104" s="22" t="s">
        <v>53</v>
      </c>
      <c r="D104" s="24" t="str">
        <f>'дод 5'!C62</f>
        <v xml:space="preserve"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субвенції,  у т.ч. за рахунок: </v>
      </c>
      <c r="E104" s="25">
        <f t="shared" si="71"/>
        <v>20154300</v>
      </c>
      <c r="F104" s="25">
        <v>20154300</v>
      </c>
      <c r="G104" s="25">
        <v>16520000</v>
      </c>
      <c r="H104" s="25"/>
      <c r="I104" s="25"/>
      <c r="J104" s="25">
        <v>19770578.989999998</v>
      </c>
      <c r="K104" s="25">
        <v>16239086.27</v>
      </c>
      <c r="L104" s="25"/>
      <c r="M104" s="181">
        <f t="shared" si="51"/>
        <v>98.096083664528152</v>
      </c>
      <c r="N104" s="25">
        <f t="shared" si="75"/>
        <v>0</v>
      </c>
      <c r="O104" s="25"/>
      <c r="P104" s="25"/>
      <c r="Q104" s="25"/>
      <c r="R104" s="25"/>
      <c r="S104" s="25"/>
      <c r="T104" s="15">
        <f t="shared" si="72"/>
        <v>0</v>
      </c>
      <c r="U104" s="25"/>
      <c r="V104" s="25"/>
      <c r="W104" s="25"/>
      <c r="X104" s="25"/>
      <c r="Y104" s="25"/>
      <c r="Z104" s="181"/>
      <c r="AA104" s="25">
        <f t="shared" si="73"/>
        <v>19770578.989999998</v>
      </c>
      <c r="AB104" s="25">
        <f t="shared" si="74"/>
        <v>20154300</v>
      </c>
      <c r="AC104" s="198"/>
    </row>
    <row r="105" spans="1:29" s="31" customFormat="1" ht="33" customHeight="1" x14ac:dyDescent="0.25">
      <c r="A105" s="27"/>
      <c r="B105" s="28"/>
      <c r="C105" s="28"/>
      <c r="D105" s="29" t="s">
        <v>375</v>
      </c>
      <c r="E105" s="30">
        <f t="shared" si="71"/>
        <v>20154300</v>
      </c>
      <c r="F105" s="30">
        <v>20154300</v>
      </c>
      <c r="G105" s="30">
        <v>16520000</v>
      </c>
      <c r="H105" s="30"/>
      <c r="I105" s="30"/>
      <c r="J105" s="30">
        <v>19770578.989999998</v>
      </c>
      <c r="K105" s="30">
        <v>16239086.27</v>
      </c>
      <c r="L105" s="30"/>
      <c r="M105" s="182">
        <f t="shared" si="51"/>
        <v>98.096083664528152</v>
      </c>
      <c r="N105" s="30">
        <f t="shared" ref="N105:N107" si="79">P105+S105</f>
        <v>0</v>
      </c>
      <c r="O105" s="30"/>
      <c r="P105" s="30"/>
      <c r="Q105" s="30"/>
      <c r="R105" s="30"/>
      <c r="S105" s="30"/>
      <c r="T105" s="15">
        <f t="shared" si="72"/>
        <v>0</v>
      </c>
      <c r="U105" s="30"/>
      <c r="V105" s="30"/>
      <c r="W105" s="30"/>
      <c r="X105" s="30"/>
      <c r="Y105" s="30"/>
      <c r="Z105" s="182"/>
      <c r="AA105" s="30">
        <f t="shared" si="73"/>
        <v>19770578.989999998</v>
      </c>
      <c r="AB105" s="30">
        <f t="shared" ref="AB105:AB107" si="80">E105+N105</f>
        <v>20154300</v>
      </c>
      <c r="AC105" s="198"/>
    </row>
    <row r="106" spans="1:29" s="26" customFormat="1" ht="81.400000000000006" customHeight="1" x14ac:dyDescent="0.25">
      <c r="A106" s="22" t="s">
        <v>523</v>
      </c>
      <c r="B106" s="23">
        <v>1035</v>
      </c>
      <c r="C106" s="22" t="s">
        <v>53</v>
      </c>
      <c r="D106" s="24" t="str">
        <f>'дод 5'!C64</f>
        <v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освітньої субвенції,  у т.ч. за рахунок: </v>
      </c>
      <c r="E106" s="25">
        <f t="shared" si="71"/>
        <v>1773800</v>
      </c>
      <c r="F106" s="25">
        <v>1773800</v>
      </c>
      <c r="G106" s="25">
        <v>1454000</v>
      </c>
      <c r="H106" s="25"/>
      <c r="I106" s="25"/>
      <c r="J106" s="25">
        <v>1245468.23</v>
      </c>
      <c r="K106" s="25">
        <v>1044305.65</v>
      </c>
      <c r="L106" s="25"/>
      <c r="M106" s="181">
        <f t="shared" si="51"/>
        <v>70.214693313789596</v>
      </c>
      <c r="N106" s="25">
        <f t="shared" si="75"/>
        <v>0</v>
      </c>
      <c r="O106" s="25"/>
      <c r="P106" s="25"/>
      <c r="Q106" s="25"/>
      <c r="R106" s="25"/>
      <c r="S106" s="25"/>
      <c r="T106" s="15">
        <f t="shared" si="72"/>
        <v>0</v>
      </c>
      <c r="U106" s="25"/>
      <c r="V106" s="25"/>
      <c r="W106" s="25"/>
      <c r="X106" s="25"/>
      <c r="Y106" s="25"/>
      <c r="Z106" s="181"/>
      <c r="AA106" s="25">
        <f t="shared" si="73"/>
        <v>1245468.23</v>
      </c>
      <c r="AB106" s="25">
        <f t="shared" si="74"/>
        <v>1773800</v>
      </c>
      <c r="AC106" s="198"/>
    </row>
    <row r="107" spans="1:29" s="31" customFormat="1" ht="31.5" customHeight="1" x14ac:dyDescent="0.25">
      <c r="A107" s="27"/>
      <c r="B107" s="28"/>
      <c r="C107" s="27"/>
      <c r="D107" s="29" t="s">
        <v>375</v>
      </c>
      <c r="E107" s="30">
        <f t="shared" si="71"/>
        <v>1773800</v>
      </c>
      <c r="F107" s="30">
        <v>1773800</v>
      </c>
      <c r="G107" s="30">
        <v>1454000</v>
      </c>
      <c r="H107" s="30"/>
      <c r="I107" s="30"/>
      <c r="J107" s="30">
        <v>1245468.23</v>
      </c>
      <c r="K107" s="30">
        <v>1044305.65</v>
      </c>
      <c r="L107" s="30"/>
      <c r="M107" s="182">
        <f t="shared" si="51"/>
        <v>70.214693313789596</v>
      </c>
      <c r="N107" s="30">
        <f t="shared" si="79"/>
        <v>0</v>
      </c>
      <c r="O107" s="30"/>
      <c r="P107" s="30"/>
      <c r="Q107" s="30"/>
      <c r="R107" s="30"/>
      <c r="S107" s="30"/>
      <c r="T107" s="15">
        <f t="shared" si="72"/>
        <v>0</v>
      </c>
      <c r="U107" s="30"/>
      <c r="V107" s="30"/>
      <c r="W107" s="30"/>
      <c r="X107" s="30"/>
      <c r="Y107" s="30"/>
      <c r="Z107" s="182"/>
      <c r="AA107" s="30">
        <f t="shared" si="73"/>
        <v>1245468.23</v>
      </c>
      <c r="AB107" s="30">
        <f t="shared" si="80"/>
        <v>1773800</v>
      </c>
      <c r="AC107" s="198"/>
    </row>
    <row r="108" spans="1:29" s="31" customFormat="1" ht="31.5" customHeight="1" x14ac:dyDescent="0.25">
      <c r="A108" s="22" t="s">
        <v>482</v>
      </c>
      <c r="B108" s="23">
        <v>1061</v>
      </c>
      <c r="C108" s="22" t="s">
        <v>49</v>
      </c>
      <c r="D108" s="24" t="s">
        <v>484</v>
      </c>
      <c r="E108" s="25">
        <f t="shared" si="71"/>
        <v>351767.89</v>
      </c>
      <c r="F108" s="25">
        <v>351767.89</v>
      </c>
      <c r="G108" s="30">
        <v>290000</v>
      </c>
      <c r="H108" s="30"/>
      <c r="I108" s="30"/>
      <c r="J108" s="30">
        <v>351767.89</v>
      </c>
      <c r="K108" s="30">
        <v>290000</v>
      </c>
      <c r="L108" s="30"/>
      <c r="M108" s="181">
        <f t="shared" si="51"/>
        <v>100</v>
      </c>
      <c r="N108" s="25">
        <f t="shared" si="75"/>
        <v>0</v>
      </c>
      <c r="O108" s="25"/>
      <c r="P108" s="25">
        <f>262064-262064</f>
        <v>0</v>
      </c>
      <c r="Q108" s="25"/>
      <c r="R108" s="25"/>
      <c r="S108" s="25"/>
      <c r="T108" s="15">
        <f t="shared" si="72"/>
        <v>0</v>
      </c>
      <c r="U108" s="25"/>
      <c r="V108" s="25"/>
      <c r="W108" s="25"/>
      <c r="X108" s="25"/>
      <c r="Y108" s="25"/>
      <c r="Z108" s="181"/>
      <c r="AA108" s="25">
        <f t="shared" si="73"/>
        <v>351767.89</v>
      </c>
      <c r="AB108" s="25">
        <f t="shared" si="74"/>
        <v>351767.89</v>
      </c>
      <c r="AC108" s="198"/>
    </row>
    <row r="109" spans="1:29" s="31" customFormat="1" ht="55.15" hidden="1" customHeight="1" x14ac:dyDescent="0.25">
      <c r="A109" s="27"/>
      <c r="B109" s="28"/>
      <c r="C109" s="27"/>
      <c r="D109" s="29" t="s">
        <v>494</v>
      </c>
      <c r="E109" s="25">
        <f t="shared" si="71"/>
        <v>0</v>
      </c>
      <c r="F109" s="30"/>
      <c r="G109" s="30"/>
      <c r="H109" s="30"/>
      <c r="I109" s="30"/>
      <c r="J109" s="30"/>
      <c r="K109" s="30"/>
      <c r="L109" s="30"/>
      <c r="M109" s="181" t="e">
        <f t="shared" si="51"/>
        <v>#DIV/0!</v>
      </c>
      <c r="N109" s="30">
        <f>P109+S109</f>
        <v>0</v>
      </c>
      <c r="O109" s="30"/>
      <c r="P109" s="30">
        <f>262064-262064</f>
        <v>0</v>
      </c>
      <c r="Q109" s="30"/>
      <c r="R109" s="30"/>
      <c r="S109" s="30"/>
      <c r="T109" s="15">
        <f t="shared" si="72"/>
        <v>0</v>
      </c>
      <c r="U109" s="30"/>
      <c r="V109" s="30"/>
      <c r="W109" s="30"/>
      <c r="X109" s="30"/>
      <c r="Y109" s="30"/>
      <c r="Z109" s="181"/>
      <c r="AA109" s="25">
        <f t="shared" si="73"/>
        <v>0</v>
      </c>
      <c r="AB109" s="30">
        <f t="shared" si="74"/>
        <v>0</v>
      </c>
      <c r="AC109" s="198"/>
    </row>
    <row r="110" spans="1:29" s="31" customFormat="1" ht="31.5" customHeight="1" x14ac:dyDescent="0.25">
      <c r="A110" s="27"/>
      <c r="B110" s="28"/>
      <c r="C110" s="27"/>
      <c r="D110" s="29" t="s">
        <v>491</v>
      </c>
      <c r="E110" s="30">
        <f t="shared" si="71"/>
        <v>351767.89</v>
      </c>
      <c r="F110" s="30">
        <v>351767.89</v>
      </c>
      <c r="G110" s="30">
        <v>290000</v>
      </c>
      <c r="H110" s="30"/>
      <c r="I110" s="30"/>
      <c r="J110" s="30">
        <v>351767.89</v>
      </c>
      <c r="K110" s="30">
        <v>290000</v>
      </c>
      <c r="L110" s="30"/>
      <c r="M110" s="182">
        <f t="shared" si="51"/>
        <v>100</v>
      </c>
      <c r="N110" s="30">
        <f t="shared" ref="N110" si="81">P110+S110</f>
        <v>0</v>
      </c>
      <c r="O110" s="30"/>
      <c r="P110" s="30"/>
      <c r="Q110" s="30"/>
      <c r="R110" s="30"/>
      <c r="S110" s="30"/>
      <c r="T110" s="15">
        <f t="shared" si="72"/>
        <v>0</v>
      </c>
      <c r="U110" s="30"/>
      <c r="V110" s="30"/>
      <c r="W110" s="30"/>
      <c r="X110" s="30"/>
      <c r="Y110" s="30"/>
      <c r="Z110" s="182"/>
      <c r="AA110" s="30">
        <f t="shared" si="73"/>
        <v>351767.89</v>
      </c>
      <c r="AB110" s="30">
        <f t="shared" si="74"/>
        <v>351767.89</v>
      </c>
      <c r="AC110" s="198"/>
    </row>
    <row r="111" spans="1:29" s="31" customFormat="1" ht="63" hidden="1" customHeight="1" x14ac:dyDescent="0.25">
      <c r="A111" s="22" t="s">
        <v>486</v>
      </c>
      <c r="B111" s="23">
        <v>1062</v>
      </c>
      <c r="C111" s="22" t="s">
        <v>53</v>
      </c>
      <c r="D111" s="24" t="s">
        <v>469</v>
      </c>
      <c r="E111" s="25">
        <f t="shared" si="71"/>
        <v>0</v>
      </c>
      <c r="F111" s="25"/>
      <c r="G111" s="30"/>
      <c r="H111" s="30"/>
      <c r="I111" s="30"/>
      <c r="J111" s="30"/>
      <c r="K111" s="30"/>
      <c r="L111" s="30"/>
      <c r="M111" s="181" t="e">
        <f t="shared" si="51"/>
        <v>#DIV/0!</v>
      </c>
      <c r="N111" s="25">
        <f>P111+S111</f>
        <v>0</v>
      </c>
      <c r="O111" s="30"/>
      <c r="P111" s="30"/>
      <c r="Q111" s="30"/>
      <c r="R111" s="30"/>
      <c r="S111" s="30"/>
      <c r="T111" s="15">
        <f t="shared" si="72"/>
        <v>0</v>
      </c>
      <c r="U111" s="30"/>
      <c r="V111" s="30"/>
      <c r="W111" s="30"/>
      <c r="X111" s="30"/>
      <c r="Y111" s="30"/>
      <c r="Z111" s="181" t="e">
        <f t="shared" si="48"/>
        <v>#DIV/0!</v>
      </c>
      <c r="AA111" s="25">
        <f t="shared" si="73"/>
        <v>0</v>
      </c>
      <c r="AB111" s="25">
        <f t="shared" si="74"/>
        <v>0</v>
      </c>
      <c r="AC111" s="198"/>
    </row>
    <row r="112" spans="1:29" s="31" customFormat="1" ht="31.5" hidden="1" customHeight="1" x14ac:dyDescent="0.25">
      <c r="A112" s="27"/>
      <c r="B112" s="28"/>
      <c r="C112" s="27"/>
      <c r="D112" s="29" t="s">
        <v>491</v>
      </c>
      <c r="E112" s="25">
        <f t="shared" si="71"/>
        <v>0</v>
      </c>
      <c r="F112" s="30"/>
      <c r="G112" s="30"/>
      <c r="H112" s="30"/>
      <c r="I112" s="30"/>
      <c r="J112" s="30"/>
      <c r="K112" s="30"/>
      <c r="L112" s="30"/>
      <c r="M112" s="181" t="e">
        <f t="shared" si="51"/>
        <v>#DIV/0!</v>
      </c>
      <c r="N112" s="30">
        <f>P112+S112</f>
        <v>0</v>
      </c>
      <c r="O112" s="25"/>
      <c r="P112" s="30"/>
      <c r="Q112" s="30"/>
      <c r="R112" s="30"/>
      <c r="S112" s="25"/>
      <c r="T112" s="15">
        <f t="shared" si="72"/>
        <v>0</v>
      </c>
      <c r="U112" s="25"/>
      <c r="V112" s="25"/>
      <c r="W112" s="25"/>
      <c r="X112" s="25"/>
      <c r="Y112" s="25"/>
      <c r="Z112" s="181" t="e">
        <f t="shared" si="48"/>
        <v>#DIV/0!</v>
      </c>
      <c r="AA112" s="25">
        <f t="shared" si="73"/>
        <v>0</v>
      </c>
      <c r="AB112" s="30">
        <f t="shared" si="74"/>
        <v>0</v>
      </c>
      <c r="AC112" s="198"/>
    </row>
    <row r="113" spans="1:29" s="26" customFormat="1" ht="42" customHeight="1" x14ac:dyDescent="0.25">
      <c r="A113" s="22" t="s">
        <v>444</v>
      </c>
      <c r="B113" s="22" t="s">
        <v>52</v>
      </c>
      <c r="C113" s="22" t="s">
        <v>55</v>
      </c>
      <c r="D113" s="24" t="str">
        <f>'дод 5'!C71</f>
        <v>Надання позашкільної освіти закладами позашкільної освіти, заходи із позашкільної роботи з дітьми</v>
      </c>
      <c r="E113" s="25">
        <f t="shared" si="71"/>
        <v>47641500</v>
      </c>
      <c r="F113" s="25">
        <f>49233900-1592400</f>
        <v>47641500</v>
      </c>
      <c r="G113" s="25">
        <f>34500000-69800-1300000</f>
        <v>33130200</v>
      </c>
      <c r="H113" s="25">
        <v>6479900</v>
      </c>
      <c r="I113" s="25"/>
      <c r="J113" s="25">
        <v>46797815.130000003</v>
      </c>
      <c r="K113" s="25">
        <v>33129908.199999999</v>
      </c>
      <c r="L113" s="25">
        <v>5681675.3200000003</v>
      </c>
      <c r="M113" s="181">
        <f t="shared" si="51"/>
        <v>98.229096753880555</v>
      </c>
      <c r="N113" s="25">
        <f t="shared" si="75"/>
        <v>4042440</v>
      </c>
      <c r="O113" s="25">
        <f>1000000+2255000+976500-189060</f>
        <v>4042440</v>
      </c>
      <c r="P113" s="25"/>
      <c r="Q113" s="25"/>
      <c r="R113" s="25"/>
      <c r="S113" s="25">
        <f>1000000+2255000+976500-189060</f>
        <v>4042440</v>
      </c>
      <c r="T113" s="15">
        <f t="shared" si="72"/>
        <v>5319290.4800000004</v>
      </c>
      <c r="U113" s="25">
        <v>3602718.13</v>
      </c>
      <c r="V113" s="25">
        <v>1669780.74</v>
      </c>
      <c r="W113" s="25">
        <v>400094.93</v>
      </c>
      <c r="X113" s="25"/>
      <c r="Y113" s="25">
        <v>3649509.74</v>
      </c>
      <c r="Z113" s="181" t="s">
        <v>772</v>
      </c>
      <c r="AA113" s="25">
        <f t="shared" si="73"/>
        <v>52117105.609999999</v>
      </c>
      <c r="AB113" s="25">
        <f t="shared" si="74"/>
        <v>51683940</v>
      </c>
      <c r="AC113" s="198"/>
    </row>
    <row r="114" spans="1:29" s="26" customFormat="1" ht="66.75" customHeight="1" x14ac:dyDescent="0.25">
      <c r="A114" s="22" t="s">
        <v>548</v>
      </c>
      <c r="B114" s="23">
        <v>1091</v>
      </c>
      <c r="C114" s="22" t="s">
        <v>549</v>
      </c>
      <c r="D114" s="24" t="str">
        <f>'дод 5'!C73</f>
        <v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v>
      </c>
      <c r="E114" s="25">
        <f t="shared" si="71"/>
        <v>160316700</v>
      </c>
      <c r="F114" s="25">
        <f>166005300-500000-744000-4444600</f>
        <v>160316700</v>
      </c>
      <c r="G114" s="25">
        <f>91215400-609000-1720606-3559300</f>
        <v>85326494</v>
      </c>
      <c r="H114" s="25">
        <f>18732100+2139565</f>
        <v>20871665</v>
      </c>
      <c r="I114" s="25"/>
      <c r="J114" s="25">
        <v>158311954.31999999</v>
      </c>
      <c r="K114" s="25">
        <v>85324111.159999996</v>
      </c>
      <c r="L114" s="25">
        <v>19693227.789999999</v>
      </c>
      <c r="M114" s="181">
        <f t="shared" si="51"/>
        <v>98.749509140345324</v>
      </c>
      <c r="N114" s="25">
        <f>P114+S114</f>
        <v>51702725</v>
      </c>
      <c r="O114" s="25">
        <v>37122000</v>
      </c>
      <c r="P114" s="25">
        <v>14430725</v>
      </c>
      <c r="Q114" s="25">
        <v>4542152</v>
      </c>
      <c r="R114" s="25">
        <v>5317700</v>
      </c>
      <c r="S114" s="25">
        <f>150000+37122000</f>
        <v>37272000</v>
      </c>
      <c r="T114" s="15">
        <f t="shared" si="72"/>
        <v>41062827.049999997</v>
      </c>
      <c r="U114" s="25">
        <v>1448026.33</v>
      </c>
      <c r="V114" s="25">
        <v>32522954.579999998</v>
      </c>
      <c r="W114" s="25">
        <v>5535555.7400000002</v>
      </c>
      <c r="X114" s="25">
        <v>4848952.0599999996</v>
      </c>
      <c r="Y114" s="25">
        <v>8539872.4700000007</v>
      </c>
      <c r="Z114" s="181">
        <f t="shared" si="48"/>
        <v>79.421011271649604</v>
      </c>
      <c r="AA114" s="25">
        <f t="shared" si="73"/>
        <v>199374781.37</v>
      </c>
      <c r="AB114" s="25">
        <f t="shared" si="74"/>
        <v>212019425</v>
      </c>
      <c r="AC114" s="198"/>
    </row>
    <row r="115" spans="1:29" s="31" customFormat="1" ht="110.25" x14ac:dyDescent="0.25">
      <c r="A115" s="27"/>
      <c r="B115" s="28"/>
      <c r="C115" s="27"/>
      <c r="D115" s="29" t="str">
        <f>'дод 5'!C74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15" s="30"/>
      <c r="F115" s="30"/>
      <c r="G115" s="30"/>
      <c r="H115" s="30"/>
      <c r="I115" s="30"/>
      <c r="J115" s="30"/>
      <c r="K115" s="30"/>
      <c r="L115" s="30"/>
      <c r="M115" s="182"/>
      <c r="N115" s="30">
        <f>P115+S115</f>
        <v>37122000</v>
      </c>
      <c r="O115" s="30">
        <v>37122000</v>
      </c>
      <c r="P115" s="30"/>
      <c r="Q115" s="30"/>
      <c r="R115" s="30"/>
      <c r="S115" s="30">
        <v>37122000</v>
      </c>
      <c r="T115" s="15">
        <f t="shared" si="72"/>
        <v>1448026.33</v>
      </c>
      <c r="U115" s="30">
        <v>1448026.33</v>
      </c>
      <c r="V115" s="30"/>
      <c r="W115" s="30"/>
      <c r="X115" s="30"/>
      <c r="Y115" s="30">
        <v>1448026.33</v>
      </c>
      <c r="Z115" s="182">
        <f t="shared" si="48"/>
        <v>3.9007228328215078</v>
      </c>
      <c r="AA115" s="30">
        <f t="shared" si="73"/>
        <v>1448026.33</v>
      </c>
      <c r="AB115" s="30">
        <f t="shared" si="74"/>
        <v>37122000</v>
      </c>
      <c r="AC115" s="198"/>
    </row>
    <row r="116" spans="1:29" s="26" customFormat="1" ht="63" customHeight="1" x14ac:dyDescent="0.25">
      <c r="A116" s="22" t="s">
        <v>550</v>
      </c>
      <c r="B116" s="23">
        <v>1092</v>
      </c>
      <c r="C116" s="22" t="s">
        <v>549</v>
      </c>
      <c r="D116" s="24" t="str">
        <f>'дод 5'!C75</f>
        <v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v>
      </c>
      <c r="E116" s="25">
        <f t="shared" si="71"/>
        <v>22978300</v>
      </c>
      <c r="F116" s="25">
        <v>22978300</v>
      </c>
      <c r="G116" s="25">
        <v>18834600</v>
      </c>
      <c r="H116" s="25"/>
      <c r="I116" s="25"/>
      <c r="J116" s="25">
        <v>20776601.780000001</v>
      </c>
      <c r="K116" s="25">
        <v>17099905.25</v>
      </c>
      <c r="L116" s="25"/>
      <c r="M116" s="181">
        <f t="shared" si="51"/>
        <v>90.418358973466269</v>
      </c>
      <c r="N116" s="25">
        <f t="shared" si="75"/>
        <v>0</v>
      </c>
      <c r="O116" s="25"/>
      <c r="P116" s="25"/>
      <c r="Q116" s="25"/>
      <c r="R116" s="25"/>
      <c r="S116" s="25"/>
      <c r="T116" s="15">
        <f t="shared" si="72"/>
        <v>0</v>
      </c>
      <c r="U116" s="25"/>
      <c r="V116" s="25"/>
      <c r="W116" s="25"/>
      <c r="X116" s="25"/>
      <c r="Y116" s="25"/>
      <c r="Z116" s="181"/>
      <c r="AA116" s="25">
        <f t="shared" si="73"/>
        <v>20776601.780000001</v>
      </c>
      <c r="AB116" s="25">
        <f t="shared" si="74"/>
        <v>22978300</v>
      </c>
      <c r="AC116" s="198">
        <v>5</v>
      </c>
    </row>
    <row r="117" spans="1:29" s="31" customFormat="1" ht="31.5" customHeight="1" x14ac:dyDescent="0.25">
      <c r="A117" s="27"/>
      <c r="B117" s="28"/>
      <c r="C117" s="27"/>
      <c r="D117" s="29" t="s">
        <v>375</v>
      </c>
      <c r="E117" s="30">
        <f t="shared" si="71"/>
        <v>22978300</v>
      </c>
      <c r="F117" s="30">
        <v>22978300</v>
      </c>
      <c r="G117" s="30">
        <v>18834600</v>
      </c>
      <c r="H117" s="30"/>
      <c r="I117" s="30"/>
      <c r="J117" s="30">
        <v>20776601.780000001</v>
      </c>
      <c r="K117" s="30">
        <v>17099905.25</v>
      </c>
      <c r="L117" s="30"/>
      <c r="M117" s="182">
        <f t="shared" si="51"/>
        <v>90.418358973466269</v>
      </c>
      <c r="N117" s="30">
        <f t="shared" si="75"/>
        <v>0</v>
      </c>
      <c r="O117" s="30"/>
      <c r="P117" s="30"/>
      <c r="Q117" s="30"/>
      <c r="R117" s="30"/>
      <c r="S117" s="30"/>
      <c r="T117" s="15">
        <f t="shared" si="72"/>
        <v>0</v>
      </c>
      <c r="U117" s="30"/>
      <c r="V117" s="30"/>
      <c r="W117" s="30"/>
      <c r="X117" s="30"/>
      <c r="Y117" s="30"/>
      <c r="Z117" s="182"/>
      <c r="AA117" s="30">
        <f t="shared" si="73"/>
        <v>20776601.780000001</v>
      </c>
      <c r="AB117" s="30">
        <f t="shared" si="74"/>
        <v>22978300</v>
      </c>
      <c r="AC117" s="198"/>
    </row>
    <row r="118" spans="1:29" s="26" customFormat="1" ht="126" x14ac:dyDescent="0.25">
      <c r="A118" s="22" t="s">
        <v>686</v>
      </c>
      <c r="B118" s="23">
        <v>1094</v>
      </c>
      <c r="C118" s="22" t="s">
        <v>549</v>
      </c>
      <c r="D118" s="24" t="s">
        <v>687</v>
      </c>
      <c r="E118" s="25">
        <f t="shared" ref="E118" si="82">F118+I118</f>
        <v>0</v>
      </c>
      <c r="F118" s="25"/>
      <c r="G118" s="25"/>
      <c r="H118" s="25"/>
      <c r="I118" s="25"/>
      <c r="J118" s="25"/>
      <c r="K118" s="25"/>
      <c r="L118" s="25"/>
      <c r="M118" s="181"/>
      <c r="N118" s="25">
        <f t="shared" ref="N118" si="83">P118+S118</f>
        <v>7819500</v>
      </c>
      <c r="O118" s="25">
        <v>7819500</v>
      </c>
      <c r="P118" s="25"/>
      <c r="Q118" s="25"/>
      <c r="R118" s="25"/>
      <c r="S118" s="25">
        <v>7819500</v>
      </c>
      <c r="T118" s="15">
        <f t="shared" si="72"/>
        <v>3514398.89</v>
      </c>
      <c r="U118" s="25">
        <v>3514398.89</v>
      </c>
      <c r="V118" s="25"/>
      <c r="W118" s="25"/>
      <c r="X118" s="25"/>
      <c r="Y118" s="25">
        <v>3514398.89</v>
      </c>
      <c r="Z118" s="181">
        <f t="shared" si="48"/>
        <v>44.944035935801523</v>
      </c>
      <c r="AA118" s="25">
        <f t="shared" si="73"/>
        <v>3514398.89</v>
      </c>
      <c r="AB118" s="25">
        <f t="shared" ref="AB118" si="84">E118+N118</f>
        <v>7819500</v>
      </c>
      <c r="AC118" s="198"/>
    </row>
    <row r="119" spans="1:29" s="31" customFormat="1" ht="47.25" x14ac:dyDescent="0.25">
      <c r="A119" s="27"/>
      <c r="B119" s="28"/>
      <c r="C119" s="27"/>
      <c r="D119" s="29" t="s">
        <v>494</v>
      </c>
      <c r="E119" s="30">
        <f t="shared" ref="E119" si="85">F119+I119</f>
        <v>0</v>
      </c>
      <c r="F119" s="30"/>
      <c r="G119" s="30"/>
      <c r="H119" s="30"/>
      <c r="I119" s="30"/>
      <c r="J119" s="30"/>
      <c r="K119" s="30"/>
      <c r="L119" s="30"/>
      <c r="M119" s="182"/>
      <c r="N119" s="30">
        <f t="shared" ref="N119" si="86">P119+S119</f>
        <v>7819500</v>
      </c>
      <c r="O119" s="30">
        <v>7819500</v>
      </c>
      <c r="P119" s="30"/>
      <c r="Q119" s="30"/>
      <c r="R119" s="30"/>
      <c r="S119" s="30">
        <v>7819500</v>
      </c>
      <c r="T119" s="15">
        <f t="shared" si="72"/>
        <v>3514398.89</v>
      </c>
      <c r="U119" s="30">
        <v>3514398.89</v>
      </c>
      <c r="V119" s="30"/>
      <c r="W119" s="30"/>
      <c r="X119" s="30"/>
      <c r="Y119" s="30">
        <v>3514398.89</v>
      </c>
      <c r="Z119" s="182">
        <f t="shared" si="48"/>
        <v>44.944035935801523</v>
      </c>
      <c r="AA119" s="30">
        <f t="shared" si="73"/>
        <v>3514398.89</v>
      </c>
      <c r="AB119" s="30">
        <f t="shared" ref="AB119" si="87">E119+N119</f>
        <v>7819500</v>
      </c>
      <c r="AC119" s="198"/>
    </row>
    <row r="120" spans="1:29" s="26" customFormat="1" ht="34.5" customHeight="1" x14ac:dyDescent="0.25">
      <c r="A120" s="22" t="s">
        <v>445</v>
      </c>
      <c r="B120" s="22" t="s">
        <v>446</v>
      </c>
      <c r="C120" s="22" t="s">
        <v>56</v>
      </c>
      <c r="D120" s="24" t="str">
        <f>'дод 5'!C79</f>
        <v>Забезпечення діяльності інших закладів у сфері освіти</v>
      </c>
      <c r="E120" s="25">
        <f t="shared" si="71"/>
        <v>13487200</v>
      </c>
      <c r="F120" s="25">
        <f>13653300-166100</f>
        <v>13487200</v>
      </c>
      <c r="G120" s="25">
        <f>9562000-150000</f>
        <v>9412000</v>
      </c>
      <c r="H120" s="25">
        <v>1300700</v>
      </c>
      <c r="I120" s="25"/>
      <c r="J120" s="25">
        <v>12804309.689999999</v>
      </c>
      <c r="K120" s="25">
        <v>9129288.7400000002</v>
      </c>
      <c r="L120" s="25">
        <v>1028182.84</v>
      </c>
      <c r="M120" s="181">
        <f t="shared" si="51"/>
        <v>94.936752550566467</v>
      </c>
      <c r="N120" s="25">
        <f t="shared" si="75"/>
        <v>0</v>
      </c>
      <c r="O120" s="25"/>
      <c r="P120" s="25"/>
      <c r="Q120" s="25"/>
      <c r="R120" s="25"/>
      <c r="S120" s="25"/>
      <c r="T120" s="15">
        <f t="shared" si="72"/>
        <v>119813.15</v>
      </c>
      <c r="U120" s="25"/>
      <c r="V120" s="25">
        <v>119813.15</v>
      </c>
      <c r="W120" s="25"/>
      <c r="X120" s="25"/>
      <c r="Y120" s="25"/>
      <c r="Z120" s="181"/>
      <c r="AA120" s="25">
        <f t="shared" si="73"/>
        <v>12924122.84</v>
      </c>
      <c r="AB120" s="25">
        <f t="shared" si="74"/>
        <v>13487200</v>
      </c>
      <c r="AC120" s="198"/>
    </row>
    <row r="121" spans="1:29" s="26" customFormat="1" ht="27.75" customHeight="1" x14ac:dyDescent="0.25">
      <c r="A121" s="22" t="s">
        <v>447</v>
      </c>
      <c r="B121" s="22" t="s">
        <v>448</v>
      </c>
      <c r="C121" s="22" t="s">
        <v>56</v>
      </c>
      <c r="D121" s="24" t="str">
        <f>'дод 5'!C80</f>
        <v>Інші програми та заходи у сфері освіти</v>
      </c>
      <c r="E121" s="25">
        <f t="shared" si="71"/>
        <v>134000</v>
      </c>
      <c r="F121" s="25">
        <v>134000</v>
      </c>
      <c r="G121" s="25"/>
      <c r="H121" s="25"/>
      <c r="I121" s="25"/>
      <c r="J121" s="25">
        <v>107450</v>
      </c>
      <c r="K121" s="25"/>
      <c r="L121" s="25"/>
      <c r="M121" s="181">
        <f t="shared" si="51"/>
        <v>80.186567164179095</v>
      </c>
      <c r="N121" s="25">
        <f t="shared" ref="N121" si="88">P121+S121</f>
        <v>0</v>
      </c>
      <c r="O121" s="25"/>
      <c r="P121" s="25"/>
      <c r="Q121" s="25"/>
      <c r="R121" s="25"/>
      <c r="S121" s="25"/>
      <c r="T121" s="15">
        <f t="shared" si="72"/>
        <v>0</v>
      </c>
      <c r="U121" s="25"/>
      <c r="V121" s="25"/>
      <c r="W121" s="25"/>
      <c r="X121" s="25"/>
      <c r="Y121" s="25"/>
      <c r="Z121" s="181"/>
      <c r="AA121" s="25">
        <f t="shared" si="73"/>
        <v>107450</v>
      </c>
      <c r="AB121" s="25">
        <f t="shared" ref="AB121" si="89">E121+N121</f>
        <v>134000</v>
      </c>
      <c r="AC121" s="198"/>
    </row>
    <row r="122" spans="1:29" s="26" customFormat="1" ht="35.25" customHeight="1" x14ac:dyDescent="0.25">
      <c r="A122" s="22" t="s">
        <v>449</v>
      </c>
      <c r="B122" s="22" t="s">
        <v>450</v>
      </c>
      <c r="C122" s="22" t="s">
        <v>56</v>
      </c>
      <c r="D122" s="24" t="str">
        <f>'дод 5'!C81</f>
        <v>Забезпечення діяльності інклюзивно-ресурсних центрів за рахунок коштів місцевого бюджету</v>
      </c>
      <c r="E122" s="25">
        <f t="shared" si="71"/>
        <v>174700</v>
      </c>
      <c r="F122" s="25">
        <v>174700</v>
      </c>
      <c r="G122" s="25"/>
      <c r="H122" s="25">
        <v>122400</v>
      </c>
      <c r="I122" s="25"/>
      <c r="J122" s="25">
        <v>157369.4</v>
      </c>
      <c r="K122" s="25"/>
      <c r="L122" s="25">
        <v>118004.91</v>
      </c>
      <c r="M122" s="181">
        <f t="shared" si="51"/>
        <v>90.07979393245563</v>
      </c>
      <c r="N122" s="25">
        <f t="shared" si="75"/>
        <v>0</v>
      </c>
      <c r="O122" s="25"/>
      <c r="P122" s="25"/>
      <c r="Q122" s="25"/>
      <c r="R122" s="25"/>
      <c r="S122" s="25"/>
      <c r="T122" s="15">
        <f t="shared" si="72"/>
        <v>22010.42</v>
      </c>
      <c r="U122" s="25"/>
      <c r="V122" s="25">
        <v>22010.42</v>
      </c>
      <c r="W122" s="25"/>
      <c r="X122" s="25"/>
      <c r="Y122" s="25"/>
      <c r="Z122" s="181"/>
      <c r="AA122" s="25">
        <f t="shared" si="73"/>
        <v>179379.82</v>
      </c>
      <c r="AB122" s="25">
        <f t="shared" si="74"/>
        <v>174700</v>
      </c>
      <c r="AC122" s="198"/>
    </row>
    <row r="123" spans="1:29" s="26" customFormat="1" ht="47.25" x14ac:dyDescent="0.25">
      <c r="A123" s="22" t="s">
        <v>452</v>
      </c>
      <c r="B123" s="22" t="s">
        <v>453</v>
      </c>
      <c r="C123" s="22" t="str">
        <f>'дод 5'!B81</f>
        <v>0990</v>
      </c>
      <c r="D123" s="24" t="str">
        <f>'дод 5'!C82</f>
        <v>Забезпечення діяльності інклюзивно-ресурсних центрів за рахунок освітньої субвенції, у т.ч. за рахунок:</v>
      </c>
      <c r="E123" s="25">
        <f t="shared" si="71"/>
        <v>2091775</v>
      </c>
      <c r="F123" s="25">
        <v>2091775</v>
      </c>
      <c r="G123" s="25">
        <v>1714570</v>
      </c>
      <c r="H123" s="25"/>
      <c r="I123" s="25"/>
      <c r="J123" s="25">
        <v>2088354.77</v>
      </c>
      <c r="K123" s="25">
        <v>1711153.81</v>
      </c>
      <c r="L123" s="25"/>
      <c r="M123" s="181">
        <f t="shared" si="51"/>
        <v>99.836491496456361</v>
      </c>
      <c r="N123" s="25">
        <f t="shared" si="75"/>
        <v>0</v>
      </c>
      <c r="O123" s="25"/>
      <c r="P123" s="25"/>
      <c r="Q123" s="25"/>
      <c r="R123" s="25"/>
      <c r="S123" s="25"/>
      <c r="T123" s="15">
        <f t="shared" si="72"/>
        <v>0</v>
      </c>
      <c r="U123" s="25"/>
      <c r="V123" s="25"/>
      <c r="W123" s="25"/>
      <c r="X123" s="25"/>
      <c r="Y123" s="25"/>
      <c r="Z123" s="181"/>
      <c r="AA123" s="25">
        <f t="shared" si="73"/>
        <v>2088354.77</v>
      </c>
      <c r="AB123" s="25">
        <f t="shared" si="74"/>
        <v>2091775</v>
      </c>
      <c r="AC123" s="198"/>
    </row>
    <row r="124" spans="1:29" s="31" customFormat="1" ht="47.25" x14ac:dyDescent="0.25">
      <c r="A124" s="27"/>
      <c r="B124" s="27"/>
      <c r="C124" s="27"/>
      <c r="D124" s="29" t="s">
        <v>370</v>
      </c>
      <c r="E124" s="30">
        <f t="shared" si="71"/>
        <v>2091775</v>
      </c>
      <c r="F124" s="30">
        <v>2091775</v>
      </c>
      <c r="G124" s="30">
        <v>1714570</v>
      </c>
      <c r="H124" s="30"/>
      <c r="I124" s="30"/>
      <c r="J124" s="30">
        <v>2088354.77</v>
      </c>
      <c r="K124" s="30">
        <v>1711153.81</v>
      </c>
      <c r="L124" s="30"/>
      <c r="M124" s="182">
        <f t="shared" si="51"/>
        <v>99.836491496456361</v>
      </c>
      <c r="N124" s="30">
        <f t="shared" si="75"/>
        <v>0</v>
      </c>
      <c r="O124" s="30"/>
      <c r="P124" s="30"/>
      <c r="Q124" s="30"/>
      <c r="R124" s="30"/>
      <c r="S124" s="30"/>
      <c r="T124" s="15">
        <f t="shared" si="72"/>
        <v>0</v>
      </c>
      <c r="U124" s="30"/>
      <c r="V124" s="30"/>
      <c r="W124" s="30"/>
      <c r="X124" s="30"/>
      <c r="Y124" s="30"/>
      <c r="Z124" s="182"/>
      <c r="AA124" s="30">
        <f t="shared" si="73"/>
        <v>2088354.77</v>
      </c>
      <c r="AB124" s="30">
        <f t="shared" si="74"/>
        <v>2091775</v>
      </c>
      <c r="AC124" s="198"/>
    </row>
    <row r="125" spans="1:29" s="26" customFormat="1" ht="36" customHeight="1" x14ac:dyDescent="0.25">
      <c r="A125" s="22" t="s">
        <v>454</v>
      </c>
      <c r="B125" s="22" t="s">
        <v>455</v>
      </c>
      <c r="C125" s="22" t="str">
        <f>'дод 5'!B82</f>
        <v>0990</v>
      </c>
      <c r="D125" s="24" t="str">
        <f>'дод 5'!C84</f>
        <v>Забезпечення діяльності центрів професійного розвитку педагогічних працівників</v>
      </c>
      <c r="E125" s="25">
        <f t="shared" si="71"/>
        <v>3521300</v>
      </c>
      <c r="F125" s="25">
        <f>3661000+244000-383700</f>
        <v>3521300</v>
      </c>
      <c r="G125" s="25">
        <f>2625000+200000-300000</f>
        <v>2525000</v>
      </c>
      <c r="H125" s="25">
        <v>303800</v>
      </c>
      <c r="I125" s="25"/>
      <c r="J125" s="25">
        <v>3255418.82</v>
      </c>
      <c r="K125" s="25">
        <v>2386335.2400000002</v>
      </c>
      <c r="L125" s="25">
        <v>268879.89</v>
      </c>
      <c r="M125" s="181">
        <f t="shared" si="51"/>
        <v>92.449345980177768</v>
      </c>
      <c r="N125" s="25">
        <f t="shared" si="75"/>
        <v>0</v>
      </c>
      <c r="O125" s="25"/>
      <c r="P125" s="25"/>
      <c r="Q125" s="25"/>
      <c r="R125" s="25"/>
      <c r="S125" s="25"/>
      <c r="T125" s="15">
        <f t="shared" si="72"/>
        <v>47161.78</v>
      </c>
      <c r="U125" s="25"/>
      <c r="V125" s="25">
        <v>47161.78</v>
      </c>
      <c r="W125" s="25"/>
      <c r="X125" s="25"/>
      <c r="Y125" s="25"/>
      <c r="Z125" s="181"/>
      <c r="AA125" s="25">
        <f t="shared" si="73"/>
        <v>3302580.5999999996</v>
      </c>
      <c r="AB125" s="25">
        <f t="shared" si="74"/>
        <v>3521300</v>
      </c>
      <c r="AC125" s="198"/>
    </row>
    <row r="126" spans="1:29" s="26" customFormat="1" ht="63" hidden="1" customHeight="1" x14ac:dyDescent="0.25">
      <c r="A126" s="22" t="s">
        <v>510</v>
      </c>
      <c r="B126" s="22" t="s">
        <v>511</v>
      </c>
      <c r="C126" s="22" t="s">
        <v>56</v>
      </c>
      <c r="D126" s="24" t="str">
        <f>'дод 5'!C85</f>
        <v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v>
      </c>
      <c r="E126" s="25">
        <f t="shared" si="71"/>
        <v>0</v>
      </c>
      <c r="F126" s="25"/>
      <c r="G126" s="25"/>
      <c r="H126" s="25"/>
      <c r="I126" s="25"/>
      <c r="J126" s="25"/>
      <c r="K126" s="25"/>
      <c r="L126" s="25"/>
      <c r="M126" s="181" t="e">
        <f t="shared" si="51"/>
        <v>#DIV/0!</v>
      </c>
      <c r="N126" s="25">
        <f t="shared" si="75"/>
        <v>0</v>
      </c>
      <c r="O126" s="25"/>
      <c r="P126" s="25"/>
      <c r="Q126" s="25"/>
      <c r="R126" s="25"/>
      <c r="S126" s="25"/>
      <c r="T126" s="15">
        <f t="shared" si="72"/>
        <v>0</v>
      </c>
      <c r="U126" s="25"/>
      <c r="V126" s="25"/>
      <c r="W126" s="25"/>
      <c r="X126" s="25"/>
      <c r="Y126" s="25"/>
      <c r="Z126" s="181" t="e">
        <f t="shared" si="48"/>
        <v>#DIV/0!</v>
      </c>
      <c r="AA126" s="25">
        <f t="shared" si="73"/>
        <v>0</v>
      </c>
      <c r="AB126" s="25">
        <f t="shared" si="74"/>
        <v>0</v>
      </c>
      <c r="AC126" s="198"/>
    </row>
    <row r="127" spans="1:29" s="26" customFormat="1" ht="63" hidden="1" customHeight="1" x14ac:dyDescent="0.25">
      <c r="A127" s="22" t="s">
        <v>501</v>
      </c>
      <c r="B127" s="22" t="s">
        <v>503</v>
      </c>
      <c r="C127" s="22" t="s">
        <v>56</v>
      </c>
      <c r="D127" s="24" t="s">
        <v>529</v>
      </c>
      <c r="E127" s="25">
        <f t="shared" si="71"/>
        <v>0</v>
      </c>
      <c r="F127" s="25"/>
      <c r="G127" s="25"/>
      <c r="H127" s="25"/>
      <c r="I127" s="25"/>
      <c r="J127" s="25"/>
      <c r="K127" s="25"/>
      <c r="L127" s="25"/>
      <c r="M127" s="181" t="e">
        <f t="shared" si="51"/>
        <v>#DIV/0!</v>
      </c>
      <c r="N127" s="25">
        <f t="shared" si="75"/>
        <v>0</v>
      </c>
      <c r="O127" s="25"/>
      <c r="P127" s="25"/>
      <c r="Q127" s="25"/>
      <c r="R127" s="25"/>
      <c r="S127" s="25"/>
      <c r="T127" s="15">
        <f t="shared" si="72"/>
        <v>0</v>
      </c>
      <c r="U127" s="25"/>
      <c r="V127" s="25"/>
      <c r="W127" s="25"/>
      <c r="X127" s="25"/>
      <c r="Y127" s="25"/>
      <c r="Z127" s="181" t="e">
        <f t="shared" si="48"/>
        <v>#DIV/0!</v>
      </c>
      <c r="AA127" s="25">
        <f t="shared" si="73"/>
        <v>0</v>
      </c>
      <c r="AB127" s="25">
        <f t="shared" si="74"/>
        <v>0</v>
      </c>
      <c r="AC127" s="198"/>
    </row>
    <row r="128" spans="1:29" s="31" customFormat="1" ht="47.25" hidden="1" customHeight="1" x14ac:dyDescent="0.25">
      <c r="A128" s="27"/>
      <c r="B128" s="27"/>
      <c r="C128" s="27"/>
      <c r="D128" s="29" t="s">
        <v>524</v>
      </c>
      <c r="E128" s="25">
        <f t="shared" si="71"/>
        <v>0</v>
      </c>
      <c r="F128" s="30"/>
      <c r="G128" s="30"/>
      <c r="H128" s="30"/>
      <c r="I128" s="30"/>
      <c r="J128" s="30"/>
      <c r="K128" s="30"/>
      <c r="L128" s="30"/>
      <c r="M128" s="181" t="e">
        <f t="shared" si="51"/>
        <v>#DIV/0!</v>
      </c>
      <c r="N128" s="30">
        <f t="shared" si="75"/>
        <v>0</v>
      </c>
      <c r="O128" s="30"/>
      <c r="P128" s="30"/>
      <c r="Q128" s="30"/>
      <c r="R128" s="30"/>
      <c r="S128" s="30"/>
      <c r="T128" s="15">
        <f t="shared" si="72"/>
        <v>0</v>
      </c>
      <c r="U128" s="30"/>
      <c r="V128" s="30"/>
      <c r="W128" s="30"/>
      <c r="X128" s="30"/>
      <c r="Y128" s="30"/>
      <c r="Z128" s="181" t="e">
        <f t="shared" si="48"/>
        <v>#DIV/0!</v>
      </c>
      <c r="AA128" s="25">
        <f t="shared" si="73"/>
        <v>0</v>
      </c>
      <c r="AB128" s="30">
        <f t="shared" si="74"/>
        <v>0</v>
      </c>
      <c r="AC128" s="198"/>
    </row>
    <row r="129" spans="1:29" s="26" customFormat="1" ht="78.75" customHeight="1" x14ac:dyDescent="0.25">
      <c r="A129" s="22" t="s">
        <v>512</v>
      </c>
      <c r="B129" s="22" t="s">
        <v>513</v>
      </c>
      <c r="C129" s="22" t="s">
        <v>56</v>
      </c>
      <c r="D129" s="24" t="str">
        <f>'дод 5'!C88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129" s="25">
        <f t="shared" si="71"/>
        <v>247457</v>
      </c>
      <c r="F129" s="25">
        <f>202786+44671</f>
        <v>247457</v>
      </c>
      <c r="G129" s="25"/>
      <c r="H129" s="25"/>
      <c r="I129" s="25"/>
      <c r="J129" s="25">
        <v>239922.3</v>
      </c>
      <c r="K129" s="25"/>
      <c r="L129" s="25"/>
      <c r="M129" s="181">
        <f t="shared" si="51"/>
        <v>96.955147763045701</v>
      </c>
      <c r="N129" s="25">
        <f t="shared" si="75"/>
        <v>4353105</v>
      </c>
      <c r="O129" s="25">
        <f>4397776-44671</f>
        <v>4353105</v>
      </c>
      <c r="P129" s="25"/>
      <c r="Q129" s="25"/>
      <c r="R129" s="25"/>
      <c r="S129" s="25">
        <f>4397776-44671</f>
        <v>4353105</v>
      </c>
      <c r="T129" s="15">
        <f t="shared" si="72"/>
        <v>3991736.23</v>
      </c>
      <c r="U129" s="25">
        <v>3991736.23</v>
      </c>
      <c r="V129" s="25"/>
      <c r="W129" s="25"/>
      <c r="X129" s="25"/>
      <c r="Y129" s="25">
        <v>3991736.23</v>
      </c>
      <c r="Z129" s="181">
        <f t="shared" si="48"/>
        <v>91.698597437920753</v>
      </c>
      <c r="AA129" s="25">
        <f t="shared" si="73"/>
        <v>4231658.53</v>
      </c>
      <c r="AB129" s="25">
        <f t="shared" si="74"/>
        <v>4600562</v>
      </c>
      <c r="AC129" s="198"/>
    </row>
    <row r="130" spans="1:29" s="26" customFormat="1" ht="15.75" hidden="1" customHeight="1" x14ac:dyDescent="0.25">
      <c r="A130" s="22"/>
      <c r="B130" s="22"/>
      <c r="C130" s="22"/>
      <c r="D130" s="29" t="s">
        <v>380</v>
      </c>
      <c r="E130" s="25">
        <f t="shared" si="71"/>
        <v>0</v>
      </c>
      <c r="F130" s="30"/>
      <c r="G130" s="25"/>
      <c r="H130" s="25"/>
      <c r="I130" s="25"/>
      <c r="J130" s="25"/>
      <c r="K130" s="25"/>
      <c r="L130" s="25"/>
      <c r="M130" s="181" t="e">
        <f t="shared" si="51"/>
        <v>#DIV/0!</v>
      </c>
      <c r="N130" s="30">
        <f t="shared" si="75"/>
        <v>0</v>
      </c>
      <c r="O130" s="25"/>
      <c r="P130" s="25"/>
      <c r="Q130" s="25"/>
      <c r="R130" s="25"/>
      <c r="S130" s="25"/>
      <c r="T130" s="15">
        <f t="shared" si="72"/>
        <v>0</v>
      </c>
      <c r="U130" s="25"/>
      <c r="V130" s="25"/>
      <c r="W130" s="25"/>
      <c r="X130" s="25"/>
      <c r="Y130" s="25"/>
      <c r="Z130" s="181" t="e">
        <f t="shared" si="48"/>
        <v>#DIV/0!</v>
      </c>
      <c r="AA130" s="25">
        <f t="shared" si="73"/>
        <v>0</v>
      </c>
      <c r="AB130" s="30">
        <f t="shared" si="74"/>
        <v>0</v>
      </c>
      <c r="AC130" s="198"/>
    </row>
    <row r="131" spans="1:29" s="26" customFormat="1" ht="78.75" customHeight="1" x14ac:dyDescent="0.25">
      <c r="A131" s="22" t="s">
        <v>502</v>
      </c>
      <c r="B131" s="22" t="s">
        <v>504</v>
      </c>
      <c r="C131" s="22" t="s">
        <v>56</v>
      </c>
      <c r="D131" s="24" t="s">
        <v>525</v>
      </c>
      <c r="E131" s="25">
        <f t="shared" si="71"/>
        <v>577400</v>
      </c>
      <c r="F131" s="25">
        <f>473167+104233</f>
        <v>577400</v>
      </c>
      <c r="G131" s="25"/>
      <c r="H131" s="25"/>
      <c r="I131" s="25"/>
      <c r="J131" s="25">
        <v>559818.69999999995</v>
      </c>
      <c r="K131" s="25"/>
      <c r="L131" s="25"/>
      <c r="M131" s="181">
        <f t="shared" si="51"/>
        <v>96.95509179078627</v>
      </c>
      <c r="N131" s="25">
        <f t="shared" si="75"/>
        <v>10157256</v>
      </c>
      <c r="O131" s="25">
        <f>10261489-104233</f>
        <v>10157256</v>
      </c>
      <c r="P131" s="25"/>
      <c r="Q131" s="25"/>
      <c r="R131" s="25"/>
      <c r="S131" s="25">
        <f>10261489-104233</f>
        <v>10157256</v>
      </c>
      <c r="T131" s="15">
        <f t="shared" si="72"/>
        <v>9472070.1999999993</v>
      </c>
      <c r="U131" s="25">
        <v>9472070.1999999993</v>
      </c>
      <c r="V131" s="25"/>
      <c r="W131" s="25"/>
      <c r="X131" s="25"/>
      <c r="Y131" s="25">
        <v>9472070.1999999993</v>
      </c>
      <c r="Z131" s="181">
        <f t="shared" si="48"/>
        <v>93.254223384740911</v>
      </c>
      <c r="AA131" s="25">
        <f t="shared" si="73"/>
        <v>10031888.899999999</v>
      </c>
      <c r="AB131" s="25">
        <f t="shared" si="74"/>
        <v>10734656</v>
      </c>
      <c r="AC131" s="198"/>
    </row>
    <row r="132" spans="1:29" s="31" customFormat="1" ht="63" customHeight="1" x14ac:dyDescent="0.25">
      <c r="A132" s="27"/>
      <c r="B132" s="27"/>
      <c r="C132" s="27"/>
      <c r="D132" s="29" t="s">
        <v>505</v>
      </c>
      <c r="E132" s="30">
        <f t="shared" si="71"/>
        <v>577400</v>
      </c>
      <c r="F132" s="30">
        <f>473167+104233</f>
        <v>577400</v>
      </c>
      <c r="G132" s="30"/>
      <c r="H132" s="30"/>
      <c r="I132" s="30"/>
      <c r="J132" s="30">
        <v>559818.69999999995</v>
      </c>
      <c r="K132" s="30"/>
      <c r="L132" s="30"/>
      <c r="M132" s="182">
        <f t="shared" si="51"/>
        <v>96.95509179078627</v>
      </c>
      <c r="N132" s="30">
        <f t="shared" si="75"/>
        <v>10157256</v>
      </c>
      <c r="O132" s="30">
        <f>10261489-104233</f>
        <v>10157256</v>
      </c>
      <c r="P132" s="30"/>
      <c r="Q132" s="30"/>
      <c r="R132" s="30"/>
      <c r="S132" s="30">
        <f>10261489-104233</f>
        <v>10157256</v>
      </c>
      <c r="T132" s="15">
        <f t="shared" si="72"/>
        <v>9472070.1999999993</v>
      </c>
      <c r="U132" s="30">
        <v>9472070.1999999993</v>
      </c>
      <c r="V132" s="30"/>
      <c r="W132" s="30"/>
      <c r="X132" s="30"/>
      <c r="Y132" s="30">
        <v>9472070.1999999993</v>
      </c>
      <c r="Z132" s="182">
        <f t="shared" si="48"/>
        <v>93.254223384740911</v>
      </c>
      <c r="AA132" s="30">
        <f t="shared" si="73"/>
        <v>10031888.899999999</v>
      </c>
      <c r="AB132" s="30">
        <f t="shared" si="74"/>
        <v>10734656</v>
      </c>
      <c r="AC132" s="198"/>
    </row>
    <row r="133" spans="1:29" s="26" customFormat="1" ht="65.25" customHeight="1" x14ac:dyDescent="0.25">
      <c r="A133" s="22" t="s">
        <v>457</v>
      </c>
      <c r="B133" s="22" t="s">
        <v>458</v>
      </c>
      <c r="C133" s="22" t="s">
        <v>56</v>
      </c>
      <c r="D133" s="42" t="s">
        <v>470</v>
      </c>
      <c r="E133" s="25">
        <f t="shared" si="71"/>
        <v>2233488.84</v>
      </c>
      <c r="F133" s="25">
        <f>1331125+902363.84</f>
        <v>2233488.84</v>
      </c>
      <c r="G133" s="25">
        <f>1091086+739642</f>
        <v>1830728</v>
      </c>
      <c r="H133" s="25"/>
      <c r="I133" s="25"/>
      <c r="J133" s="25">
        <v>2233206.7999999998</v>
      </c>
      <c r="K133" s="25">
        <v>1830497.34</v>
      </c>
      <c r="L133" s="25"/>
      <c r="M133" s="181">
        <f t="shared" si="51"/>
        <v>99.987372222553844</v>
      </c>
      <c r="N133" s="25">
        <f t="shared" si="75"/>
        <v>0</v>
      </c>
      <c r="O133" s="25"/>
      <c r="P133" s="25"/>
      <c r="Q133" s="25"/>
      <c r="R133" s="25"/>
      <c r="S133" s="25"/>
      <c r="T133" s="15">
        <f t="shared" si="72"/>
        <v>0</v>
      </c>
      <c r="U133" s="25"/>
      <c r="V133" s="25"/>
      <c r="W133" s="25"/>
      <c r="X133" s="25"/>
      <c r="Y133" s="25"/>
      <c r="Z133" s="181"/>
      <c r="AA133" s="25">
        <f t="shared" si="73"/>
        <v>2233206.7999999998</v>
      </c>
      <c r="AB133" s="25">
        <f t="shared" si="74"/>
        <v>2233488.84</v>
      </c>
      <c r="AC133" s="198"/>
    </row>
    <row r="134" spans="1:29" s="31" customFormat="1" ht="63" customHeight="1" x14ac:dyDescent="0.25">
      <c r="A134" s="27"/>
      <c r="B134" s="28"/>
      <c r="C134" s="28"/>
      <c r="D134" s="29" t="s">
        <v>668</v>
      </c>
      <c r="E134" s="30">
        <f t="shared" si="71"/>
        <v>2233488.84</v>
      </c>
      <c r="F134" s="30">
        <f>1331125+902363.84</f>
        <v>2233488.84</v>
      </c>
      <c r="G134" s="30">
        <f>1091086+739642</f>
        <v>1830728</v>
      </c>
      <c r="H134" s="30"/>
      <c r="I134" s="30"/>
      <c r="J134" s="30">
        <v>2233206.7999999998</v>
      </c>
      <c r="K134" s="30">
        <v>1830497.34</v>
      </c>
      <c r="L134" s="30"/>
      <c r="M134" s="182">
        <f t="shared" si="51"/>
        <v>99.987372222553844</v>
      </c>
      <c r="N134" s="30">
        <f t="shared" si="75"/>
        <v>0</v>
      </c>
      <c r="O134" s="30"/>
      <c r="P134" s="30"/>
      <c r="Q134" s="30"/>
      <c r="R134" s="30"/>
      <c r="S134" s="30"/>
      <c r="T134" s="15">
        <f t="shared" si="72"/>
        <v>0</v>
      </c>
      <c r="U134" s="30"/>
      <c r="V134" s="30"/>
      <c r="W134" s="30"/>
      <c r="X134" s="30"/>
      <c r="Y134" s="30"/>
      <c r="Z134" s="182"/>
      <c r="AA134" s="30">
        <f t="shared" si="73"/>
        <v>2233206.7999999998</v>
      </c>
      <c r="AB134" s="30">
        <f t="shared" si="74"/>
        <v>2233488.84</v>
      </c>
      <c r="AC134" s="198"/>
    </row>
    <row r="135" spans="1:29" s="31" customFormat="1" ht="70.5" customHeight="1" x14ac:dyDescent="0.25">
      <c r="A135" s="22" t="s">
        <v>476</v>
      </c>
      <c r="B135" s="23">
        <v>1210</v>
      </c>
      <c r="C135" s="22" t="s">
        <v>56</v>
      </c>
      <c r="D135" s="24" t="s">
        <v>477</v>
      </c>
      <c r="E135" s="25">
        <f t="shared" si="71"/>
        <v>872618.44</v>
      </c>
      <c r="F135" s="25">
        <f>714100.24+158518.2</f>
        <v>872618.44</v>
      </c>
      <c r="G135" s="25">
        <f>585328+129933</f>
        <v>715261</v>
      </c>
      <c r="H135" s="30"/>
      <c r="I135" s="30"/>
      <c r="J135" s="30">
        <v>872618.44</v>
      </c>
      <c r="K135" s="30">
        <v>715261</v>
      </c>
      <c r="L135" s="30"/>
      <c r="M135" s="181">
        <f t="shared" si="51"/>
        <v>100</v>
      </c>
      <c r="N135" s="25">
        <f t="shared" si="75"/>
        <v>0</v>
      </c>
      <c r="O135" s="30"/>
      <c r="P135" s="30"/>
      <c r="Q135" s="30"/>
      <c r="R135" s="30"/>
      <c r="S135" s="30"/>
      <c r="T135" s="15">
        <f t="shared" si="72"/>
        <v>0</v>
      </c>
      <c r="U135" s="30"/>
      <c r="V135" s="30"/>
      <c r="W135" s="30"/>
      <c r="X135" s="30"/>
      <c r="Y135" s="30"/>
      <c r="Z135" s="181"/>
      <c r="AA135" s="25">
        <f t="shared" si="73"/>
        <v>872618.44</v>
      </c>
      <c r="AB135" s="25">
        <f t="shared" si="74"/>
        <v>872618.44</v>
      </c>
      <c r="AC135" s="198"/>
    </row>
    <row r="136" spans="1:29" s="31" customFormat="1" ht="64.5" customHeight="1" x14ac:dyDescent="0.25">
      <c r="A136" s="27"/>
      <c r="B136" s="28"/>
      <c r="C136" s="28"/>
      <c r="D136" s="29" t="s">
        <v>669</v>
      </c>
      <c r="E136" s="30">
        <f t="shared" si="71"/>
        <v>872618.44</v>
      </c>
      <c r="F136" s="30">
        <f>714100.24+158518.2</f>
        <v>872618.44</v>
      </c>
      <c r="G136" s="30">
        <f>585328+129933</f>
        <v>715261</v>
      </c>
      <c r="H136" s="30"/>
      <c r="I136" s="30"/>
      <c r="J136" s="30">
        <v>872618.44</v>
      </c>
      <c r="K136" s="30">
        <v>715261</v>
      </c>
      <c r="L136" s="30"/>
      <c r="M136" s="182">
        <f t="shared" si="51"/>
        <v>100</v>
      </c>
      <c r="N136" s="30">
        <f t="shared" si="75"/>
        <v>0</v>
      </c>
      <c r="O136" s="30"/>
      <c r="P136" s="30"/>
      <c r="Q136" s="30"/>
      <c r="R136" s="30"/>
      <c r="S136" s="30"/>
      <c r="T136" s="15">
        <f t="shared" si="72"/>
        <v>0</v>
      </c>
      <c r="U136" s="30"/>
      <c r="V136" s="30"/>
      <c r="W136" s="30"/>
      <c r="X136" s="30"/>
      <c r="Y136" s="30"/>
      <c r="Z136" s="182"/>
      <c r="AA136" s="30">
        <f t="shared" si="73"/>
        <v>872618.44</v>
      </c>
      <c r="AB136" s="30">
        <f t="shared" si="74"/>
        <v>872618.44</v>
      </c>
      <c r="AC136" s="198"/>
    </row>
    <row r="137" spans="1:29" s="31" customFormat="1" ht="64.5" hidden="1" customHeight="1" x14ac:dyDescent="0.25">
      <c r="A137" s="22" t="s">
        <v>459</v>
      </c>
      <c r="B137" s="23">
        <v>3140</v>
      </c>
      <c r="C137" s="23">
        <v>1040</v>
      </c>
      <c r="D137" s="35" t="str">
        <f>'дод 5'!C163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137" s="25">
        <f t="shared" si="71"/>
        <v>0</v>
      </c>
      <c r="F137" s="25"/>
      <c r="G137" s="25"/>
      <c r="H137" s="25"/>
      <c r="I137" s="25"/>
      <c r="J137" s="25"/>
      <c r="K137" s="25"/>
      <c r="L137" s="25"/>
      <c r="M137" s="181" t="e">
        <f t="shared" si="51"/>
        <v>#DIV/0!</v>
      </c>
      <c r="N137" s="25">
        <f t="shared" si="75"/>
        <v>0</v>
      </c>
      <c r="O137" s="30"/>
      <c r="P137" s="30"/>
      <c r="Q137" s="30"/>
      <c r="R137" s="30"/>
      <c r="S137" s="30"/>
      <c r="T137" s="15">
        <f t="shared" si="72"/>
        <v>0</v>
      </c>
      <c r="U137" s="30"/>
      <c r="V137" s="30"/>
      <c r="W137" s="30"/>
      <c r="X137" s="30"/>
      <c r="Y137" s="30"/>
      <c r="Z137" s="181" t="e">
        <f t="shared" si="48"/>
        <v>#DIV/0!</v>
      </c>
      <c r="AA137" s="25">
        <f t="shared" si="73"/>
        <v>0</v>
      </c>
      <c r="AB137" s="25">
        <f t="shared" si="74"/>
        <v>0</v>
      </c>
      <c r="AC137" s="198"/>
    </row>
    <row r="138" spans="1:29" s="31" customFormat="1" ht="69" customHeight="1" x14ac:dyDescent="0.25">
      <c r="A138" s="22" t="s">
        <v>676</v>
      </c>
      <c r="B138" s="23" t="str">
        <f>'дод 5'!A96</f>
        <v>1221</v>
      </c>
      <c r="C138" s="23" t="str">
        <f>'дод 5'!B96</f>
        <v>0990</v>
      </c>
      <c r="D138" s="36" t="str">
        <f>'дод 5'!C96</f>
        <v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v>
      </c>
      <c r="E138" s="25">
        <f t="shared" si="71"/>
        <v>2000000</v>
      </c>
      <c r="F138" s="25">
        <v>2000000</v>
      </c>
      <c r="G138" s="25"/>
      <c r="H138" s="30"/>
      <c r="I138" s="30"/>
      <c r="J138" s="30">
        <v>2000000</v>
      </c>
      <c r="K138" s="30"/>
      <c r="L138" s="30"/>
      <c r="M138" s="181">
        <f t="shared" si="51"/>
        <v>100</v>
      </c>
      <c r="N138" s="25">
        <f t="shared" si="75"/>
        <v>0</v>
      </c>
      <c r="O138" s="25"/>
      <c r="P138" s="25"/>
      <c r="Q138" s="25"/>
      <c r="R138" s="25"/>
      <c r="S138" s="25"/>
      <c r="T138" s="15">
        <f t="shared" si="72"/>
        <v>0</v>
      </c>
      <c r="U138" s="25"/>
      <c r="V138" s="25"/>
      <c r="W138" s="25"/>
      <c r="X138" s="25"/>
      <c r="Y138" s="25"/>
      <c r="Z138" s="181"/>
      <c r="AA138" s="25">
        <f t="shared" si="73"/>
        <v>2000000</v>
      </c>
      <c r="AB138" s="25">
        <f t="shared" si="74"/>
        <v>2000000</v>
      </c>
      <c r="AC138" s="198"/>
    </row>
    <row r="139" spans="1:29" s="31" customFormat="1" ht="64.5" customHeight="1" x14ac:dyDescent="0.25">
      <c r="A139" s="22" t="s">
        <v>674</v>
      </c>
      <c r="B139" s="23" t="str">
        <f>'дод 5'!A97</f>
        <v>1222</v>
      </c>
      <c r="C139" s="23" t="str">
        <f>'дод 5'!B97</f>
        <v>0990</v>
      </c>
      <c r="D139" s="36" t="str">
        <f>'дод 5'!C97</f>
        <v xml:space="preserve"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бюджетам, у т.ч. за рахунок: </v>
      </c>
      <c r="E139" s="25">
        <f t="shared" ref="E139:E141" si="90">F139+I139</f>
        <v>2847046</v>
      </c>
      <c r="F139" s="25">
        <f>2843700+3346</f>
        <v>2847046</v>
      </c>
      <c r="G139" s="25"/>
      <c r="H139" s="30"/>
      <c r="I139" s="30"/>
      <c r="J139" s="30">
        <v>2846060.89</v>
      </c>
      <c r="K139" s="30"/>
      <c r="L139" s="30"/>
      <c r="M139" s="181">
        <f t="shared" si="51"/>
        <v>99.965398873077575</v>
      </c>
      <c r="N139" s="25">
        <f t="shared" ref="N139:N141" si="91">P139+S139</f>
        <v>5552954</v>
      </c>
      <c r="O139" s="25">
        <f>5556300-3346</f>
        <v>5552954</v>
      </c>
      <c r="P139" s="25"/>
      <c r="Q139" s="25"/>
      <c r="R139" s="25"/>
      <c r="S139" s="25">
        <f>5556300-3346</f>
        <v>5552954</v>
      </c>
      <c r="T139" s="15">
        <f t="shared" si="72"/>
        <v>5552954</v>
      </c>
      <c r="U139" s="25">
        <v>5552954</v>
      </c>
      <c r="V139" s="25"/>
      <c r="W139" s="25"/>
      <c r="X139" s="25"/>
      <c r="Y139" s="25">
        <v>5552954</v>
      </c>
      <c r="Z139" s="181">
        <f t="shared" si="48"/>
        <v>100</v>
      </c>
      <c r="AA139" s="25">
        <f t="shared" si="73"/>
        <v>8399014.8900000006</v>
      </c>
      <c r="AB139" s="25">
        <f t="shared" ref="AB139:AB141" si="92">E139+N139</f>
        <v>8400000</v>
      </c>
      <c r="AC139" s="198">
        <v>6</v>
      </c>
    </row>
    <row r="140" spans="1:29" s="31" customFormat="1" ht="64.5" customHeight="1" x14ac:dyDescent="0.25">
      <c r="A140" s="27"/>
      <c r="B140" s="28">
        <f>'дод 5'!A98</f>
        <v>0</v>
      </c>
      <c r="C140" s="28">
        <f>'дод 5'!B98</f>
        <v>0</v>
      </c>
      <c r="D140" s="43" t="str">
        <f>'дод 5'!C98</f>
        <v>субвенції з державного бюджету місцевим бюджетам на створення навчально-практичних центрів сучасної професійної (професійно-технічної) освіти</v>
      </c>
      <c r="E140" s="30">
        <f t="shared" si="90"/>
        <v>2847046</v>
      </c>
      <c r="F140" s="30">
        <f>2843700+3346</f>
        <v>2847046</v>
      </c>
      <c r="G140" s="30"/>
      <c r="H140" s="30"/>
      <c r="I140" s="30"/>
      <c r="J140" s="30">
        <v>2846060.89</v>
      </c>
      <c r="K140" s="30"/>
      <c r="L140" s="30"/>
      <c r="M140" s="182">
        <f t="shared" si="51"/>
        <v>99.965398873077575</v>
      </c>
      <c r="N140" s="30">
        <f t="shared" si="91"/>
        <v>5552954</v>
      </c>
      <c r="O140" s="30">
        <f>5556300-3346</f>
        <v>5552954</v>
      </c>
      <c r="P140" s="30"/>
      <c r="Q140" s="30"/>
      <c r="R140" s="30"/>
      <c r="S140" s="30">
        <f>5556300-3346</f>
        <v>5552954</v>
      </c>
      <c r="T140" s="15">
        <f t="shared" si="72"/>
        <v>5552954</v>
      </c>
      <c r="U140" s="30">
        <v>5552954</v>
      </c>
      <c r="V140" s="30"/>
      <c r="W140" s="30"/>
      <c r="X140" s="30"/>
      <c r="Y140" s="30">
        <v>5552954</v>
      </c>
      <c r="Z140" s="182">
        <f t="shared" si="48"/>
        <v>100</v>
      </c>
      <c r="AA140" s="30">
        <f t="shared" si="73"/>
        <v>8399014.8900000006</v>
      </c>
      <c r="AB140" s="30">
        <f t="shared" si="92"/>
        <v>8400000</v>
      </c>
      <c r="AC140" s="198"/>
    </row>
    <row r="141" spans="1:29" s="26" customFormat="1" ht="93.75" customHeight="1" x14ac:dyDescent="0.25">
      <c r="A141" s="22" t="s">
        <v>683</v>
      </c>
      <c r="B141" s="22" t="s">
        <v>684</v>
      </c>
      <c r="C141" s="22" t="s">
        <v>56</v>
      </c>
      <c r="D141" s="36" t="s">
        <v>685</v>
      </c>
      <c r="E141" s="25">
        <f t="shared" si="90"/>
        <v>0</v>
      </c>
      <c r="F141" s="25"/>
      <c r="G141" s="25"/>
      <c r="H141" s="25"/>
      <c r="I141" s="25"/>
      <c r="J141" s="25"/>
      <c r="K141" s="25"/>
      <c r="L141" s="25"/>
      <c r="M141" s="181"/>
      <c r="N141" s="25">
        <f t="shared" si="91"/>
        <v>37015300</v>
      </c>
      <c r="O141" s="25">
        <v>37015300</v>
      </c>
      <c r="P141" s="25"/>
      <c r="Q141" s="25"/>
      <c r="R141" s="25"/>
      <c r="S141" s="25">
        <v>37015300</v>
      </c>
      <c r="T141" s="15">
        <f t="shared" si="72"/>
        <v>30397721.699999999</v>
      </c>
      <c r="U141" s="25">
        <v>30397721.699999999</v>
      </c>
      <c r="V141" s="25"/>
      <c r="W141" s="25"/>
      <c r="X141" s="25"/>
      <c r="Y141" s="25">
        <v>30397721.699999999</v>
      </c>
      <c r="Z141" s="181">
        <f t="shared" si="48"/>
        <v>82.122046018808433</v>
      </c>
      <c r="AA141" s="25">
        <f t="shared" si="73"/>
        <v>30397721.699999999</v>
      </c>
      <c r="AB141" s="25">
        <f t="shared" si="92"/>
        <v>37015300</v>
      </c>
      <c r="AC141" s="198"/>
    </row>
    <row r="142" spans="1:29" s="26" customFormat="1" ht="93.75" customHeight="1" x14ac:dyDescent="0.25">
      <c r="A142" s="22" t="s">
        <v>697</v>
      </c>
      <c r="B142" s="22" t="s">
        <v>694</v>
      </c>
      <c r="C142" s="22" t="s">
        <v>56</v>
      </c>
      <c r="D142" s="36" t="s">
        <v>695</v>
      </c>
      <c r="E142" s="25">
        <f t="shared" ref="E142:E143" si="93">F142+I142</f>
        <v>0</v>
      </c>
      <c r="F142" s="25"/>
      <c r="G142" s="25"/>
      <c r="H142" s="30"/>
      <c r="I142" s="30"/>
      <c r="J142" s="30"/>
      <c r="K142" s="30"/>
      <c r="L142" s="30"/>
      <c r="M142" s="181"/>
      <c r="N142" s="25">
        <f t="shared" ref="N142:N143" si="94">P142+S142</f>
        <v>79554500</v>
      </c>
      <c r="O142" s="25">
        <f>82600800-3046300</f>
        <v>79554500</v>
      </c>
      <c r="P142" s="25"/>
      <c r="Q142" s="25"/>
      <c r="R142" s="25"/>
      <c r="S142" s="25">
        <f>82600800-3046300</f>
        <v>79554500</v>
      </c>
      <c r="T142" s="15">
        <f t="shared" si="72"/>
        <v>67512062.799999997</v>
      </c>
      <c r="U142" s="25">
        <v>67512062.799999997</v>
      </c>
      <c r="V142" s="25"/>
      <c r="W142" s="25"/>
      <c r="X142" s="25"/>
      <c r="Y142" s="25">
        <v>67512062.799999997</v>
      </c>
      <c r="Z142" s="181">
        <f t="shared" si="48"/>
        <v>84.862657423527267</v>
      </c>
      <c r="AA142" s="25">
        <f t="shared" si="73"/>
        <v>67512062.799999997</v>
      </c>
      <c r="AB142" s="25">
        <f t="shared" ref="AB142:AB143" si="95">E142+N142</f>
        <v>79554500</v>
      </c>
      <c r="AC142" s="198"/>
    </row>
    <row r="143" spans="1:29" s="31" customFormat="1" ht="93.75" customHeight="1" x14ac:dyDescent="0.25">
      <c r="A143" s="27"/>
      <c r="B143" s="27"/>
      <c r="C143" s="27"/>
      <c r="D143" s="43" t="s">
        <v>696</v>
      </c>
      <c r="E143" s="30">
        <f t="shared" si="93"/>
        <v>0</v>
      </c>
      <c r="F143" s="30"/>
      <c r="G143" s="30"/>
      <c r="H143" s="30"/>
      <c r="I143" s="30"/>
      <c r="J143" s="30"/>
      <c r="K143" s="30"/>
      <c r="L143" s="30"/>
      <c r="M143" s="182"/>
      <c r="N143" s="30">
        <f t="shared" si="94"/>
        <v>79554500</v>
      </c>
      <c r="O143" s="30">
        <f>82600800-3046300</f>
        <v>79554500</v>
      </c>
      <c r="P143" s="30"/>
      <c r="Q143" s="30"/>
      <c r="R143" s="30"/>
      <c r="S143" s="30">
        <f>82600800-3046300</f>
        <v>79554500</v>
      </c>
      <c r="T143" s="15">
        <f t="shared" si="72"/>
        <v>67512062.799999997</v>
      </c>
      <c r="U143" s="30">
        <v>67512062.799999997</v>
      </c>
      <c r="V143" s="30"/>
      <c r="W143" s="30"/>
      <c r="X143" s="30"/>
      <c r="Y143" s="30">
        <v>67512062.799999997</v>
      </c>
      <c r="Z143" s="182">
        <f t="shared" si="48"/>
        <v>84.862657423527267</v>
      </c>
      <c r="AA143" s="30">
        <f t="shared" si="73"/>
        <v>67512062.799999997</v>
      </c>
      <c r="AB143" s="30">
        <f t="shared" si="95"/>
        <v>79554500</v>
      </c>
      <c r="AC143" s="198"/>
    </row>
    <row r="144" spans="1:29" s="31" customFormat="1" ht="64.5" customHeight="1" x14ac:dyDescent="0.25">
      <c r="A144" s="22" t="s">
        <v>625</v>
      </c>
      <c r="B144" s="23">
        <v>1261</v>
      </c>
      <c r="C144" s="22" t="s">
        <v>56</v>
      </c>
      <c r="D144" s="35" t="s">
        <v>624</v>
      </c>
      <c r="E144" s="25">
        <f t="shared" si="71"/>
        <v>0</v>
      </c>
      <c r="F144" s="25"/>
      <c r="G144" s="25"/>
      <c r="H144" s="25"/>
      <c r="I144" s="25"/>
      <c r="J144" s="25"/>
      <c r="K144" s="25"/>
      <c r="L144" s="25"/>
      <c r="M144" s="181"/>
      <c r="N144" s="25">
        <f t="shared" si="75"/>
        <v>2500000</v>
      </c>
      <c r="O144" s="25">
        <f>1200000+1300000</f>
        <v>2500000</v>
      </c>
      <c r="P144" s="25"/>
      <c r="Q144" s="25"/>
      <c r="R144" s="25"/>
      <c r="S144" s="25">
        <f>1200000+1300000</f>
        <v>2500000</v>
      </c>
      <c r="T144" s="15">
        <f t="shared" si="72"/>
        <v>2271945.65</v>
      </c>
      <c r="U144" s="25">
        <v>2271945.65</v>
      </c>
      <c r="V144" s="25"/>
      <c r="W144" s="25"/>
      <c r="X144" s="25"/>
      <c r="Y144" s="25">
        <v>2271945.65</v>
      </c>
      <c r="Z144" s="181">
        <f t="shared" si="48"/>
        <v>90.877825999999999</v>
      </c>
      <c r="AA144" s="25">
        <f t="shared" si="73"/>
        <v>2271945.65</v>
      </c>
      <c r="AB144" s="25">
        <f t="shared" si="74"/>
        <v>2500000</v>
      </c>
      <c r="AC144" s="198"/>
    </row>
    <row r="145" spans="1:29" s="31" customFormat="1" ht="64.5" hidden="1" customHeight="1" x14ac:dyDescent="0.25">
      <c r="A145" s="22" t="s">
        <v>626</v>
      </c>
      <c r="B145" s="23">
        <v>1262</v>
      </c>
      <c r="C145" s="22" t="s">
        <v>56</v>
      </c>
      <c r="D145" s="35" t="s">
        <v>681</v>
      </c>
      <c r="E145" s="25">
        <f t="shared" si="71"/>
        <v>0</v>
      </c>
      <c r="F145" s="25"/>
      <c r="G145" s="25"/>
      <c r="H145" s="25"/>
      <c r="I145" s="25"/>
      <c r="J145" s="25"/>
      <c r="K145" s="25"/>
      <c r="L145" s="25"/>
      <c r="M145" s="181" t="e">
        <f t="shared" si="51"/>
        <v>#DIV/0!</v>
      </c>
      <c r="N145" s="25">
        <f t="shared" si="75"/>
        <v>0</v>
      </c>
      <c r="O145" s="25"/>
      <c r="P145" s="25"/>
      <c r="Q145" s="25"/>
      <c r="R145" s="25"/>
      <c r="S145" s="25"/>
      <c r="T145" s="15">
        <f t="shared" si="72"/>
        <v>0</v>
      </c>
      <c r="U145" s="25"/>
      <c r="V145" s="25"/>
      <c r="W145" s="25"/>
      <c r="X145" s="25"/>
      <c r="Y145" s="25"/>
      <c r="Z145" s="181" t="e">
        <f t="shared" si="48"/>
        <v>#DIV/0!</v>
      </c>
      <c r="AA145" s="25">
        <f t="shared" si="73"/>
        <v>0</v>
      </c>
      <c r="AB145" s="25">
        <f t="shared" si="74"/>
        <v>0</v>
      </c>
      <c r="AC145" s="198"/>
    </row>
    <row r="146" spans="1:29" s="31" customFormat="1" ht="64.5" hidden="1" customHeight="1" x14ac:dyDescent="0.25">
      <c r="A146" s="22"/>
      <c r="B146" s="23"/>
      <c r="C146" s="23"/>
      <c r="D146" s="44" t="s">
        <v>627</v>
      </c>
      <c r="E146" s="25">
        <f t="shared" si="71"/>
        <v>0</v>
      </c>
      <c r="F146" s="25"/>
      <c r="G146" s="25"/>
      <c r="H146" s="25"/>
      <c r="I146" s="25"/>
      <c r="J146" s="25"/>
      <c r="K146" s="25"/>
      <c r="L146" s="25"/>
      <c r="M146" s="181" t="e">
        <f t="shared" ref="M146:M209" si="96">J146/E146*100</f>
        <v>#DIV/0!</v>
      </c>
      <c r="N146" s="30">
        <f t="shared" si="75"/>
        <v>0</v>
      </c>
      <c r="O146" s="30"/>
      <c r="P146" s="30"/>
      <c r="Q146" s="30"/>
      <c r="R146" s="30"/>
      <c r="S146" s="30"/>
      <c r="T146" s="15">
        <f t="shared" ref="T146:T209" si="97">V146+Y146</f>
        <v>0</v>
      </c>
      <c r="U146" s="30"/>
      <c r="V146" s="30"/>
      <c r="W146" s="30"/>
      <c r="X146" s="30"/>
      <c r="Y146" s="30"/>
      <c r="Z146" s="181" t="e">
        <f t="shared" ref="Z146:Z209" si="98">T146/N146*100</f>
        <v>#DIV/0!</v>
      </c>
      <c r="AA146" s="25">
        <f t="shared" ref="AA146:AA209" si="99">J146+T146</f>
        <v>0</v>
      </c>
      <c r="AB146" s="30">
        <f t="shared" si="74"/>
        <v>0</v>
      </c>
      <c r="AC146" s="198"/>
    </row>
    <row r="147" spans="1:29" s="31" customFormat="1" ht="96.75" customHeight="1" x14ac:dyDescent="0.25">
      <c r="A147" s="22" t="s">
        <v>670</v>
      </c>
      <c r="B147" s="23">
        <v>1291</v>
      </c>
      <c r="C147" s="22" t="s">
        <v>56</v>
      </c>
      <c r="D147" s="35" t="str">
        <f>'дод 5'!C105</f>
        <v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v>
      </c>
      <c r="E147" s="25">
        <f t="shared" si="71"/>
        <v>1841503</v>
      </c>
      <c r="F147" s="25">
        <f>1830302+10238+65027-141859+426874-349079</f>
        <v>1841503</v>
      </c>
      <c r="G147" s="25"/>
      <c r="H147" s="25"/>
      <c r="I147" s="25"/>
      <c r="J147" s="25">
        <v>1503025.56</v>
      </c>
      <c r="K147" s="25"/>
      <c r="L147" s="25"/>
      <c r="M147" s="181">
        <f t="shared" si="96"/>
        <v>81.619501027150108</v>
      </c>
      <c r="N147" s="25">
        <f t="shared" si="75"/>
        <v>5789756</v>
      </c>
      <c r="O147" s="25">
        <f>3097872+1503051-10238-65027+141859+773160+349079</f>
        <v>5789756</v>
      </c>
      <c r="P147" s="25"/>
      <c r="Q147" s="25"/>
      <c r="R147" s="25"/>
      <c r="S147" s="25">
        <f>3097872+1503051-10238-65027+141859+773160+349079</f>
        <v>5789756</v>
      </c>
      <c r="T147" s="15">
        <f t="shared" si="97"/>
        <v>5531136.9699999997</v>
      </c>
      <c r="U147" s="25">
        <v>5531136.9699999997</v>
      </c>
      <c r="V147" s="25"/>
      <c r="W147" s="25"/>
      <c r="X147" s="25"/>
      <c r="Y147" s="25">
        <v>5531136.9699999997</v>
      </c>
      <c r="Z147" s="181">
        <f t="shared" si="98"/>
        <v>95.533161846544132</v>
      </c>
      <c r="AA147" s="25">
        <f t="shared" si="99"/>
        <v>7034162.5299999993</v>
      </c>
      <c r="AB147" s="25">
        <f t="shared" si="74"/>
        <v>7631259</v>
      </c>
      <c r="AC147" s="198"/>
    </row>
    <row r="148" spans="1:29" s="31" customFormat="1" ht="110.25" x14ac:dyDescent="0.25">
      <c r="A148" s="27"/>
      <c r="B148" s="28"/>
      <c r="C148" s="27"/>
      <c r="D148" s="44" t="str">
        <f>'дод 5'!C106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48" s="30">
        <f t="shared" ref="E148" si="100">F148+I148</f>
        <v>1339364</v>
      </c>
      <c r="F148" s="30">
        <f>1830302-141859-349079</f>
        <v>1339364</v>
      </c>
      <c r="G148" s="30"/>
      <c r="H148" s="30"/>
      <c r="I148" s="30"/>
      <c r="J148" s="30">
        <v>1290922.57</v>
      </c>
      <c r="K148" s="30"/>
      <c r="L148" s="30"/>
      <c r="M148" s="182">
        <f t="shared" si="96"/>
        <v>96.383251304350424</v>
      </c>
      <c r="N148" s="30">
        <f t="shared" ref="N148" si="101">P148+S148</f>
        <v>1993989</v>
      </c>
      <c r="O148" s="30">
        <f>1503051+141859+349079</f>
        <v>1993989</v>
      </c>
      <c r="P148" s="30"/>
      <c r="Q148" s="30"/>
      <c r="R148" s="30"/>
      <c r="S148" s="30">
        <f>1503051+141859+349079</f>
        <v>1993989</v>
      </c>
      <c r="T148" s="15">
        <f t="shared" si="97"/>
        <v>1882495.7</v>
      </c>
      <c r="U148" s="30">
        <v>1882495.7</v>
      </c>
      <c r="V148" s="30"/>
      <c r="W148" s="30"/>
      <c r="X148" s="30"/>
      <c r="Y148" s="30">
        <v>1882495.7</v>
      </c>
      <c r="Z148" s="182">
        <f t="shared" si="98"/>
        <v>94.408529836423369</v>
      </c>
      <c r="AA148" s="30">
        <f t="shared" si="99"/>
        <v>3173418.27</v>
      </c>
      <c r="AB148" s="30">
        <f t="shared" ref="AB148" si="102">E148+N148</f>
        <v>3333353</v>
      </c>
      <c r="AC148" s="198"/>
    </row>
    <row r="149" spans="1:29" s="31" customFormat="1" ht="94.5" x14ac:dyDescent="0.25">
      <c r="A149" s="22" t="s">
        <v>665</v>
      </c>
      <c r="B149" s="23" t="str">
        <f>'дод 5'!A107</f>
        <v>1292</v>
      </c>
      <c r="C149" s="23" t="str">
        <f>'дод 5'!B107</f>
        <v>0990</v>
      </c>
      <c r="D149" s="36" t="str">
        <f>'дод 5'!C107</f>
        <v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v>
      </c>
      <c r="E149" s="25">
        <f t="shared" ref="E149:E150" si="103">F149+I149</f>
        <v>0</v>
      </c>
      <c r="F149" s="25"/>
      <c r="G149" s="25"/>
      <c r="H149" s="25"/>
      <c r="I149" s="25"/>
      <c r="J149" s="25"/>
      <c r="K149" s="25"/>
      <c r="L149" s="25"/>
      <c r="M149" s="181"/>
      <c r="N149" s="25">
        <f t="shared" ref="N149:N150" si="104">P149+S149</f>
        <v>18068330</v>
      </c>
      <c r="O149" s="25"/>
      <c r="P149" s="25">
        <f>262064+23890+4270702+151729-331003-814519+996039</f>
        <v>4558902</v>
      </c>
      <c r="Q149" s="25"/>
      <c r="R149" s="25"/>
      <c r="S149" s="25">
        <f>7228366-23890+3507119-151729+331003+814519+1804040</f>
        <v>13509428</v>
      </c>
      <c r="T149" s="15">
        <f t="shared" si="97"/>
        <v>16413044.880000001</v>
      </c>
      <c r="U149" s="25"/>
      <c r="V149" s="25">
        <v>3507058.64</v>
      </c>
      <c r="W149" s="25"/>
      <c r="X149" s="25"/>
      <c r="Y149" s="25">
        <v>12905986.24</v>
      </c>
      <c r="Z149" s="181">
        <f t="shared" si="98"/>
        <v>90.838748683469916</v>
      </c>
      <c r="AA149" s="25">
        <f t="shared" si="99"/>
        <v>16413044.880000001</v>
      </c>
      <c r="AB149" s="25">
        <f t="shared" ref="AB149:AB150" si="105">E149+N149</f>
        <v>18068330</v>
      </c>
      <c r="AC149" s="198"/>
    </row>
    <row r="150" spans="1:29" s="31" customFormat="1" ht="64.5" customHeight="1" x14ac:dyDescent="0.25">
      <c r="A150" s="27"/>
      <c r="B150" s="28"/>
      <c r="C150" s="28"/>
      <c r="D150" s="29" t="s">
        <v>494</v>
      </c>
      <c r="E150" s="30">
        <f t="shared" si="103"/>
        <v>0</v>
      </c>
      <c r="F150" s="30"/>
      <c r="G150" s="30"/>
      <c r="H150" s="30"/>
      <c r="I150" s="30"/>
      <c r="J150" s="30"/>
      <c r="K150" s="30"/>
      <c r="L150" s="30"/>
      <c r="M150" s="182"/>
      <c r="N150" s="30">
        <f t="shared" si="104"/>
        <v>18068330</v>
      </c>
      <c r="O150" s="30"/>
      <c r="P150" s="30">
        <f>262064+23890+4270702+151729-331003-814519+996039</f>
        <v>4558902</v>
      </c>
      <c r="Q150" s="30"/>
      <c r="R150" s="30"/>
      <c r="S150" s="30">
        <f>7228366-23890+3507119-151729+331003+814519+1804040</f>
        <v>13509428</v>
      </c>
      <c r="T150" s="15">
        <f t="shared" si="97"/>
        <v>16413044.880000001</v>
      </c>
      <c r="U150" s="30"/>
      <c r="V150" s="30">
        <v>3507058.64</v>
      </c>
      <c r="W150" s="30"/>
      <c r="X150" s="30"/>
      <c r="Y150" s="30">
        <v>12905986.24</v>
      </c>
      <c r="Z150" s="182">
        <f t="shared" si="98"/>
        <v>90.838748683469916</v>
      </c>
      <c r="AA150" s="30">
        <f t="shared" si="99"/>
        <v>16413044.880000001</v>
      </c>
      <c r="AB150" s="30">
        <f t="shared" si="105"/>
        <v>18068330</v>
      </c>
      <c r="AC150" s="198"/>
    </row>
    <row r="151" spans="1:29" s="31" customFormat="1" ht="64.5" hidden="1" customHeight="1" x14ac:dyDescent="0.25">
      <c r="A151" s="22" t="s">
        <v>459</v>
      </c>
      <c r="B151" s="23">
        <v>3140</v>
      </c>
      <c r="C151" s="23">
        <v>1040</v>
      </c>
      <c r="D151" s="35" t="s">
        <v>20</v>
      </c>
      <c r="E151" s="25">
        <f t="shared" si="71"/>
        <v>0</v>
      </c>
      <c r="F151" s="25">
        <f>2000000-2000000</f>
        <v>0</v>
      </c>
      <c r="G151" s="25"/>
      <c r="H151" s="25"/>
      <c r="I151" s="25"/>
      <c r="J151" s="25"/>
      <c r="K151" s="25"/>
      <c r="L151" s="25"/>
      <c r="M151" s="181" t="e">
        <f t="shared" si="96"/>
        <v>#DIV/0!</v>
      </c>
      <c r="N151" s="30">
        <f t="shared" si="75"/>
        <v>0</v>
      </c>
      <c r="O151" s="30"/>
      <c r="P151" s="30"/>
      <c r="Q151" s="30"/>
      <c r="R151" s="30"/>
      <c r="S151" s="30"/>
      <c r="T151" s="15">
        <f t="shared" si="97"/>
        <v>0</v>
      </c>
      <c r="U151" s="30"/>
      <c r="V151" s="30"/>
      <c r="W151" s="30"/>
      <c r="X151" s="30"/>
      <c r="Y151" s="30"/>
      <c r="Z151" s="181" t="e">
        <f t="shared" si="98"/>
        <v>#DIV/0!</v>
      </c>
      <c r="AA151" s="25">
        <f t="shared" si="99"/>
        <v>0</v>
      </c>
      <c r="AB151" s="25">
        <f t="shared" si="74"/>
        <v>0</v>
      </c>
      <c r="AC151" s="198"/>
    </row>
    <row r="152" spans="1:29" s="31" customFormat="1" ht="64.5" customHeight="1" x14ac:dyDescent="0.25">
      <c r="A152" s="22" t="s">
        <v>725</v>
      </c>
      <c r="B152" s="23" t="str">
        <f>'дод 5'!A109</f>
        <v>1403</v>
      </c>
      <c r="C152" s="23" t="str">
        <f>'дод 5'!B109</f>
        <v>0990</v>
      </c>
      <c r="D152" s="36" t="str">
        <f>'дод 5'!C109</f>
        <v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v>
      </c>
      <c r="E152" s="25">
        <f t="shared" si="71"/>
        <v>12935800</v>
      </c>
      <c r="F152" s="25">
        <f>19506700-6570900</f>
        <v>12935800</v>
      </c>
      <c r="G152" s="25"/>
      <c r="H152" s="25"/>
      <c r="I152" s="25"/>
      <c r="J152" s="25">
        <v>521533.91</v>
      </c>
      <c r="K152" s="25"/>
      <c r="L152" s="25"/>
      <c r="M152" s="181">
        <f t="shared" si="96"/>
        <v>4.031709751233012</v>
      </c>
      <c r="N152" s="25">
        <f t="shared" si="75"/>
        <v>22533600</v>
      </c>
      <c r="O152" s="25"/>
      <c r="P152" s="25">
        <v>22533600</v>
      </c>
      <c r="Q152" s="25"/>
      <c r="R152" s="25"/>
      <c r="S152" s="25"/>
      <c r="T152" s="15">
        <f t="shared" si="97"/>
        <v>0</v>
      </c>
      <c r="U152" s="25"/>
      <c r="V152" s="25"/>
      <c r="W152" s="25"/>
      <c r="X152" s="25"/>
      <c r="Y152" s="25"/>
      <c r="Z152" s="181">
        <f t="shared" si="98"/>
        <v>0</v>
      </c>
      <c r="AA152" s="25">
        <f t="shared" si="99"/>
        <v>521533.91</v>
      </c>
      <c r="AB152" s="25">
        <f t="shared" si="74"/>
        <v>35469400</v>
      </c>
      <c r="AC152" s="198"/>
    </row>
    <row r="153" spans="1:29" s="31" customFormat="1" ht="66" customHeight="1" x14ac:dyDescent="0.25">
      <c r="A153" s="27"/>
      <c r="B153" s="28">
        <f>'дод 5'!A110</f>
        <v>0</v>
      </c>
      <c r="C153" s="28">
        <f>'дод 5'!B110</f>
        <v>0</v>
      </c>
      <c r="D153" s="43" t="str">
        <f>'дод 5'!C110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153" s="30">
        <f t="shared" si="71"/>
        <v>12935800</v>
      </c>
      <c r="F153" s="30">
        <f>19506700-6570900</f>
        <v>12935800</v>
      </c>
      <c r="G153" s="30"/>
      <c r="H153" s="30"/>
      <c r="I153" s="30"/>
      <c r="J153" s="30">
        <v>521533.91</v>
      </c>
      <c r="K153" s="30"/>
      <c r="L153" s="30"/>
      <c r="M153" s="182">
        <f t="shared" si="96"/>
        <v>4.031709751233012</v>
      </c>
      <c r="N153" s="30">
        <f t="shared" si="75"/>
        <v>22533600</v>
      </c>
      <c r="O153" s="30"/>
      <c r="P153" s="30">
        <v>22533600</v>
      </c>
      <c r="Q153" s="30"/>
      <c r="R153" s="30"/>
      <c r="S153" s="30"/>
      <c r="T153" s="15">
        <f t="shared" si="97"/>
        <v>0</v>
      </c>
      <c r="U153" s="30"/>
      <c r="V153" s="30"/>
      <c r="W153" s="30"/>
      <c r="X153" s="30"/>
      <c r="Y153" s="30"/>
      <c r="Z153" s="182">
        <f t="shared" si="98"/>
        <v>0</v>
      </c>
      <c r="AA153" s="30">
        <f t="shared" si="99"/>
        <v>521533.91</v>
      </c>
      <c r="AB153" s="30">
        <f t="shared" si="74"/>
        <v>35469400</v>
      </c>
      <c r="AC153" s="198"/>
    </row>
    <row r="154" spans="1:29" s="31" customFormat="1" ht="39.75" customHeight="1" x14ac:dyDescent="0.25">
      <c r="A154" s="22" t="s">
        <v>460</v>
      </c>
      <c r="B154" s="23">
        <v>3242</v>
      </c>
      <c r="C154" s="23">
        <v>1090</v>
      </c>
      <c r="D154" s="24" t="s">
        <v>392</v>
      </c>
      <c r="E154" s="25">
        <f t="shared" si="71"/>
        <v>74250</v>
      </c>
      <c r="F154" s="25">
        <f>65200+9050</f>
        <v>74250</v>
      </c>
      <c r="G154" s="25"/>
      <c r="H154" s="25"/>
      <c r="I154" s="25"/>
      <c r="J154" s="25">
        <v>74210</v>
      </c>
      <c r="K154" s="25"/>
      <c r="L154" s="25"/>
      <c r="M154" s="181">
        <f t="shared" si="96"/>
        <v>99.946127946127945</v>
      </c>
      <c r="N154" s="25">
        <f t="shared" si="75"/>
        <v>0</v>
      </c>
      <c r="O154" s="30"/>
      <c r="P154" s="30"/>
      <c r="Q154" s="30"/>
      <c r="R154" s="30"/>
      <c r="S154" s="30"/>
      <c r="T154" s="15">
        <f t="shared" si="97"/>
        <v>0</v>
      </c>
      <c r="U154" s="30"/>
      <c r="V154" s="30"/>
      <c r="W154" s="30"/>
      <c r="X154" s="30"/>
      <c r="Y154" s="30"/>
      <c r="Z154" s="181"/>
      <c r="AA154" s="25">
        <f t="shared" si="99"/>
        <v>74210</v>
      </c>
      <c r="AB154" s="25">
        <f t="shared" si="74"/>
        <v>74250</v>
      </c>
      <c r="AC154" s="198"/>
    </row>
    <row r="155" spans="1:29" s="31" customFormat="1" ht="40.5" customHeight="1" x14ac:dyDescent="0.25">
      <c r="A155" s="22" t="s">
        <v>461</v>
      </c>
      <c r="B155" s="23">
        <v>5031</v>
      </c>
      <c r="C155" s="22" t="s">
        <v>76</v>
      </c>
      <c r="D155" s="33" t="s">
        <v>746</v>
      </c>
      <c r="E155" s="25">
        <f t="shared" si="71"/>
        <v>12594700</v>
      </c>
      <c r="F155" s="25">
        <f>14114800-70000+56000-1506100</f>
        <v>12594700</v>
      </c>
      <c r="G155" s="25">
        <f>10443800-1200000</f>
        <v>9243800</v>
      </c>
      <c r="H155" s="25">
        <v>457500</v>
      </c>
      <c r="I155" s="25"/>
      <c r="J155" s="25">
        <v>12065781.17</v>
      </c>
      <c r="K155" s="25">
        <v>9243763.5199999996</v>
      </c>
      <c r="L155" s="25">
        <v>406667.81</v>
      </c>
      <c r="M155" s="181">
        <f t="shared" si="96"/>
        <v>95.800465036880595</v>
      </c>
      <c r="N155" s="25">
        <f t="shared" si="75"/>
        <v>0</v>
      </c>
      <c r="O155" s="25"/>
      <c r="P155" s="30"/>
      <c r="Q155" s="30"/>
      <c r="R155" s="30"/>
      <c r="S155" s="25"/>
      <c r="T155" s="15">
        <f t="shared" si="97"/>
        <v>6862.8</v>
      </c>
      <c r="U155" s="25"/>
      <c r="V155" s="25">
        <v>6862.8</v>
      </c>
      <c r="W155" s="25"/>
      <c r="X155" s="25"/>
      <c r="Y155" s="25"/>
      <c r="Z155" s="181"/>
      <c r="AA155" s="25">
        <f t="shared" si="99"/>
        <v>12072643.970000001</v>
      </c>
      <c r="AB155" s="25">
        <f t="shared" si="74"/>
        <v>12594700</v>
      </c>
      <c r="AC155" s="198"/>
    </row>
    <row r="156" spans="1:29" s="31" customFormat="1" ht="23.25" hidden="1" customHeight="1" x14ac:dyDescent="0.25">
      <c r="A156" s="27"/>
      <c r="B156" s="28"/>
      <c r="C156" s="27"/>
      <c r="D156" s="29" t="s">
        <v>380</v>
      </c>
      <c r="E156" s="25">
        <f t="shared" si="71"/>
        <v>0</v>
      </c>
      <c r="F156" s="30"/>
      <c r="G156" s="30"/>
      <c r="H156" s="30"/>
      <c r="I156" s="30"/>
      <c r="J156" s="30"/>
      <c r="K156" s="30"/>
      <c r="L156" s="30"/>
      <c r="M156" s="181" t="e">
        <f t="shared" si="96"/>
        <v>#DIV/0!</v>
      </c>
      <c r="N156" s="30">
        <f t="shared" si="75"/>
        <v>0</v>
      </c>
      <c r="O156" s="30"/>
      <c r="P156" s="30"/>
      <c r="Q156" s="30"/>
      <c r="R156" s="30"/>
      <c r="S156" s="30"/>
      <c r="T156" s="15">
        <f t="shared" si="97"/>
        <v>0</v>
      </c>
      <c r="U156" s="30"/>
      <c r="V156" s="30"/>
      <c r="W156" s="30"/>
      <c r="X156" s="30"/>
      <c r="Y156" s="30"/>
      <c r="Z156" s="181" t="e">
        <f t="shared" si="98"/>
        <v>#DIV/0!</v>
      </c>
      <c r="AA156" s="25">
        <f t="shared" si="99"/>
        <v>0</v>
      </c>
      <c r="AB156" s="30">
        <f t="shared" si="74"/>
        <v>0</v>
      </c>
      <c r="AC156" s="104"/>
    </row>
    <row r="157" spans="1:29" s="31" customFormat="1" ht="42" hidden="1" customHeight="1" x14ac:dyDescent="0.25">
      <c r="A157" s="22" t="s">
        <v>462</v>
      </c>
      <c r="B157" s="23">
        <v>7321</v>
      </c>
      <c r="C157" s="22" t="s">
        <v>107</v>
      </c>
      <c r="D157" s="35" t="str">
        <f>'дод 5'!C244</f>
        <v>Будівництво1 освітніх установ та закладів, у т.ч. за рахунок:</v>
      </c>
      <c r="E157" s="25">
        <f t="shared" si="71"/>
        <v>0</v>
      </c>
      <c r="F157" s="25"/>
      <c r="G157" s="25"/>
      <c r="H157" s="25"/>
      <c r="I157" s="25"/>
      <c r="J157" s="25"/>
      <c r="K157" s="25"/>
      <c r="L157" s="25"/>
      <c r="M157" s="181" t="e">
        <f t="shared" si="96"/>
        <v>#DIV/0!</v>
      </c>
      <c r="N157" s="25">
        <f t="shared" si="75"/>
        <v>0</v>
      </c>
      <c r="O157" s="25"/>
      <c r="P157" s="25"/>
      <c r="Q157" s="25"/>
      <c r="R157" s="25"/>
      <c r="S157" s="25"/>
      <c r="T157" s="15">
        <f t="shared" si="97"/>
        <v>0</v>
      </c>
      <c r="U157" s="25"/>
      <c r="V157" s="25"/>
      <c r="W157" s="25"/>
      <c r="X157" s="25"/>
      <c r="Y157" s="25"/>
      <c r="Z157" s="181" t="e">
        <f t="shared" si="98"/>
        <v>#DIV/0!</v>
      </c>
      <c r="AA157" s="25">
        <f t="shared" si="99"/>
        <v>0</v>
      </c>
      <c r="AB157" s="25">
        <f t="shared" si="74"/>
        <v>0</v>
      </c>
      <c r="AC157" s="104"/>
    </row>
    <row r="158" spans="1:29" s="31" customFormat="1" ht="21" hidden="1" customHeight="1" x14ac:dyDescent="0.25">
      <c r="A158" s="22"/>
      <c r="B158" s="23"/>
      <c r="C158" s="22"/>
      <c r="D158" s="29" t="s">
        <v>380</v>
      </c>
      <c r="E158" s="25">
        <f t="shared" si="71"/>
        <v>0</v>
      </c>
      <c r="F158" s="25"/>
      <c r="G158" s="25"/>
      <c r="H158" s="25"/>
      <c r="I158" s="25"/>
      <c r="J158" s="25"/>
      <c r="K158" s="25"/>
      <c r="L158" s="25"/>
      <c r="M158" s="181" t="e">
        <f t="shared" si="96"/>
        <v>#DIV/0!</v>
      </c>
      <c r="N158" s="30">
        <f t="shared" si="75"/>
        <v>0</v>
      </c>
      <c r="O158" s="30"/>
      <c r="P158" s="25"/>
      <c r="Q158" s="25"/>
      <c r="R158" s="25"/>
      <c r="S158" s="30"/>
      <c r="T158" s="15">
        <f t="shared" si="97"/>
        <v>0</v>
      </c>
      <c r="U158" s="30"/>
      <c r="V158" s="30"/>
      <c r="W158" s="30"/>
      <c r="X158" s="30"/>
      <c r="Y158" s="30"/>
      <c r="Z158" s="181" t="e">
        <f t="shared" si="98"/>
        <v>#DIV/0!</v>
      </c>
      <c r="AA158" s="25">
        <f t="shared" si="99"/>
        <v>0</v>
      </c>
      <c r="AB158" s="30">
        <f t="shared" si="74"/>
        <v>0</v>
      </c>
      <c r="AC158" s="104"/>
    </row>
    <row r="159" spans="1:29" s="31" customFormat="1" ht="47.25" hidden="1" customHeight="1" x14ac:dyDescent="0.25">
      <c r="A159" s="22" t="s">
        <v>498</v>
      </c>
      <c r="B159" s="23">
        <v>7363</v>
      </c>
      <c r="C159" s="22" t="s">
        <v>78</v>
      </c>
      <c r="D159" s="35" t="s">
        <v>552</v>
      </c>
      <c r="E159" s="25">
        <f t="shared" si="71"/>
        <v>0</v>
      </c>
      <c r="F159" s="25"/>
      <c r="G159" s="25"/>
      <c r="H159" s="25"/>
      <c r="I159" s="25"/>
      <c r="J159" s="25"/>
      <c r="K159" s="25"/>
      <c r="L159" s="25"/>
      <c r="M159" s="181" t="e">
        <f t="shared" si="96"/>
        <v>#DIV/0!</v>
      </c>
      <c r="N159" s="25">
        <f t="shared" si="75"/>
        <v>0</v>
      </c>
      <c r="O159" s="25"/>
      <c r="P159" s="25"/>
      <c r="Q159" s="25"/>
      <c r="R159" s="25"/>
      <c r="S159" s="25"/>
      <c r="T159" s="15">
        <f t="shared" si="97"/>
        <v>0</v>
      </c>
      <c r="U159" s="25"/>
      <c r="V159" s="25"/>
      <c r="W159" s="25"/>
      <c r="X159" s="25"/>
      <c r="Y159" s="25"/>
      <c r="Z159" s="181" t="e">
        <f t="shared" si="98"/>
        <v>#DIV/0!</v>
      </c>
      <c r="AA159" s="25">
        <f t="shared" si="99"/>
        <v>0</v>
      </c>
      <c r="AB159" s="25">
        <f t="shared" si="74"/>
        <v>0</v>
      </c>
      <c r="AC159" s="104"/>
    </row>
    <row r="160" spans="1:29" s="31" customFormat="1" ht="36.75" hidden="1" customHeight="1" x14ac:dyDescent="0.25">
      <c r="A160" s="27"/>
      <c r="B160" s="28"/>
      <c r="C160" s="27"/>
      <c r="D160" s="44" t="s">
        <v>576</v>
      </c>
      <c r="E160" s="25">
        <f t="shared" si="71"/>
        <v>0</v>
      </c>
      <c r="F160" s="30"/>
      <c r="G160" s="30"/>
      <c r="H160" s="30"/>
      <c r="I160" s="30"/>
      <c r="J160" s="30"/>
      <c r="K160" s="30"/>
      <c r="L160" s="30"/>
      <c r="M160" s="181" t="e">
        <f t="shared" si="96"/>
        <v>#DIV/0!</v>
      </c>
      <c r="N160" s="30">
        <f t="shared" si="75"/>
        <v>0</v>
      </c>
      <c r="O160" s="30"/>
      <c r="P160" s="30"/>
      <c r="Q160" s="30"/>
      <c r="R160" s="30"/>
      <c r="S160" s="30"/>
      <c r="T160" s="15">
        <f t="shared" si="97"/>
        <v>0</v>
      </c>
      <c r="U160" s="30"/>
      <c r="V160" s="30"/>
      <c r="W160" s="30"/>
      <c r="X160" s="30"/>
      <c r="Y160" s="30"/>
      <c r="Z160" s="181" t="e">
        <f t="shared" si="98"/>
        <v>#DIV/0!</v>
      </c>
      <c r="AA160" s="25">
        <f t="shared" si="99"/>
        <v>0</v>
      </c>
      <c r="AB160" s="30">
        <f t="shared" si="74"/>
        <v>0</v>
      </c>
      <c r="AC160" s="104"/>
    </row>
    <row r="161" spans="1:29" s="31" customFormat="1" ht="94.5" x14ac:dyDescent="0.25">
      <c r="A161" s="22" t="s">
        <v>655</v>
      </c>
      <c r="B161" s="23">
        <v>7384</v>
      </c>
      <c r="C161" s="22" t="s">
        <v>78</v>
      </c>
      <c r="D161" s="33" t="s">
        <v>656</v>
      </c>
      <c r="E161" s="25">
        <f t="shared" ref="E161" si="106">F161+I161</f>
        <v>0</v>
      </c>
      <c r="F161" s="25">
        <v>0</v>
      </c>
      <c r="G161" s="25">
        <v>0</v>
      </c>
      <c r="H161" s="25">
        <v>0</v>
      </c>
      <c r="I161" s="25"/>
      <c r="J161" s="25"/>
      <c r="K161" s="25"/>
      <c r="L161" s="25"/>
      <c r="M161" s="181"/>
      <c r="N161" s="25">
        <f t="shared" ref="N161" si="107">P161+S161</f>
        <v>51527652.659999996</v>
      </c>
      <c r="O161" s="25"/>
      <c r="P161" s="30"/>
      <c r="Q161" s="30"/>
      <c r="R161" s="30"/>
      <c r="S161" s="25">
        <v>51527652.659999996</v>
      </c>
      <c r="T161" s="15">
        <f t="shared" si="97"/>
        <v>51527652.659999996</v>
      </c>
      <c r="U161" s="25"/>
      <c r="V161" s="25"/>
      <c r="W161" s="25"/>
      <c r="X161" s="25"/>
      <c r="Y161" s="25">
        <v>51527652.659999996</v>
      </c>
      <c r="Z161" s="181">
        <f t="shared" si="98"/>
        <v>100</v>
      </c>
      <c r="AA161" s="25">
        <f t="shared" si="99"/>
        <v>51527652.659999996</v>
      </c>
      <c r="AB161" s="25">
        <f t="shared" ref="AB161" si="108">E161+N161</f>
        <v>51527652.659999996</v>
      </c>
      <c r="AC161" s="198">
        <v>7</v>
      </c>
    </row>
    <row r="162" spans="1:29" s="31" customFormat="1" ht="118.9" customHeight="1" x14ac:dyDescent="0.25">
      <c r="A162" s="27"/>
      <c r="B162" s="28"/>
      <c r="C162" s="27"/>
      <c r="D162" s="44" t="s">
        <v>660</v>
      </c>
      <c r="E162" s="30">
        <f t="shared" ref="E162" si="109">F162+I162</f>
        <v>0</v>
      </c>
      <c r="F162" s="30">
        <v>0</v>
      </c>
      <c r="G162" s="30">
        <v>0</v>
      </c>
      <c r="H162" s="30">
        <v>0</v>
      </c>
      <c r="I162" s="30"/>
      <c r="J162" s="30"/>
      <c r="K162" s="30"/>
      <c r="L162" s="30"/>
      <c r="M162" s="182"/>
      <c r="N162" s="30">
        <f t="shared" ref="N162" si="110">P162+S162</f>
        <v>51527652.659999996</v>
      </c>
      <c r="O162" s="30"/>
      <c r="P162" s="30"/>
      <c r="Q162" s="30"/>
      <c r="R162" s="30"/>
      <c r="S162" s="30">
        <v>51527652.659999996</v>
      </c>
      <c r="T162" s="15">
        <f t="shared" si="97"/>
        <v>51527652.659999996</v>
      </c>
      <c r="U162" s="30"/>
      <c r="V162" s="30"/>
      <c r="W162" s="30"/>
      <c r="X162" s="30"/>
      <c r="Y162" s="30">
        <v>51527652.659999996</v>
      </c>
      <c r="Z162" s="182">
        <f t="shared" si="98"/>
        <v>100</v>
      </c>
      <c r="AA162" s="30">
        <f t="shared" si="99"/>
        <v>51527652.659999996</v>
      </c>
      <c r="AB162" s="30">
        <f t="shared" ref="AB162" si="111">E162+N162</f>
        <v>51527652.659999996</v>
      </c>
      <c r="AC162" s="198"/>
    </row>
    <row r="163" spans="1:29" s="26" customFormat="1" ht="27.75" hidden="1" customHeight="1" x14ac:dyDescent="0.25">
      <c r="A163" s="22" t="s">
        <v>573</v>
      </c>
      <c r="B163" s="45" t="s">
        <v>231</v>
      </c>
      <c r="C163" s="45" t="s">
        <v>78</v>
      </c>
      <c r="D163" s="33" t="s">
        <v>17</v>
      </c>
      <c r="E163" s="25">
        <f t="shared" si="71"/>
        <v>0</v>
      </c>
      <c r="F163" s="25"/>
      <c r="G163" s="25"/>
      <c r="H163" s="25"/>
      <c r="I163" s="25"/>
      <c r="J163" s="25"/>
      <c r="K163" s="25"/>
      <c r="L163" s="25"/>
      <c r="M163" s="181" t="e">
        <f t="shared" si="96"/>
        <v>#DIV/0!</v>
      </c>
      <c r="N163" s="25">
        <f t="shared" ref="N163" si="112">P163+S163</f>
        <v>0</v>
      </c>
      <c r="O163" s="30"/>
      <c r="P163" s="30"/>
      <c r="Q163" s="30"/>
      <c r="R163" s="30"/>
      <c r="S163" s="30"/>
      <c r="T163" s="15">
        <f t="shared" si="97"/>
        <v>0</v>
      </c>
      <c r="U163" s="30"/>
      <c r="V163" s="30"/>
      <c r="W163" s="30"/>
      <c r="X163" s="30"/>
      <c r="Y163" s="30"/>
      <c r="Z163" s="181" t="e">
        <f t="shared" si="98"/>
        <v>#DIV/0!</v>
      </c>
      <c r="AA163" s="25">
        <f t="shared" si="99"/>
        <v>0</v>
      </c>
      <c r="AB163" s="25">
        <f t="shared" ref="AB163" si="113">E163+N163</f>
        <v>0</v>
      </c>
      <c r="AC163" s="198"/>
    </row>
    <row r="164" spans="1:29" s="31" customFormat="1" ht="24" customHeight="1" x14ac:dyDescent="0.25">
      <c r="A164" s="22" t="s">
        <v>463</v>
      </c>
      <c r="B164" s="23">
        <v>7640</v>
      </c>
      <c r="C164" s="22" t="s">
        <v>82</v>
      </c>
      <c r="D164" s="33" t="s">
        <v>402</v>
      </c>
      <c r="E164" s="25">
        <f t="shared" si="71"/>
        <v>766560</v>
      </c>
      <c r="F164" s="25">
        <v>766560</v>
      </c>
      <c r="G164" s="25"/>
      <c r="H164" s="25"/>
      <c r="I164" s="25"/>
      <c r="J164" s="25">
        <v>580520</v>
      </c>
      <c r="K164" s="25"/>
      <c r="L164" s="25"/>
      <c r="M164" s="181">
        <f t="shared" si="96"/>
        <v>75.730536422458769</v>
      </c>
      <c r="N164" s="25">
        <f>P164+S164</f>
        <v>95589467</v>
      </c>
      <c r="O164" s="25">
        <f>71289467+24000000+300000</f>
        <v>95589467</v>
      </c>
      <c r="P164" s="25"/>
      <c r="Q164" s="25"/>
      <c r="R164" s="25"/>
      <c r="S164" s="25">
        <f>71289467+24000000+300000</f>
        <v>95589467</v>
      </c>
      <c r="T164" s="15">
        <f t="shared" si="97"/>
        <v>86913492.349999994</v>
      </c>
      <c r="U164" s="25">
        <v>86913492.349999994</v>
      </c>
      <c r="V164" s="25"/>
      <c r="W164" s="25"/>
      <c r="X164" s="25"/>
      <c r="Y164" s="25">
        <v>86913492.349999994</v>
      </c>
      <c r="Z164" s="181">
        <f t="shared" si="98"/>
        <v>90.923712703618264</v>
      </c>
      <c r="AA164" s="25">
        <f t="shared" si="99"/>
        <v>87494012.349999994</v>
      </c>
      <c r="AB164" s="25">
        <f t="shared" si="74"/>
        <v>96356027</v>
      </c>
      <c r="AC164" s="198"/>
    </row>
    <row r="165" spans="1:29" s="31" customFormat="1" ht="47.25" hidden="1" customHeight="1" x14ac:dyDescent="0.25">
      <c r="A165" s="22" t="s">
        <v>466</v>
      </c>
      <c r="B165" s="23">
        <v>7700</v>
      </c>
      <c r="C165" s="22" t="s">
        <v>89</v>
      </c>
      <c r="D165" s="33" t="s">
        <v>348</v>
      </c>
      <c r="E165" s="25">
        <f t="shared" si="71"/>
        <v>0</v>
      </c>
      <c r="F165" s="25"/>
      <c r="G165" s="25"/>
      <c r="H165" s="25"/>
      <c r="I165" s="25"/>
      <c r="J165" s="25"/>
      <c r="K165" s="25"/>
      <c r="L165" s="25"/>
      <c r="M165" s="181" t="e">
        <f t="shared" si="96"/>
        <v>#DIV/0!</v>
      </c>
      <c r="N165" s="25">
        <f t="shared" si="75"/>
        <v>0</v>
      </c>
      <c r="O165" s="25"/>
      <c r="P165" s="25"/>
      <c r="Q165" s="25"/>
      <c r="R165" s="25"/>
      <c r="S165" s="25"/>
      <c r="T165" s="15">
        <f t="shared" si="97"/>
        <v>0</v>
      </c>
      <c r="U165" s="25"/>
      <c r="V165" s="25"/>
      <c r="W165" s="25"/>
      <c r="X165" s="25"/>
      <c r="Y165" s="25"/>
      <c r="Z165" s="181" t="e">
        <f t="shared" si="98"/>
        <v>#DIV/0!</v>
      </c>
      <c r="AA165" s="25">
        <f t="shared" si="99"/>
        <v>0</v>
      </c>
      <c r="AB165" s="25">
        <f t="shared" si="74"/>
        <v>0</v>
      </c>
      <c r="AC165" s="198"/>
    </row>
    <row r="166" spans="1:29" s="31" customFormat="1" ht="47.25" hidden="1" customHeight="1" x14ac:dyDescent="0.25">
      <c r="A166" s="22" t="s">
        <v>573</v>
      </c>
      <c r="B166" s="23" t="str">
        <f>'дод 5'!A301</f>
        <v>7693</v>
      </c>
      <c r="C166" s="23" t="str">
        <f>'дод 5'!B301</f>
        <v>0490</v>
      </c>
      <c r="D166" s="36" t="str">
        <f>'дод 5'!C301</f>
        <v>Інші заходи, пов'язані з економічною діяльністю, у т.ч. за рахунок:</v>
      </c>
      <c r="E166" s="25">
        <f t="shared" si="71"/>
        <v>0</v>
      </c>
      <c r="F166" s="46"/>
      <c r="G166" s="25"/>
      <c r="H166" s="25"/>
      <c r="I166" s="25"/>
      <c r="J166" s="25"/>
      <c r="K166" s="25"/>
      <c r="L166" s="25"/>
      <c r="M166" s="181" t="e">
        <f t="shared" si="96"/>
        <v>#DIV/0!</v>
      </c>
      <c r="N166" s="25">
        <f t="shared" si="75"/>
        <v>0</v>
      </c>
      <c r="O166" s="25"/>
      <c r="P166" s="25"/>
      <c r="Q166" s="25"/>
      <c r="R166" s="25"/>
      <c r="S166" s="25"/>
      <c r="T166" s="15">
        <f t="shared" si="97"/>
        <v>0</v>
      </c>
      <c r="U166" s="25"/>
      <c r="V166" s="25"/>
      <c r="W166" s="25"/>
      <c r="X166" s="25"/>
      <c r="Y166" s="25"/>
      <c r="Z166" s="181" t="e">
        <f t="shared" si="98"/>
        <v>#DIV/0!</v>
      </c>
      <c r="AA166" s="25">
        <f t="shared" si="99"/>
        <v>0</v>
      </c>
      <c r="AB166" s="25">
        <f t="shared" si="74"/>
        <v>0</v>
      </c>
      <c r="AC166" s="198"/>
    </row>
    <row r="167" spans="1:29" s="31" customFormat="1" ht="65.25" hidden="1" customHeight="1" x14ac:dyDescent="0.25">
      <c r="A167" s="22" t="s">
        <v>466</v>
      </c>
      <c r="B167" s="23">
        <f>'дод 5'!A303</f>
        <v>7700</v>
      </c>
      <c r="C167" s="23" t="str">
        <f>'дод 5'!B303</f>
        <v>0133</v>
      </c>
      <c r="D167" s="36" t="str">
        <f>'дод 5'!C303</f>
        <v>Реалізація програм допомоги і грантів Європейського Союзу, урядів іноземних держав, міжнародних організацій, донорських установ, у т.ч. за рахунок:</v>
      </c>
      <c r="E167" s="25">
        <f t="shared" si="71"/>
        <v>0</v>
      </c>
      <c r="F167" s="46"/>
      <c r="G167" s="25"/>
      <c r="H167" s="25"/>
      <c r="I167" s="25"/>
      <c r="J167" s="25"/>
      <c r="K167" s="25"/>
      <c r="L167" s="25"/>
      <c r="M167" s="181" t="e">
        <f t="shared" si="96"/>
        <v>#DIV/0!</v>
      </c>
      <c r="N167" s="25">
        <f>P167+S167</f>
        <v>0</v>
      </c>
      <c r="O167" s="25"/>
      <c r="P167" s="25"/>
      <c r="Q167" s="25"/>
      <c r="R167" s="25"/>
      <c r="S167" s="25"/>
      <c r="T167" s="15">
        <f t="shared" si="97"/>
        <v>0</v>
      </c>
      <c r="U167" s="25"/>
      <c r="V167" s="25"/>
      <c r="W167" s="25"/>
      <c r="X167" s="25"/>
      <c r="Y167" s="25"/>
      <c r="Z167" s="181" t="e">
        <f t="shared" si="98"/>
        <v>#DIV/0!</v>
      </c>
      <c r="AA167" s="25">
        <f t="shared" si="99"/>
        <v>0</v>
      </c>
      <c r="AB167" s="25">
        <f t="shared" si="74"/>
        <v>0</v>
      </c>
      <c r="AC167" s="198"/>
    </row>
    <row r="168" spans="1:29" s="31" customFormat="1" ht="23.25" hidden="1" customHeight="1" x14ac:dyDescent="0.25">
      <c r="A168" s="22"/>
      <c r="B168" s="23"/>
      <c r="C168" s="23"/>
      <c r="D168" s="29" t="s">
        <v>597</v>
      </c>
      <c r="E168" s="25">
        <f t="shared" si="71"/>
        <v>0</v>
      </c>
      <c r="F168" s="46"/>
      <c r="G168" s="25"/>
      <c r="H168" s="25"/>
      <c r="I168" s="25"/>
      <c r="J168" s="25"/>
      <c r="K168" s="25"/>
      <c r="L168" s="25"/>
      <c r="M168" s="181" t="e">
        <f t="shared" si="96"/>
        <v>#DIV/0!</v>
      </c>
      <c r="N168" s="30">
        <f>P168+S168</f>
        <v>0</v>
      </c>
      <c r="O168" s="25"/>
      <c r="P168" s="30"/>
      <c r="Q168" s="25"/>
      <c r="R168" s="25"/>
      <c r="S168" s="30"/>
      <c r="T168" s="15">
        <f t="shared" si="97"/>
        <v>0</v>
      </c>
      <c r="U168" s="30"/>
      <c r="V168" s="30"/>
      <c r="W168" s="30"/>
      <c r="X168" s="30"/>
      <c r="Y168" s="30"/>
      <c r="Z168" s="181" t="e">
        <f t="shared" si="98"/>
        <v>#DIV/0!</v>
      </c>
      <c r="AA168" s="25">
        <f t="shared" si="99"/>
        <v>0</v>
      </c>
      <c r="AB168" s="30">
        <f t="shared" si="74"/>
        <v>0</v>
      </c>
      <c r="AC168" s="198"/>
    </row>
    <row r="169" spans="1:29" s="31" customFormat="1" ht="31.15" customHeight="1" x14ac:dyDescent="0.25">
      <c r="A169" s="22" t="s">
        <v>616</v>
      </c>
      <c r="B169" s="23">
        <v>8240</v>
      </c>
      <c r="C169" s="23" t="str">
        <f>'дод 5'!B322</f>
        <v>0380</v>
      </c>
      <c r="D169" s="36" t="s">
        <v>566</v>
      </c>
      <c r="E169" s="25">
        <f t="shared" si="71"/>
        <v>14820000</v>
      </c>
      <c r="F169" s="47">
        <v>14820000</v>
      </c>
      <c r="G169" s="25"/>
      <c r="H169" s="25">
        <v>1860000</v>
      </c>
      <c r="I169" s="25"/>
      <c r="J169" s="25">
        <v>12857387.800000001</v>
      </c>
      <c r="K169" s="25"/>
      <c r="L169" s="25">
        <v>1711803.14</v>
      </c>
      <c r="M169" s="181">
        <f t="shared" si="96"/>
        <v>86.757002699055334</v>
      </c>
      <c r="N169" s="25">
        <f t="shared" si="75"/>
        <v>0</v>
      </c>
      <c r="O169" s="25"/>
      <c r="P169" s="25"/>
      <c r="Q169" s="25"/>
      <c r="R169" s="25"/>
      <c r="S169" s="25"/>
      <c r="T169" s="15">
        <f t="shared" si="97"/>
        <v>419132.74</v>
      </c>
      <c r="U169" s="25"/>
      <c r="V169" s="25">
        <v>419132.74</v>
      </c>
      <c r="W169" s="25"/>
      <c r="X169" s="25"/>
      <c r="Y169" s="25"/>
      <c r="Z169" s="181"/>
      <c r="AA169" s="25">
        <f t="shared" si="99"/>
        <v>13276520.540000001</v>
      </c>
      <c r="AB169" s="25">
        <f t="shared" si="74"/>
        <v>14820000</v>
      </c>
      <c r="AC169" s="198"/>
    </row>
    <row r="170" spans="1:29" s="31" customFormat="1" ht="36" customHeight="1" x14ac:dyDescent="0.25">
      <c r="A170" s="22" t="s">
        <v>464</v>
      </c>
      <c r="B170" s="23">
        <v>8340</v>
      </c>
      <c r="C170" s="22" t="s">
        <v>88</v>
      </c>
      <c r="D170" s="33" t="str">
        <f>'дод 5'!C327</f>
        <v>Природоохоронні заходи за рахунок цільових фондів</v>
      </c>
      <c r="E170" s="25">
        <f t="shared" si="71"/>
        <v>0</v>
      </c>
      <c r="F170" s="25"/>
      <c r="G170" s="25"/>
      <c r="H170" s="25"/>
      <c r="I170" s="25"/>
      <c r="J170" s="25"/>
      <c r="K170" s="25"/>
      <c r="L170" s="25"/>
      <c r="M170" s="181"/>
      <c r="N170" s="25">
        <f t="shared" si="75"/>
        <v>681500</v>
      </c>
      <c r="O170" s="25"/>
      <c r="P170" s="25">
        <v>539500</v>
      </c>
      <c r="Q170" s="25"/>
      <c r="R170" s="25"/>
      <c r="S170" s="25">
        <v>142000</v>
      </c>
      <c r="T170" s="15">
        <f t="shared" si="97"/>
        <v>467535.85</v>
      </c>
      <c r="U170" s="25"/>
      <c r="V170" s="25">
        <v>325535.84999999998</v>
      </c>
      <c r="W170" s="25"/>
      <c r="X170" s="25"/>
      <c r="Y170" s="25">
        <v>142000</v>
      </c>
      <c r="Z170" s="181">
        <f t="shared" si="98"/>
        <v>68.603939838591344</v>
      </c>
      <c r="AA170" s="25">
        <f t="shared" si="99"/>
        <v>467535.85</v>
      </c>
      <c r="AB170" s="25">
        <f t="shared" si="74"/>
        <v>681500</v>
      </c>
      <c r="AC170" s="198"/>
    </row>
    <row r="171" spans="1:29" s="31" customFormat="1" ht="47.25" hidden="1" customHeight="1" x14ac:dyDescent="0.25">
      <c r="A171" s="22" t="s">
        <v>487</v>
      </c>
      <c r="B171" s="23">
        <v>9320</v>
      </c>
      <c r="C171" s="22" t="s">
        <v>43</v>
      </c>
      <c r="D171" s="35" t="s">
        <v>526</v>
      </c>
      <c r="E171" s="25">
        <f t="shared" ref="E171:E174" si="114">F171+I171</f>
        <v>0</v>
      </c>
      <c r="F171" s="25"/>
      <c r="G171" s="25"/>
      <c r="H171" s="25"/>
      <c r="I171" s="25"/>
      <c r="J171" s="25"/>
      <c r="K171" s="25"/>
      <c r="L171" s="25"/>
      <c r="M171" s="181" t="e">
        <f t="shared" si="96"/>
        <v>#DIV/0!</v>
      </c>
      <c r="N171" s="25">
        <f t="shared" si="75"/>
        <v>0</v>
      </c>
      <c r="O171" s="25"/>
      <c r="P171" s="25"/>
      <c r="Q171" s="25"/>
      <c r="R171" s="25"/>
      <c r="S171" s="25"/>
      <c r="T171" s="15">
        <f t="shared" si="97"/>
        <v>0</v>
      </c>
      <c r="U171" s="25"/>
      <c r="V171" s="25"/>
      <c r="W171" s="25"/>
      <c r="X171" s="25"/>
      <c r="Y171" s="25"/>
      <c r="Z171" s="181" t="e">
        <f t="shared" si="98"/>
        <v>#DIV/0!</v>
      </c>
      <c r="AA171" s="25">
        <f t="shared" si="99"/>
        <v>0</v>
      </c>
      <c r="AB171" s="25">
        <f t="shared" si="74"/>
        <v>0</v>
      </c>
      <c r="AC171" s="198"/>
    </row>
    <row r="172" spans="1:29" s="31" customFormat="1" ht="31.5" hidden="1" customHeight="1" x14ac:dyDescent="0.25">
      <c r="A172" s="27"/>
      <c r="B172" s="28"/>
      <c r="C172" s="27"/>
      <c r="D172" s="29" t="s">
        <v>483</v>
      </c>
      <c r="E172" s="30">
        <f t="shared" si="114"/>
        <v>0</v>
      </c>
      <c r="F172" s="30"/>
      <c r="G172" s="30"/>
      <c r="H172" s="30"/>
      <c r="I172" s="30"/>
      <c r="J172" s="30"/>
      <c r="K172" s="30"/>
      <c r="L172" s="30"/>
      <c r="M172" s="182" t="e">
        <f t="shared" si="96"/>
        <v>#DIV/0!</v>
      </c>
      <c r="N172" s="30">
        <f t="shared" si="75"/>
        <v>0</v>
      </c>
      <c r="O172" s="30"/>
      <c r="P172" s="30"/>
      <c r="Q172" s="30"/>
      <c r="R172" s="30"/>
      <c r="S172" s="30"/>
      <c r="T172" s="15">
        <f t="shared" si="97"/>
        <v>0</v>
      </c>
      <c r="U172" s="30"/>
      <c r="V172" s="30"/>
      <c r="W172" s="30"/>
      <c r="X172" s="30"/>
      <c r="Y172" s="30"/>
      <c r="Z172" s="182" t="e">
        <f t="shared" si="98"/>
        <v>#DIV/0!</v>
      </c>
      <c r="AA172" s="30">
        <f t="shared" si="99"/>
        <v>0</v>
      </c>
      <c r="AB172" s="30">
        <f t="shared" si="74"/>
        <v>0</v>
      </c>
      <c r="AC172" s="198"/>
    </row>
    <row r="173" spans="1:29" s="31" customFormat="1" ht="22.5" hidden="1" customHeight="1" x14ac:dyDescent="0.25">
      <c r="A173" s="22" t="s">
        <v>465</v>
      </c>
      <c r="B173" s="23">
        <v>9770</v>
      </c>
      <c r="C173" s="22" t="s">
        <v>43</v>
      </c>
      <c r="D173" s="35" t="str">
        <f>'дод 5'!C346</f>
        <v>Інші субвенції з місцевого бюджету</v>
      </c>
      <c r="E173" s="25">
        <f t="shared" ref="E173" si="115">F173+I173</f>
        <v>0</v>
      </c>
      <c r="F173" s="25"/>
      <c r="G173" s="25"/>
      <c r="H173" s="25"/>
      <c r="I173" s="25"/>
      <c r="J173" s="25"/>
      <c r="K173" s="25"/>
      <c r="L173" s="25"/>
      <c r="M173" s="181" t="e">
        <f t="shared" si="96"/>
        <v>#DIV/0!</v>
      </c>
      <c r="N173" s="25">
        <f t="shared" ref="N173" si="116">P173+S173</f>
        <v>0</v>
      </c>
      <c r="O173" s="25"/>
      <c r="P173" s="25"/>
      <c r="Q173" s="25"/>
      <c r="R173" s="25"/>
      <c r="S173" s="25"/>
      <c r="T173" s="15">
        <f t="shared" si="97"/>
        <v>0</v>
      </c>
      <c r="U173" s="25"/>
      <c r="V173" s="25"/>
      <c r="W173" s="25"/>
      <c r="X173" s="25"/>
      <c r="Y173" s="25"/>
      <c r="Z173" s="181" t="e">
        <f t="shared" si="98"/>
        <v>#DIV/0!</v>
      </c>
      <c r="AA173" s="25">
        <f t="shared" si="99"/>
        <v>0</v>
      </c>
      <c r="AB173" s="25">
        <f t="shared" ref="AB173" si="117">E173+N173</f>
        <v>0</v>
      </c>
      <c r="AC173" s="198"/>
    </row>
    <row r="174" spans="1:29" s="31" customFormat="1" ht="48.75" hidden="1" customHeight="1" x14ac:dyDescent="0.25">
      <c r="A174" s="22" t="s">
        <v>479</v>
      </c>
      <c r="B174" s="23">
        <v>9800</v>
      </c>
      <c r="C174" s="22" t="s">
        <v>43</v>
      </c>
      <c r="D174" s="35" t="s">
        <v>353</v>
      </c>
      <c r="E174" s="25">
        <f t="shared" si="114"/>
        <v>0</v>
      </c>
      <c r="F174" s="25"/>
      <c r="G174" s="25"/>
      <c r="H174" s="25"/>
      <c r="I174" s="25"/>
      <c r="J174" s="25"/>
      <c r="K174" s="25"/>
      <c r="L174" s="25"/>
      <c r="M174" s="181" t="e">
        <f t="shared" si="96"/>
        <v>#DIV/0!</v>
      </c>
      <c r="N174" s="25">
        <f t="shared" si="75"/>
        <v>0</v>
      </c>
      <c r="O174" s="25"/>
      <c r="P174" s="25"/>
      <c r="Q174" s="25"/>
      <c r="R174" s="25"/>
      <c r="S174" s="25"/>
      <c r="T174" s="15">
        <f t="shared" si="97"/>
        <v>0</v>
      </c>
      <c r="U174" s="25"/>
      <c r="V174" s="25"/>
      <c r="W174" s="25"/>
      <c r="X174" s="25"/>
      <c r="Y174" s="25"/>
      <c r="Z174" s="181" t="e">
        <f t="shared" si="98"/>
        <v>#DIV/0!</v>
      </c>
      <c r="AA174" s="25">
        <f t="shared" si="99"/>
        <v>0</v>
      </c>
      <c r="AB174" s="25">
        <f t="shared" si="74"/>
        <v>0</v>
      </c>
      <c r="AC174" s="198"/>
    </row>
    <row r="175" spans="1:29" s="16" customFormat="1" ht="33.75" customHeight="1" x14ac:dyDescent="0.25">
      <c r="A175" s="37" t="s">
        <v>161</v>
      </c>
      <c r="B175" s="38"/>
      <c r="C175" s="38"/>
      <c r="D175" s="39" t="s">
        <v>433</v>
      </c>
      <c r="E175" s="15">
        <f>E176</f>
        <v>130464924.34999999</v>
      </c>
      <c r="F175" s="15">
        <f t="shared" ref="F175:AA175" si="118">F176</f>
        <v>130079135</v>
      </c>
      <c r="G175" s="15">
        <f t="shared" si="118"/>
        <v>5280100</v>
      </c>
      <c r="H175" s="15">
        <f t="shared" si="118"/>
        <v>226600</v>
      </c>
      <c r="I175" s="15">
        <f t="shared" si="118"/>
        <v>385789.35</v>
      </c>
      <c r="J175" s="15">
        <f t="shared" si="118"/>
        <v>126272900.45</v>
      </c>
      <c r="K175" s="15">
        <f t="shared" si="118"/>
        <v>5273068.5</v>
      </c>
      <c r="L175" s="15">
        <f t="shared" si="118"/>
        <v>192540.36</v>
      </c>
      <c r="M175" s="121">
        <f t="shared" si="96"/>
        <v>96.786857524437764</v>
      </c>
      <c r="N175" s="15">
        <f t="shared" si="118"/>
        <v>120380793</v>
      </c>
      <c r="O175" s="15">
        <f t="shared" si="118"/>
        <v>120380793</v>
      </c>
      <c r="P175" s="15">
        <f t="shared" si="118"/>
        <v>0</v>
      </c>
      <c r="Q175" s="15">
        <f t="shared" si="118"/>
        <v>0</v>
      </c>
      <c r="R175" s="15">
        <f t="shared" si="118"/>
        <v>0</v>
      </c>
      <c r="S175" s="15">
        <f t="shared" si="118"/>
        <v>120380793</v>
      </c>
      <c r="T175" s="15">
        <f t="shared" si="118"/>
        <v>105923247.25</v>
      </c>
      <c r="U175" s="15">
        <f t="shared" si="118"/>
        <v>104737814.61999999</v>
      </c>
      <c r="V175" s="15">
        <f t="shared" si="118"/>
        <v>1185432.6299999999</v>
      </c>
      <c r="W175" s="15">
        <f t="shared" si="118"/>
        <v>0</v>
      </c>
      <c r="X175" s="15">
        <f t="shared" si="118"/>
        <v>0</v>
      </c>
      <c r="Y175" s="15">
        <f t="shared" si="118"/>
        <v>104737814.61999999</v>
      </c>
      <c r="Z175" s="121">
        <f t="shared" si="98"/>
        <v>87.99015574685572</v>
      </c>
      <c r="AA175" s="15">
        <f t="shared" si="118"/>
        <v>232196147.69999999</v>
      </c>
      <c r="AB175" s="15">
        <f t="shared" ref="AB175" si="119">AB176</f>
        <v>250845717.34999999</v>
      </c>
      <c r="AC175" s="198"/>
    </row>
    <row r="176" spans="1:29" s="21" customFormat="1" ht="33" customHeight="1" x14ac:dyDescent="0.25">
      <c r="A176" s="17" t="s">
        <v>162</v>
      </c>
      <c r="B176" s="40"/>
      <c r="C176" s="40"/>
      <c r="D176" s="19" t="s">
        <v>675</v>
      </c>
      <c r="E176" s="20">
        <f t="shared" ref="E176:AB176" si="120">E189+E190+E194+E197+E199+E201+E204+E205+E206+E207+E208+E214+E217+E219+E193+E196+E220+E210+E212</f>
        <v>130464924.34999999</v>
      </c>
      <c r="F176" s="20">
        <f t="shared" ref="F176:AA176" si="121">F189+F190+F194+F197+F199+F201+F204+F205+F206+F207+F208+F214+F217+F219+F193+F196+F220+F210+F212</f>
        <v>130079135</v>
      </c>
      <c r="G176" s="20">
        <f t="shared" si="121"/>
        <v>5280100</v>
      </c>
      <c r="H176" s="20">
        <f t="shared" si="121"/>
        <v>226600</v>
      </c>
      <c r="I176" s="20">
        <f t="shared" si="121"/>
        <v>385789.35</v>
      </c>
      <c r="J176" s="20">
        <f t="shared" si="121"/>
        <v>126272900.45</v>
      </c>
      <c r="K176" s="20">
        <f t="shared" si="121"/>
        <v>5273068.5</v>
      </c>
      <c r="L176" s="20">
        <f t="shared" si="121"/>
        <v>192540.36</v>
      </c>
      <c r="M176" s="187">
        <f t="shared" si="96"/>
        <v>96.786857524437764</v>
      </c>
      <c r="N176" s="20">
        <f t="shared" si="121"/>
        <v>120380793</v>
      </c>
      <c r="O176" s="20">
        <f t="shared" si="121"/>
        <v>120380793</v>
      </c>
      <c r="P176" s="20">
        <f t="shared" si="121"/>
        <v>0</v>
      </c>
      <c r="Q176" s="20">
        <f t="shared" si="121"/>
        <v>0</v>
      </c>
      <c r="R176" s="20">
        <f t="shared" si="121"/>
        <v>0</v>
      </c>
      <c r="S176" s="20">
        <f t="shared" si="121"/>
        <v>120380793</v>
      </c>
      <c r="T176" s="20">
        <f t="shared" si="121"/>
        <v>105923247.25</v>
      </c>
      <c r="U176" s="20">
        <f t="shared" si="121"/>
        <v>104737814.61999999</v>
      </c>
      <c r="V176" s="20">
        <f t="shared" si="121"/>
        <v>1185432.6299999999</v>
      </c>
      <c r="W176" s="20">
        <f t="shared" si="121"/>
        <v>0</v>
      </c>
      <c r="X176" s="20">
        <f t="shared" si="121"/>
        <v>0</v>
      </c>
      <c r="Y176" s="20">
        <f t="shared" si="121"/>
        <v>104737814.61999999</v>
      </c>
      <c r="Z176" s="187">
        <f t="shared" si="98"/>
        <v>87.99015574685572</v>
      </c>
      <c r="AA176" s="20">
        <f t="shared" si="121"/>
        <v>232196147.69999999</v>
      </c>
      <c r="AB176" s="20">
        <f t="shared" si="120"/>
        <v>250845717.34999999</v>
      </c>
      <c r="AC176" s="198"/>
    </row>
    <row r="177" spans="1:29" s="21" customFormat="1" ht="94.5" hidden="1" customHeight="1" x14ac:dyDescent="0.25">
      <c r="A177" s="17"/>
      <c r="B177" s="40"/>
      <c r="C177" s="40"/>
      <c r="D177" s="19" t="s">
        <v>577</v>
      </c>
      <c r="E177" s="20" t="e">
        <f>#REF!</f>
        <v>#REF!</v>
      </c>
      <c r="F177" s="20" t="e">
        <f>#REF!</f>
        <v>#REF!</v>
      </c>
      <c r="G177" s="20" t="e">
        <f>#REF!</f>
        <v>#REF!</v>
      </c>
      <c r="H177" s="20" t="e">
        <f>#REF!</f>
        <v>#REF!</v>
      </c>
      <c r="I177" s="20" t="e">
        <f>#REF!</f>
        <v>#REF!</v>
      </c>
      <c r="J177" s="20" t="e">
        <f>#REF!</f>
        <v>#REF!</v>
      </c>
      <c r="K177" s="20" t="e">
        <f>#REF!</f>
        <v>#REF!</v>
      </c>
      <c r="L177" s="20" t="e">
        <f>#REF!</f>
        <v>#REF!</v>
      </c>
      <c r="M177" s="187" t="e">
        <f t="shared" si="96"/>
        <v>#REF!</v>
      </c>
      <c r="N177" s="20" t="e">
        <f>#REF!</f>
        <v>#REF!</v>
      </c>
      <c r="O177" s="20" t="e">
        <f>#REF!</f>
        <v>#REF!</v>
      </c>
      <c r="P177" s="20" t="e">
        <f>#REF!</f>
        <v>#REF!</v>
      </c>
      <c r="Q177" s="20" t="e">
        <f>#REF!</f>
        <v>#REF!</v>
      </c>
      <c r="R177" s="20" t="e">
        <f>#REF!</f>
        <v>#REF!</v>
      </c>
      <c r="S177" s="20" t="e">
        <f>#REF!</f>
        <v>#REF!</v>
      </c>
      <c r="T177" s="20" t="e">
        <f>#REF!</f>
        <v>#REF!</v>
      </c>
      <c r="U177" s="20" t="e">
        <f>#REF!</f>
        <v>#REF!</v>
      </c>
      <c r="V177" s="20" t="e">
        <f>#REF!</f>
        <v>#REF!</v>
      </c>
      <c r="W177" s="20" t="e">
        <f>#REF!</f>
        <v>#REF!</v>
      </c>
      <c r="X177" s="20" t="e">
        <f>#REF!</f>
        <v>#REF!</v>
      </c>
      <c r="Y177" s="20" t="e">
        <f>#REF!</f>
        <v>#REF!</v>
      </c>
      <c r="Z177" s="187" t="e">
        <f t="shared" si="98"/>
        <v>#REF!</v>
      </c>
      <c r="AA177" s="20" t="e">
        <f>#REF!</f>
        <v>#REF!</v>
      </c>
      <c r="AB177" s="20" t="e">
        <f>#REF!</f>
        <v>#REF!</v>
      </c>
      <c r="AC177" s="198"/>
    </row>
    <row r="178" spans="1:29" s="21" customFormat="1" ht="31.5" hidden="1" customHeight="1" x14ac:dyDescent="0.25">
      <c r="A178" s="17"/>
      <c r="B178" s="40"/>
      <c r="C178" s="40"/>
      <c r="D178" s="19" t="s">
        <v>376</v>
      </c>
      <c r="E178" s="20" t="e">
        <f>#REF!+E195+E198</f>
        <v>#REF!</v>
      </c>
      <c r="F178" s="20" t="e">
        <f>#REF!+F195+F198</f>
        <v>#REF!</v>
      </c>
      <c r="G178" s="20" t="e">
        <f>#REF!+G195+G198</f>
        <v>#REF!</v>
      </c>
      <c r="H178" s="20" t="e">
        <f>#REF!+H195+H198</f>
        <v>#REF!</v>
      </c>
      <c r="I178" s="20" t="e">
        <f>#REF!+I195+I198</f>
        <v>#REF!</v>
      </c>
      <c r="J178" s="20" t="e">
        <f>#REF!+J195+J198</f>
        <v>#REF!</v>
      </c>
      <c r="K178" s="20" t="e">
        <f>#REF!+K195+K198</f>
        <v>#REF!</v>
      </c>
      <c r="L178" s="20" t="e">
        <f>#REF!+L195+L198</f>
        <v>#REF!</v>
      </c>
      <c r="M178" s="187" t="e">
        <f t="shared" si="96"/>
        <v>#REF!</v>
      </c>
      <c r="N178" s="20" t="e">
        <f>#REF!+N195+N198</f>
        <v>#REF!</v>
      </c>
      <c r="O178" s="20" t="e">
        <f>#REF!+O195+O198</f>
        <v>#REF!</v>
      </c>
      <c r="P178" s="20" t="e">
        <f>#REF!+P195+P198</f>
        <v>#REF!</v>
      </c>
      <c r="Q178" s="20" t="e">
        <f>#REF!+Q195+Q198</f>
        <v>#REF!</v>
      </c>
      <c r="R178" s="20" t="e">
        <f>#REF!+R195+R198</f>
        <v>#REF!</v>
      </c>
      <c r="S178" s="20" t="e">
        <f>#REF!+S195+S198</f>
        <v>#REF!</v>
      </c>
      <c r="T178" s="20" t="e">
        <f>#REF!+T195+T198</f>
        <v>#REF!</v>
      </c>
      <c r="U178" s="20" t="e">
        <f>#REF!+U195+U198</f>
        <v>#REF!</v>
      </c>
      <c r="V178" s="20" t="e">
        <f>#REF!+V195+V198</f>
        <v>#REF!</v>
      </c>
      <c r="W178" s="20" t="e">
        <f>#REF!+W195+W198</f>
        <v>#REF!</v>
      </c>
      <c r="X178" s="20" t="e">
        <f>#REF!+X195+X198</f>
        <v>#REF!</v>
      </c>
      <c r="Y178" s="20" t="e">
        <f>#REF!+Y195+Y198</f>
        <v>#REF!</v>
      </c>
      <c r="Z178" s="187" t="e">
        <f t="shared" si="98"/>
        <v>#REF!</v>
      </c>
      <c r="AA178" s="20" t="e">
        <f>#REF!+AA195+AA198</f>
        <v>#REF!</v>
      </c>
      <c r="AB178" s="20" t="e">
        <f>#REF!+AB195+AB198</f>
        <v>#REF!</v>
      </c>
      <c r="AC178" s="198"/>
    </row>
    <row r="179" spans="1:29" s="21" customFormat="1" ht="57" hidden="1" customHeight="1" x14ac:dyDescent="0.25">
      <c r="A179" s="17"/>
      <c r="B179" s="40"/>
      <c r="C179" s="40"/>
      <c r="D179" s="19" t="s">
        <v>374</v>
      </c>
      <c r="E179" s="20">
        <f>E209</f>
        <v>0</v>
      </c>
      <c r="F179" s="20">
        <f t="shared" ref="F179:AA179" si="122">F209</f>
        <v>0</v>
      </c>
      <c r="G179" s="20">
        <f t="shared" si="122"/>
        <v>0</v>
      </c>
      <c r="H179" s="20">
        <f t="shared" si="122"/>
        <v>0</v>
      </c>
      <c r="I179" s="20">
        <f t="shared" si="122"/>
        <v>0</v>
      </c>
      <c r="J179" s="20">
        <f t="shared" si="122"/>
        <v>0</v>
      </c>
      <c r="K179" s="20">
        <f t="shared" si="122"/>
        <v>0</v>
      </c>
      <c r="L179" s="20">
        <f t="shared" si="122"/>
        <v>0</v>
      </c>
      <c r="M179" s="187" t="e">
        <f t="shared" si="96"/>
        <v>#DIV/0!</v>
      </c>
      <c r="N179" s="20">
        <f t="shared" si="122"/>
        <v>0</v>
      </c>
      <c r="O179" s="20">
        <f t="shared" si="122"/>
        <v>0</v>
      </c>
      <c r="P179" s="20">
        <f t="shared" si="122"/>
        <v>0</v>
      </c>
      <c r="Q179" s="20">
        <f t="shared" si="122"/>
        <v>0</v>
      </c>
      <c r="R179" s="20">
        <f t="shared" si="122"/>
        <v>0</v>
      </c>
      <c r="S179" s="20">
        <f t="shared" si="122"/>
        <v>0</v>
      </c>
      <c r="T179" s="20">
        <f t="shared" si="122"/>
        <v>0</v>
      </c>
      <c r="U179" s="20">
        <f t="shared" si="122"/>
        <v>0</v>
      </c>
      <c r="V179" s="20">
        <f t="shared" si="122"/>
        <v>0</v>
      </c>
      <c r="W179" s="20">
        <f t="shared" si="122"/>
        <v>0</v>
      </c>
      <c r="X179" s="20">
        <f t="shared" si="122"/>
        <v>0</v>
      </c>
      <c r="Y179" s="20">
        <f t="shared" si="122"/>
        <v>0</v>
      </c>
      <c r="Z179" s="187" t="e">
        <f t="shared" si="98"/>
        <v>#DIV/0!</v>
      </c>
      <c r="AA179" s="20">
        <f t="shared" si="122"/>
        <v>0</v>
      </c>
      <c r="AB179" s="20">
        <f t="shared" ref="AB179" si="123">AB209</f>
        <v>0</v>
      </c>
      <c r="AC179" s="198"/>
    </row>
    <row r="180" spans="1:29" s="21" customFormat="1" ht="47.25" hidden="1" customHeight="1" x14ac:dyDescent="0.25">
      <c r="A180" s="17"/>
      <c r="B180" s="40"/>
      <c r="C180" s="40"/>
      <c r="D180" s="19" t="s">
        <v>377</v>
      </c>
      <c r="E180" s="20" t="e">
        <f>#REF!+E202</f>
        <v>#REF!</v>
      </c>
      <c r="F180" s="20" t="e">
        <f>#REF!+F202</f>
        <v>#REF!</v>
      </c>
      <c r="G180" s="20" t="e">
        <f>#REF!+G202</f>
        <v>#REF!</v>
      </c>
      <c r="H180" s="20" t="e">
        <f>#REF!+H202</f>
        <v>#REF!</v>
      </c>
      <c r="I180" s="20" t="e">
        <f>#REF!+I202</f>
        <v>#REF!</v>
      </c>
      <c r="J180" s="20" t="e">
        <f>#REF!+J202</f>
        <v>#REF!</v>
      </c>
      <c r="K180" s="20" t="e">
        <f>#REF!+K202</f>
        <v>#REF!</v>
      </c>
      <c r="L180" s="20" t="e">
        <f>#REF!+L202</f>
        <v>#REF!</v>
      </c>
      <c r="M180" s="187" t="e">
        <f t="shared" si="96"/>
        <v>#REF!</v>
      </c>
      <c r="N180" s="20" t="e">
        <f>#REF!+N202</f>
        <v>#REF!</v>
      </c>
      <c r="O180" s="20" t="e">
        <f>#REF!+O202</f>
        <v>#REF!</v>
      </c>
      <c r="P180" s="20" t="e">
        <f>#REF!+P202</f>
        <v>#REF!</v>
      </c>
      <c r="Q180" s="20" t="e">
        <f>#REF!+Q202</f>
        <v>#REF!</v>
      </c>
      <c r="R180" s="20" t="e">
        <f>#REF!+R202</f>
        <v>#REF!</v>
      </c>
      <c r="S180" s="20" t="e">
        <f>#REF!+S202</f>
        <v>#REF!</v>
      </c>
      <c r="T180" s="20" t="e">
        <f>#REF!+T202</f>
        <v>#REF!</v>
      </c>
      <c r="U180" s="20" t="e">
        <f>#REF!+U202</f>
        <v>#REF!</v>
      </c>
      <c r="V180" s="20" t="e">
        <f>#REF!+V202</f>
        <v>#REF!</v>
      </c>
      <c r="W180" s="20" t="e">
        <f>#REF!+W202</f>
        <v>#REF!</v>
      </c>
      <c r="X180" s="20" t="e">
        <f>#REF!+X202</f>
        <v>#REF!</v>
      </c>
      <c r="Y180" s="20" t="e">
        <f>#REF!+Y202</f>
        <v>#REF!</v>
      </c>
      <c r="Z180" s="187" t="e">
        <f t="shared" si="98"/>
        <v>#REF!</v>
      </c>
      <c r="AA180" s="20" t="e">
        <f>#REF!+AA202</f>
        <v>#REF!</v>
      </c>
      <c r="AB180" s="20" t="e">
        <f>#REF!+AB202</f>
        <v>#REF!</v>
      </c>
      <c r="AC180" s="198"/>
    </row>
    <row r="181" spans="1:29" s="21" customFormat="1" ht="63" hidden="1" customHeight="1" x14ac:dyDescent="0.25">
      <c r="A181" s="17"/>
      <c r="B181" s="40"/>
      <c r="C181" s="40"/>
      <c r="D181" s="19" t="s">
        <v>378</v>
      </c>
      <c r="E181" s="20">
        <f>E200+E203</f>
        <v>0</v>
      </c>
      <c r="F181" s="20">
        <f t="shared" ref="F181:AA181" si="124">F200+F203</f>
        <v>0</v>
      </c>
      <c r="G181" s="20">
        <f t="shared" si="124"/>
        <v>0</v>
      </c>
      <c r="H181" s="20">
        <f t="shared" si="124"/>
        <v>0</v>
      </c>
      <c r="I181" s="20">
        <f t="shared" si="124"/>
        <v>0</v>
      </c>
      <c r="J181" s="20">
        <f t="shared" si="124"/>
        <v>0</v>
      </c>
      <c r="K181" s="20">
        <f t="shared" si="124"/>
        <v>0</v>
      </c>
      <c r="L181" s="20">
        <f t="shared" si="124"/>
        <v>0</v>
      </c>
      <c r="M181" s="187" t="e">
        <f t="shared" si="96"/>
        <v>#DIV/0!</v>
      </c>
      <c r="N181" s="20">
        <f t="shared" si="124"/>
        <v>0</v>
      </c>
      <c r="O181" s="20">
        <f t="shared" si="124"/>
        <v>0</v>
      </c>
      <c r="P181" s="20">
        <f t="shared" si="124"/>
        <v>0</v>
      </c>
      <c r="Q181" s="20">
        <f t="shared" si="124"/>
        <v>0</v>
      </c>
      <c r="R181" s="20">
        <f t="shared" si="124"/>
        <v>0</v>
      </c>
      <c r="S181" s="20">
        <f t="shared" si="124"/>
        <v>0</v>
      </c>
      <c r="T181" s="20">
        <f t="shared" si="124"/>
        <v>0</v>
      </c>
      <c r="U181" s="20">
        <f t="shared" si="124"/>
        <v>0</v>
      </c>
      <c r="V181" s="20">
        <f t="shared" si="124"/>
        <v>0</v>
      </c>
      <c r="W181" s="20">
        <f t="shared" si="124"/>
        <v>0</v>
      </c>
      <c r="X181" s="20">
        <f t="shared" si="124"/>
        <v>0</v>
      </c>
      <c r="Y181" s="20">
        <f t="shared" si="124"/>
        <v>0</v>
      </c>
      <c r="Z181" s="187" t="e">
        <f t="shared" si="98"/>
        <v>#DIV/0!</v>
      </c>
      <c r="AA181" s="20">
        <f t="shared" si="124"/>
        <v>0</v>
      </c>
      <c r="AB181" s="20">
        <f t="shared" ref="AB181" si="125">AB200+AB203</f>
        <v>0</v>
      </c>
      <c r="AC181" s="198"/>
    </row>
    <row r="182" spans="1:29" s="21" customFormat="1" ht="53.25" hidden="1" customHeight="1" x14ac:dyDescent="0.25">
      <c r="A182" s="17"/>
      <c r="B182" s="40"/>
      <c r="C182" s="40"/>
      <c r="D182" s="19" t="s">
        <v>374</v>
      </c>
      <c r="E182" s="20">
        <f>E209</f>
        <v>0</v>
      </c>
      <c r="F182" s="20">
        <f t="shared" ref="F182:AA182" si="126">F209</f>
        <v>0</v>
      </c>
      <c r="G182" s="20">
        <f t="shared" si="126"/>
        <v>0</v>
      </c>
      <c r="H182" s="20">
        <f t="shared" si="126"/>
        <v>0</v>
      </c>
      <c r="I182" s="20">
        <f t="shared" si="126"/>
        <v>0</v>
      </c>
      <c r="J182" s="20">
        <f t="shared" si="126"/>
        <v>0</v>
      </c>
      <c r="K182" s="20">
        <f t="shared" si="126"/>
        <v>0</v>
      </c>
      <c r="L182" s="20">
        <f t="shared" si="126"/>
        <v>0</v>
      </c>
      <c r="M182" s="187" t="e">
        <f t="shared" si="96"/>
        <v>#DIV/0!</v>
      </c>
      <c r="N182" s="20">
        <f t="shared" si="126"/>
        <v>0</v>
      </c>
      <c r="O182" s="20">
        <f t="shared" si="126"/>
        <v>0</v>
      </c>
      <c r="P182" s="20">
        <f t="shared" si="126"/>
        <v>0</v>
      </c>
      <c r="Q182" s="20">
        <f t="shared" si="126"/>
        <v>0</v>
      </c>
      <c r="R182" s="20">
        <f t="shared" si="126"/>
        <v>0</v>
      </c>
      <c r="S182" s="20">
        <f t="shared" si="126"/>
        <v>0</v>
      </c>
      <c r="T182" s="20">
        <f t="shared" si="126"/>
        <v>0</v>
      </c>
      <c r="U182" s="20">
        <f t="shared" si="126"/>
        <v>0</v>
      </c>
      <c r="V182" s="20">
        <f t="shared" si="126"/>
        <v>0</v>
      </c>
      <c r="W182" s="20">
        <f t="shared" si="126"/>
        <v>0</v>
      </c>
      <c r="X182" s="20">
        <f t="shared" si="126"/>
        <v>0</v>
      </c>
      <c r="Y182" s="20">
        <f t="shared" si="126"/>
        <v>0</v>
      </c>
      <c r="Z182" s="187" t="e">
        <f t="shared" si="98"/>
        <v>#DIV/0!</v>
      </c>
      <c r="AA182" s="20">
        <f t="shared" si="126"/>
        <v>0</v>
      </c>
      <c r="AB182" s="20">
        <f t="shared" ref="AB182" si="127">AB209</f>
        <v>0</v>
      </c>
      <c r="AC182" s="198"/>
    </row>
    <row r="183" spans="1:29" s="21" customFormat="1" ht="15.75" hidden="1" customHeight="1" x14ac:dyDescent="0.25">
      <c r="A183" s="17"/>
      <c r="B183" s="40"/>
      <c r="C183" s="40"/>
      <c r="D183" s="19" t="s">
        <v>379</v>
      </c>
      <c r="E183" s="20" t="e">
        <f>#REF!</f>
        <v>#REF!</v>
      </c>
      <c r="F183" s="20" t="e">
        <f>#REF!</f>
        <v>#REF!</v>
      </c>
      <c r="G183" s="20" t="e">
        <f>#REF!</f>
        <v>#REF!</v>
      </c>
      <c r="H183" s="20" t="e">
        <f>#REF!</f>
        <v>#REF!</v>
      </c>
      <c r="I183" s="20" t="e">
        <f>#REF!</f>
        <v>#REF!</v>
      </c>
      <c r="J183" s="20" t="e">
        <f>#REF!</f>
        <v>#REF!</v>
      </c>
      <c r="K183" s="20" t="e">
        <f>#REF!</f>
        <v>#REF!</v>
      </c>
      <c r="L183" s="20" t="e">
        <f>#REF!</f>
        <v>#REF!</v>
      </c>
      <c r="M183" s="187" t="e">
        <f t="shared" si="96"/>
        <v>#REF!</v>
      </c>
      <c r="N183" s="20" t="e">
        <f>#REF!</f>
        <v>#REF!</v>
      </c>
      <c r="O183" s="20" t="e">
        <f>#REF!</f>
        <v>#REF!</v>
      </c>
      <c r="P183" s="20" t="e">
        <f>#REF!</f>
        <v>#REF!</v>
      </c>
      <c r="Q183" s="20" t="e">
        <f>#REF!</f>
        <v>#REF!</v>
      </c>
      <c r="R183" s="20" t="e">
        <f>#REF!</f>
        <v>#REF!</v>
      </c>
      <c r="S183" s="20" t="e">
        <f>#REF!</f>
        <v>#REF!</v>
      </c>
      <c r="T183" s="20" t="e">
        <f>#REF!</f>
        <v>#REF!</v>
      </c>
      <c r="U183" s="20" t="e">
        <f>#REF!</f>
        <v>#REF!</v>
      </c>
      <c r="V183" s="20" t="e">
        <f>#REF!</f>
        <v>#REF!</v>
      </c>
      <c r="W183" s="20" t="e">
        <f>#REF!</f>
        <v>#REF!</v>
      </c>
      <c r="X183" s="20" t="e">
        <f>#REF!</f>
        <v>#REF!</v>
      </c>
      <c r="Y183" s="20" t="e">
        <f>#REF!</f>
        <v>#REF!</v>
      </c>
      <c r="Z183" s="187" t="e">
        <f t="shared" si="98"/>
        <v>#REF!</v>
      </c>
      <c r="AA183" s="20" t="e">
        <f>#REF!</f>
        <v>#REF!</v>
      </c>
      <c r="AB183" s="20" t="e">
        <f>#REF!</f>
        <v>#REF!</v>
      </c>
      <c r="AC183" s="198"/>
    </row>
    <row r="184" spans="1:29" s="21" customFormat="1" ht="15.75" hidden="1" customHeight="1" x14ac:dyDescent="0.25">
      <c r="A184" s="17"/>
      <c r="B184" s="40"/>
      <c r="C184" s="40"/>
      <c r="D184" s="19" t="s">
        <v>399</v>
      </c>
      <c r="E184" s="20">
        <f>E215</f>
        <v>0</v>
      </c>
      <c r="F184" s="20">
        <f t="shared" ref="F184:AA184" si="128">F215</f>
        <v>0</v>
      </c>
      <c r="G184" s="20">
        <f t="shared" si="128"/>
        <v>0</v>
      </c>
      <c r="H184" s="20">
        <f t="shared" si="128"/>
        <v>0</v>
      </c>
      <c r="I184" s="20">
        <f t="shared" si="128"/>
        <v>0</v>
      </c>
      <c r="J184" s="20">
        <f t="shared" si="128"/>
        <v>0</v>
      </c>
      <c r="K184" s="20">
        <f t="shared" si="128"/>
        <v>0</v>
      </c>
      <c r="L184" s="20">
        <f t="shared" si="128"/>
        <v>0</v>
      </c>
      <c r="M184" s="187" t="e">
        <f t="shared" si="96"/>
        <v>#DIV/0!</v>
      </c>
      <c r="N184" s="20">
        <f t="shared" si="128"/>
        <v>0</v>
      </c>
      <c r="O184" s="20">
        <f t="shared" si="128"/>
        <v>0</v>
      </c>
      <c r="P184" s="20">
        <f t="shared" si="128"/>
        <v>0</v>
      </c>
      <c r="Q184" s="20">
        <f t="shared" si="128"/>
        <v>0</v>
      </c>
      <c r="R184" s="20">
        <f t="shared" si="128"/>
        <v>0</v>
      </c>
      <c r="S184" s="20">
        <f t="shared" si="128"/>
        <v>0</v>
      </c>
      <c r="T184" s="20">
        <f t="shared" si="128"/>
        <v>0</v>
      </c>
      <c r="U184" s="20">
        <f t="shared" si="128"/>
        <v>0</v>
      </c>
      <c r="V184" s="20">
        <f t="shared" si="128"/>
        <v>0</v>
      </c>
      <c r="W184" s="20">
        <f t="shared" si="128"/>
        <v>0</v>
      </c>
      <c r="X184" s="20">
        <f t="shared" si="128"/>
        <v>0</v>
      </c>
      <c r="Y184" s="20">
        <f t="shared" si="128"/>
        <v>0</v>
      </c>
      <c r="Z184" s="187" t="e">
        <f t="shared" si="98"/>
        <v>#DIV/0!</v>
      </c>
      <c r="AA184" s="20">
        <f t="shared" si="128"/>
        <v>0</v>
      </c>
      <c r="AB184" s="20">
        <f t="shared" ref="AB184" si="129">AB215</f>
        <v>0</v>
      </c>
      <c r="AC184" s="198"/>
    </row>
    <row r="185" spans="1:29" s="21" customFormat="1" ht="47.25" x14ac:dyDescent="0.25">
      <c r="A185" s="17"/>
      <c r="B185" s="40"/>
      <c r="C185" s="40"/>
      <c r="D185" s="19" t="str">
        <f>D213</f>
        <v>субвенції з державного бюджету місцевим бюджетам на облаштування безпечних умов у закладах охорони здоров'я</v>
      </c>
      <c r="E185" s="20">
        <f t="shared" ref="E185:AB185" si="130">E213</f>
        <v>0</v>
      </c>
      <c r="F185" s="20">
        <f t="shared" ref="F185:AA185" si="131">F213</f>
        <v>0</v>
      </c>
      <c r="G185" s="20">
        <f t="shared" si="131"/>
        <v>0</v>
      </c>
      <c r="H185" s="20">
        <f t="shared" si="131"/>
        <v>0</v>
      </c>
      <c r="I185" s="20">
        <f t="shared" si="131"/>
        <v>0</v>
      </c>
      <c r="J185" s="20">
        <f t="shared" si="131"/>
        <v>0</v>
      </c>
      <c r="K185" s="20">
        <f t="shared" si="131"/>
        <v>0</v>
      </c>
      <c r="L185" s="20">
        <f t="shared" si="131"/>
        <v>0</v>
      </c>
      <c r="M185" s="187"/>
      <c r="N185" s="20">
        <f t="shared" si="131"/>
        <v>31936617</v>
      </c>
      <c r="O185" s="20">
        <f t="shared" si="131"/>
        <v>31936617</v>
      </c>
      <c r="P185" s="20">
        <f t="shared" si="131"/>
        <v>0</v>
      </c>
      <c r="Q185" s="20">
        <f t="shared" si="131"/>
        <v>0</v>
      </c>
      <c r="R185" s="20">
        <f t="shared" si="131"/>
        <v>0</v>
      </c>
      <c r="S185" s="20">
        <f t="shared" si="131"/>
        <v>31936617</v>
      </c>
      <c r="T185" s="20">
        <f t="shared" si="131"/>
        <v>21578844.859999999</v>
      </c>
      <c r="U185" s="20">
        <f t="shared" si="131"/>
        <v>21578844.859999999</v>
      </c>
      <c r="V185" s="20">
        <f t="shared" si="131"/>
        <v>0</v>
      </c>
      <c r="W185" s="20">
        <f t="shared" si="131"/>
        <v>0</v>
      </c>
      <c r="X185" s="20">
        <f t="shared" si="131"/>
        <v>0</v>
      </c>
      <c r="Y185" s="20">
        <f t="shared" si="131"/>
        <v>21578844.859999999</v>
      </c>
      <c r="Z185" s="187">
        <f t="shared" si="98"/>
        <v>67.567722843029983</v>
      </c>
      <c r="AA185" s="20">
        <f t="shared" si="131"/>
        <v>21578844.859999999</v>
      </c>
      <c r="AB185" s="20">
        <f t="shared" si="130"/>
        <v>31936617</v>
      </c>
      <c r="AC185" s="198"/>
    </row>
    <row r="186" spans="1:29" s="21" customFormat="1" ht="126" x14ac:dyDescent="0.25">
      <c r="A186" s="17"/>
      <c r="B186" s="40"/>
      <c r="C186" s="40"/>
      <c r="D186" s="19" t="str">
        <f>D191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86" s="20">
        <f>E191+E211</f>
        <v>1788294</v>
      </c>
      <c r="F186" s="20">
        <f t="shared" ref="F186:AA186" si="132">F191+F211</f>
        <v>1788294</v>
      </c>
      <c r="G186" s="20">
        <f t="shared" si="132"/>
        <v>0</v>
      </c>
      <c r="H186" s="20">
        <f t="shared" si="132"/>
        <v>0</v>
      </c>
      <c r="I186" s="20">
        <f t="shared" si="132"/>
        <v>0</v>
      </c>
      <c r="J186" s="20">
        <f t="shared" si="132"/>
        <v>1760140.42</v>
      </c>
      <c r="K186" s="20">
        <f t="shared" si="132"/>
        <v>0</v>
      </c>
      <c r="L186" s="20">
        <f t="shared" si="132"/>
        <v>0</v>
      </c>
      <c r="M186" s="187">
        <f t="shared" si="96"/>
        <v>98.425673854522799</v>
      </c>
      <c r="N186" s="20">
        <f t="shared" si="132"/>
        <v>1764776</v>
      </c>
      <c r="O186" s="20">
        <f t="shared" si="132"/>
        <v>1764776</v>
      </c>
      <c r="P186" s="20">
        <f t="shared" si="132"/>
        <v>0</v>
      </c>
      <c r="Q186" s="20">
        <f t="shared" si="132"/>
        <v>0</v>
      </c>
      <c r="R186" s="20">
        <f t="shared" si="132"/>
        <v>0</v>
      </c>
      <c r="S186" s="20">
        <f t="shared" si="132"/>
        <v>1764776</v>
      </c>
      <c r="T186" s="20">
        <f t="shared" si="132"/>
        <v>1764776</v>
      </c>
      <c r="U186" s="20">
        <f t="shared" si="132"/>
        <v>1764776</v>
      </c>
      <c r="V186" s="20">
        <f t="shared" si="132"/>
        <v>0</v>
      </c>
      <c r="W186" s="20">
        <f t="shared" si="132"/>
        <v>0</v>
      </c>
      <c r="X186" s="20">
        <f t="shared" si="132"/>
        <v>0</v>
      </c>
      <c r="Y186" s="20">
        <f t="shared" si="132"/>
        <v>1764776</v>
      </c>
      <c r="Z186" s="187">
        <f t="shared" si="98"/>
        <v>100</v>
      </c>
      <c r="AA186" s="20">
        <f t="shared" si="132"/>
        <v>3524916.42</v>
      </c>
      <c r="AB186" s="20">
        <f t="shared" ref="AB186" si="133">AB191+AB211</f>
        <v>3553070</v>
      </c>
      <c r="AC186" s="198"/>
    </row>
    <row r="187" spans="1:29" s="21" customFormat="1" ht="15.75" x14ac:dyDescent="0.25">
      <c r="A187" s="17"/>
      <c r="B187" s="40"/>
      <c r="C187" s="40"/>
      <c r="D187" s="54" t="s">
        <v>379</v>
      </c>
      <c r="E187" s="20">
        <f>E192</f>
        <v>300000</v>
      </c>
      <c r="F187" s="20">
        <f t="shared" ref="F187:AA187" si="134">F192</f>
        <v>300000</v>
      </c>
      <c r="G187" s="20">
        <f t="shared" si="134"/>
        <v>0</v>
      </c>
      <c r="H187" s="20">
        <f t="shared" si="134"/>
        <v>0</v>
      </c>
      <c r="I187" s="20">
        <f t="shared" si="134"/>
        <v>0</v>
      </c>
      <c r="J187" s="20">
        <f t="shared" si="134"/>
        <v>299999.95</v>
      </c>
      <c r="K187" s="20">
        <f t="shared" si="134"/>
        <v>0</v>
      </c>
      <c r="L187" s="20">
        <f t="shared" si="134"/>
        <v>0</v>
      </c>
      <c r="M187" s="187">
        <f t="shared" si="96"/>
        <v>99.999983333333347</v>
      </c>
      <c r="N187" s="20">
        <f t="shared" si="134"/>
        <v>100000</v>
      </c>
      <c r="O187" s="20">
        <f t="shared" si="134"/>
        <v>100000</v>
      </c>
      <c r="P187" s="20">
        <f t="shared" si="134"/>
        <v>0</v>
      </c>
      <c r="Q187" s="20">
        <f t="shared" si="134"/>
        <v>0</v>
      </c>
      <c r="R187" s="20">
        <f t="shared" si="134"/>
        <v>0</v>
      </c>
      <c r="S187" s="20">
        <f t="shared" si="134"/>
        <v>100000</v>
      </c>
      <c r="T187" s="20">
        <f t="shared" si="134"/>
        <v>100000</v>
      </c>
      <c r="U187" s="20">
        <f t="shared" si="134"/>
        <v>100000</v>
      </c>
      <c r="V187" s="20">
        <f t="shared" si="134"/>
        <v>0</v>
      </c>
      <c r="W187" s="20">
        <f t="shared" si="134"/>
        <v>0</v>
      </c>
      <c r="X187" s="20">
        <f t="shared" si="134"/>
        <v>0</v>
      </c>
      <c r="Y187" s="20">
        <f t="shared" si="134"/>
        <v>100000</v>
      </c>
      <c r="Z187" s="187">
        <f t="shared" si="98"/>
        <v>100</v>
      </c>
      <c r="AA187" s="20">
        <f t="shared" si="134"/>
        <v>399999.95</v>
      </c>
      <c r="AB187" s="20">
        <f t="shared" ref="AB187" si="135">AB192</f>
        <v>400000</v>
      </c>
      <c r="AC187" s="198"/>
    </row>
    <row r="188" spans="1:29" s="21" customFormat="1" ht="24" hidden="1" customHeight="1" x14ac:dyDescent="0.25">
      <c r="A188" s="17"/>
      <c r="B188" s="40"/>
      <c r="C188" s="40"/>
      <c r="D188" s="19" t="s">
        <v>597</v>
      </c>
      <c r="E188" s="20">
        <f>E216</f>
        <v>0</v>
      </c>
      <c r="F188" s="20">
        <f t="shared" ref="F188:AB188" si="136">F216</f>
        <v>0</v>
      </c>
      <c r="G188" s="20">
        <f t="shared" si="136"/>
        <v>0</v>
      </c>
      <c r="H188" s="20">
        <f t="shared" si="136"/>
        <v>0</v>
      </c>
      <c r="I188" s="20">
        <f t="shared" si="136"/>
        <v>0</v>
      </c>
      <c r="J188" s="20"/>
      <c r="K188" s="20"/>
      <c r="L188" s="20"/>
      <c r="M188" s="187" t="e">
        <f t="shared" si="96"/>
        <v>#DIV/0!</v>
      </c>
      <c r="N188" s="20">
        <f t="shared" si="136"/>
        <v>0</v>
      </c>
      <c r="O188" s="20">
        <f t="shared" si="136"/>
        <v>0</v>
      </c>
      <c r="P188" s="20">
        <f t="shared" si="136"/>
        <v>0</v>
      </c>
      <c r="Q188" s="20">
        <f t="shared" si="136"/>
        <v>0</v>
      </c>
      <c r="R188" s="20">
        <f t="shared" si="136"/>
        <v>0</v>
      </c>
      <c r="S188" s="20">
        <f t="shared" si="136"/>
        <v>0</v>
      </c>
      <c r="T188" s="15">
        <f t="shared" si="97"/>
        <v>0</v>
      </c>
      <c r="U188" s="20"/>
      <c r="V188" s="20"/>
      <c r="W188" s="20"/>
      <c r="X188" s="20"/>
      <c r="Y188" s="20"/>
      <c r="Z188" s="187" t="e">
        <f t="shared" si="98"/>
        <v>#DIV/0!</v>
      </c>
      <c r="AA188" s="20">
        <f t="shared" si="99"/>
        <v>0</v>
      </c>
      <c r="AB188" s="20">
        <f t="shared" si="136"/>
        <v>0</v>
      </c>
      <c r="AC188" s="198"/>
    </row>
    <row r="189" spans="1:29" s="26" customFormat="1" ht="48" customHeight="1" x14ac:dyDescent="0.25">
      <c r="A189" s="22" t="s">
        <v>163</v>
      </c>
      <c r="B189" s="23" t="str">
        <f>'дод 5'!A21</f>
        <v>0160</v>
      </c>
      <c r="C189" s="23" t="str">
        <f>'дод 5'!B21</f>
        <v>0111</v>
      </c>
      <c r="D189" s="24" t="s">
        <v>707</v>
      </c>
      <c r="E189" s="25">
        <f t="shared" ref="E189:E219" si="137">F189+I189</f>
        <v>3023600</v>
      </c>
      <c r="F189" s="25">
        <f>3144200-12700-314700+206800</f>
        <v>3023600</v>
      </c>
      <c r="G189" s="25">
        <f>2288600-258000+169700</f>
        <v>2200300</v>
      </c>
      <c r="H189" s="25">
        <v>72400</v>
      </c>
      <c r="I189" s="25"/>
      <c r="J189" s="25">
        <v>2920316.48</v>
      </c>
      <c r="K189" s="25">
        <v>2198650.12</v>
      </c>
      <c r="L189" s="25">
        <v>60635.58</v>
      </c>
      <c r="M189" s="181">
        <f t="shared" si="96"/>
        <v>96.584087842307184</v>
      </c>
      <c r="N189" s="25">
        <f>P189+S189</f>
        <v>0</v>
      </c>
      <c r="O189" s="25"/>
      <c r="P189" s="25"/>
      <c r="Q189" s="25"/>
      <c r="R189" s="25"/>
      <c r="S189" s="25"/>
      <c r="T189" s="15">
        <f t="shared" si="97"/>
        <v>0</v>
      </c>
      <c r="U189" s="25"/>
      <c r="V189" s="25"/>
      <c r="W189" s="25"/>
      <c r="X189" s="25"/>
      <c r="Y189" s="25"/>
      <c r="Z189" s="181"/>
      <c r="AA189" s="25">
        <f t="shared" si="99"/>
        <v>2920316.48</v>
      </c>
      <c r="AB189" s="25">
        <f t="shared" ref="AB189:AB220" si="138">E189+N189</f>
        <v>3023600</v>
      </c>
      <c r="AC189" s="198"/>
    </row>
    <row r="190" spans="1:29" s="26" customFormat="1" ht="33" customHeight="1" x14ac:dyDescent="0.25">
      <c r="A190" s="22" t="s">
        <v>164</v>
      </c>
      <c r="B190" s="23" t="str">
        <f>'дод 5'!A115</f>
        <v>2010</v>
      </c>
      <c r="C190" s="23" t="str">
        <f>'дод 5'!B115</f>
        <v>0731</v>
      </c>
      <c r="D190" s="35" t="str">
        <f>'дод 5'!C115</f>
        <v>Багатопрофільна стаціонарна медична допомога населенню, у т.ч. за рахунок:</v>
      </c>
      <c r="E190" s="25">
        <f>F190+I190</f>
        <v>74243095</v>
      </c>
      <c r="F190" s="25">
        <f>61266100+4826700+428200-250000+393700+95800+68000+1649800+503294+60000+30000+500000+2692500+300000+845000+600000+34001+200000</f>
        <v>74243095</v>
      </c>
      <c r="G190" s="25"/>
      <c r="H190" s="25"/>
      <c r="I190" s="25"/>
      <c r="J190" s="25">
        <v>72544409.719999999</v>
      </c>
      <c r="K190" s="25"/>
      <c r="L190" s="25"/>
      <c r="M190" s="181">
        <f t="shared" si="96"/>
        <v>97.711995600398922</v>
      </c>
      <c r="N190" s="25">
        <f t="shared" ref="N190:N220" si="139">P190+S190</f>
        <v>17748187</v>
      </c>
      <c r="O190" s="25">
        <f>13500000-500000+68100+2407587+655000+1310000+3500000+1045000-2692500+100000-845000-600000-200000</f>
        <v>17748187</v>
      </c>
      <c r="P190" s="25"/>
      <c r="Q190" s="25"/>
      <c r="R190" s="25"/>
      <c r="S190" s="25">
        <f>13500000-500000+68100+2407587+655000+1310000+3500000+1045000-2692500+100000-845000-600000-200000</f>
        <v>17748187</v>
      </c>
      <c r="T190" s="15">
        <f t="shared" si="97"/>
        <v>13177090</v>
      </c>
      <c r="U190" s="25">
        <v>13177090</v>
      </c>
      <c r="V190" s="25"/>
      <c r="W190" s="25"/>
      <c r="X190" s="25"/>
      <c r="Y190" s="25">
        <v>13177090</v>
      </c>
      <c r="Z190" s="181">
        <f t="shared" si="98"/>
        <v>74.244710178002975</v>
      </c>
      <c r="AA190" s="25">
        <f t="shared" si="99"/>
        <v>85721499.719999999</v>
      </c>
      <c r="AB190" s="25">
        <f t="shared" si="138"/>
        <v>91991282</v>
      </c>
      <c r="AC190" s="198"/>
    </row>
    <row r="191" spans="1:29" s="26" customFormat="1" ht="110.25" x14ac:dyDescent="0.25">
      <c r="A191" s="22"/>
      <c r="B191" s="23"/>
      <c r="C191" s="23"/>
      <c r="D191" s="48" t="s">
        <v>618</v>
      </c>
      <c r="E191" s="30">
        <f>F191+I191</f>
        <v>1788294</v>
      </c>
      <c r="F191" s="30">
        <f>503294+60000+30000+500000+495000+200000</f>
        <v>1788294</v>
      </c>
      <c r="G191" s="30"/>
      <c r="H191" s="30"/>
      <c r="I191" s="30"/>
      <c r="J191" s="30">
        <v>1760140.42</v>
      </c>
      <c r="K191" s="30"/>
      <c r="L191" s="30"/>
      <c r="M191" s="182">
        <f t="shared" si="96"/>
        <v>98.425673854522799</v>
      </c>
      <c r="N191" s="30">
        <f t="shared" ref="N191:N192" si="140">P191+S191</f>
        <v>943800</v>
      </c>
      <c r="O191" s="30">
        <f>655000+288800+695000-495000-200000</f>
        <v>943800</v>
      </c>
      <c r="P191" s="30"/>
      <c r="Q191" s="30"/>
      <c r="R191" s="30"/>
      <c r="S191" s="30">
        <f>655000+288800+695000-495000-200000</f>
        <v>943800</v>
      </c>
      <c r="T191" s="15">
        <f t="shared" si="97"/>
        <v>943800</v>
      </c>
      <c r="U191" s="30">
        <v>943800</v>
      </c>
      <c r="V191" s="30"/>
      <c r="W191" s="30"/>
      <c r="X191" s="30"/>
      <c r="Y191" s="30">
        <v>943800</v>
      </c>
      <c r="Z191" s="182">
        <f t="shared" si="98"/>
        <v>100</v>
      </c>
      <c r="AA191" s="30">
        <f t="shared" si="99"/>
        <v>2703940.42</v>
      </c>
      <c r="AB191" s="30">
        <f t="shared" ref="AB191:AB192" si="141">E191+N191</f>
        <v>2732094</v>
      </c>
      <c r="AC191" s="198"/>
    </row>
    <row r="192" spans="1:29" s="26" customFormat="1" ht="15.75" x14ac:dyDescent="0.25">
      <c r="A192" s="22"/>
      <c r="B192" s="23"/>
      <c r="C192" s="23"/>
      <c r="D192" s="48" t="s">
        <v>379</v>
      </c>
      <c r="E192" s="30">
        <f>F192+I192</f>
        <v>300000</v>
      </c>
      <c r="F192" s="30">
        <f>300000</f>
        <v>300000</v>
      </c>
      <c r="G192" s="30"/>
      <c r="H192" s="30"/>
      <c r="I192" s="30"/>
      <c r="J192" s="30">
        <v>299999.95</v>
      </c>
      <c r="K192" s="30"/>
      <c r="L192" s="30"/>
      <c r="M192" s="182">
        <f t="shared" si="96"/>
        <v>99.999983333333347</v>
      </c>
      <c r="N192" s="30">
        <f t="shared" si="140"/>
        <v>100000</v>
      </c>
      <c r="O192" s="30">
        <v>100000</v>
      </c>
      <c r="P192" s="30"/>
      <c r="Q192" s="30"/>
      <c r="R192" s="30"/>
      <c r="S192" s="30">
        <v>100000</v>
      </c>
      <c r="T192" s="15">
        <f t="shared" si="97"/>
        <v>100000</v>
      </c>
      <c r="U192" s="30">
        <v>100000</v>
      </c>
      <c r="V192" s="30"/>
      <c r="W192" s="30"/>
      <c r="X192" s="30"/>
      <c r="Y192" s="30">
        <v>100000</v>
      </c>
      <c r="Z192" s="182">
        <f t="shared" si="98"/>
        <v>100</v>
      </c>
      <c r="AA192" s="30">
        <f t="shared" si="99"/>
        <v>399999.95</v>
      </c>
      <c r="AB192" s="30">
        <f t="shared" si="141"/>
        <v>400000</v>
      </c>
      <c r="AC192" s="198"/>
    </row>
    <row r="193" spans="1:29" s="26" customFormat="1" ht="31.5" hidden="1" customHeight="1" x14ac:dyDescent="0.25">
      <c r="A193" s="22" t="s">
        <v>419</v>
      </c>
      <c r="B193" s="23">
        <v>2020</v>
      </c>
      <c r="C193" s="22" t="s">
        <v>420</v>
      </c>
      <c r="D193" s="24" t="str">
        <f>'дод 5'!C118</f>
        <v xml:space="preserve"> Спеціалізована стаціонарна медична допомога населенню</v>
      </c>
      <c r="E193" s="25">
        <f t="shared" si="137"/>
        <v>0</v>
      </c>
      <c r="F193" s="25"/>
      <c r="G193" s="25"/>
      <c r="H193" s="25"/>
      <c r="I193" s="25"/>
      <c r="J193" s="25"/>
      <c r="K193" s="25"/>
      <c r="L193" s="25"/>
      <c r="M193" s="181" t="e">
        <f t="shared" si="96"/>
        <v>#DIV/0!</v>
      </c>
      <c r="N193" s="25">
        <f t="shared" si="139"/>
        <v>0</v>
      </c>
      <c r="O193" s="25"/>
      <c r="P193" s="25"/>
      <c r="Q193" s="25"/>
      <c r="R193" s="25"/>
      <c r="S193" s="25"/>
      <c r="T193" s="15">
        <f t="shared" si="97"/>
        <v>0</v>
      </c>
      <c r="U193" s="25"/>
      <c r="V193" s="25"/>
      <c r="W193" s="25"/>
      <c r="X193" s="25"/>
      <c r="Y193" s="25"/>
      <c r="Z193" s="181" t="e">
        <f t="shared" si="98"/>
        <v>#DIV/0!</v>
      </c>
      <c r="AA193" s="25">
        <f t="shared" si="99"/>
        <v>0</v>
      </c>
      <c r="AB193" s="25">
        <f t="shared" si="138"/>
        <v>0</v>
      </c>
      <c r="AC193" s="198"/>
    </row>
    <row r="194" spans="1:29" s="26" customFormat="1" ht="31.5" x14ac:dyDescent="0.25">
      <c r="A194" s="22" t="s">
        <v>169</v>
      </c>
      <c r="B194" s="23" t="str">
        <f>'дод 5'!A119</f>
        <v>2030</v>
      </c>
      <c r="C194" s="23" t="str">
        <f>'дод 5'!B119</f>
        <v>0733</v>
      </c>
      <c r="D194" s="24" t="str">
        <f>'дод 5'!C119</f>
        <v>Лікарсько-акушерська допомога вагітним, породіллям та новонародженим</v>
      </c>
      <c r="E194" s="25">
        <f t="shared" si="137"/>
        <v>6012400</v>
      </c>
      <c r="F194" s="25">
        <v>6012400</v>
      </c>
      <c r="G194" s="25"/>
      <c r="H194" s="25"/>
      <c r="I194" s="25"/>
      <c r="J194" s="25">
        <v>5140397.79</v>
      </c>
      <c r="K194" s="25"/>
      <c r="L194" s="25"/>
      <c r="M194" s="181">
        <f t="shared" si="96"/>
        <v>85.496603519393261</v>
      </c>
      <c r="N194" s="25">
        <f t="shared" si="139"/>
        <v>0</v>
      </c>
      <c r="O194" s="25"/>
      <c r="P194" s="25"/>
      <c r="Q194" s="25"/>
      <c r="R194" s="25"/>
      <c r="S194" s="25"/>
      <c r="T194" s="15">
        <f t="shared" si="97"/>
        <v>0</v>
      </c>
      <c r="U194" s="25"/>
      <c r="V194" s="25"/>
      <c r="W194" s="25"/>
      <c r="X194" s="25"/>
      <c r="Y194" s="25"/>
      <c r="Z194" s="181"/>
      <c r="AA194" s="25">
        <f t="shared" si="99"/>
        <v>5140397.79</v>
      </c>
      <c r="AB194" s="25">
        <f t="shared" si="138"/>
        <v>6012400</v>
      </c>
      <c r="AC194" s="198"/>
    </row>
    <row r="195" spans="1:29" s="31" customFormat="1" ht="31.5" hidden="1" customHeight="1" x14ac:dyDescent="0.25">
      <c r="A195" s="27"/>
      <c r="B195" s="28"/>
      <c r="C195" s="28"/>
      <c r="D195" s="29" t="s">
        <v>376</v>
      </c>
      <c r="E195" s="30">
        <f t="shared" si="137"/>
        <v>0</v>
      </c>
      <c r="F195" s="30"/>
      <c r="G195" s="30"/>
      <c r="H195" s="30"/>
      <c r="I195" s="30"/>
      <c r="J195" s="30"/>
      <c r="K195" s="30"/>
      <c r="L195" s="30"/>
      <c r="M195" s="182" t="e">
        <f t="shared" si="96"/>
        <v>#DIV/0!</v>
      </c>
      <c r="N195" s="30"/>
      <c r="O195" s="30"/>
      <c r="P195" s="30"/>
      <c r="Q195" s="30"/>
      <c r="R195" s="30"/>
      <c r="S195" s="30"/>
      <c r="T195" s="15">
        <f t="shared" si="97"/>
        <v>0</v>
      </c>
      <c r="U195" s="30"/>
      <c r="V195" s="30"/>
      <c r="W195" s="30"/>
      <c r="X195" s="30"/>
      <c r="Y195" s="30"/>
      <c r="Z195" s="182"/>
      <c r="AA195" s="30">
        <f t="shared" si="99"/>
        <v>0</v>
      </c>
      <c r="AB195" s="25">
        <f t="shared" si="138"/>
        <v>0</v>
      </c>
      <c r="AC195" s="198"/>
    </row>
    <row r="196" spans="1:29" s="31" customFormat="1" ht="21" hidden="1" customHeight="1" x14ac:dyDescent="0.25">
      <c r="A196" s="22" t="s">
        <v>558</v>
      </c>
      <c r="B196" s="23">
        <v>2070</v>
      </c>
      <c r="C196" s="34" t="s">
        <v>559</v>
      </c>
      <c r="D196" s="24" t="s">
        <v>560</v>
      </c>
      <c r="E196" s="25">
        <f t="shared" si="137"/>
        <v>0</v>
      </c>
      <c r="F196" s="25"/>
      <c r="G196" s="24"/>
      <c r="H196" s="24"/>
      <c r="I196" s="24"/>
      <c r="J196" s="24"/>
      <c r="K196" s="24"/>
      <c r="L196" s="24"/>
      <c r="M196" s="181" t="e">
        <f t="shared" si="96"/>
        <v>#DIV/0!</v>
      </c>
      <c r="N196" s="25">
        <f t="shared" si="139"/>
        <v>0</v>
      </c>
      <c r="O196" s="25"/>
      <c r="P196" s="25"/>
      <c r="Q196" s="25"/>
      <c r="R196" s="25"/>
      <c r="S196" s="25"/>
      <c r="T196" s="15">
        <f t="shared" si="97"/>
        <v>0</v>
      </c>
      <c r="U196" s="25"/>
      <c r="V196" s="25"/>
      <c r="W196" s="25"/>
      <c r="X196" s="25"/>
      <c r="Y196" s="25"/>
      <c r="Z196" s="181"/>
      <c r="AA196" s="25">
        <f t="shared" si="99"/>
        <v>0</v>
      </c>
      <c r="AB196" s="25">
        <f t="shared" si="138"/>
        <v>0</v>
      </c>
      <c r="AC196" s="198"/>
    </row>
    <row r="197" spans="1:29" s="26" customFormat="1" ht="24" customHeight="1" x14ac:dyDescent="0.25">
      <c r="A197" s="22" t="s">
        <v>168</v>
      </c>
      <c r="B197" s="23" t="str">
        <f>'дод 5'!A122</f>
        <v>2100</v>
      </c>
      <c r="C197" s="23" t="str">
        <f>'дод 5'!B122</f>
        <v>0722</v>
      </c>
      <c r="D197" s="24" t="str">
        <f>'дод 5'!C122</f>
        <v>Стоматологічна допомога населенню</v>
      </c>
      <c r="E197" s="25">
        <f t="shared" si="137"/>
        <v>12460400</v>
      </c>
      <c r="F197" s="25">
        <v>12460400</v>
      </c>
      <c r="G197" s="25"/>
      <c r="H197" s="25"/>
      <c r="I197" s="25"/>
      <c r="J197" s="25">
        <v>12455738.98</v>
      </c>
      <c r="K197" s="25"/>
      <c r="L197" s="25"/>
      <c r="M197" s="181">
        <f t="shared" si="96"/>
        <v>99.962593335687473</v>
      </c>
      <c r="N197" s="25">
        <f t="shared" si="139"/>
        <v>0</v>
      </c>
      <c r="O197" s="25"/>
      <c r="P197" s="25"/>
      <c r="Q197" s="25"/>
      <c r="R197" s="25"/>
      <c r="S197" s="25"/>
      <c r="T197" s="15">
        <f t="shared" si="97"/>
        <v>0</v>
      </c>
      <c r="U197" s="25"/>
      <c r="V197" s="25"/>
      <c r="W197" s="25"/>
      <c r="X197" s="25"/>
      <c r="Y197" s="25"/>
      <c r="Z197" s="181"/>
      <c r="AA197" s="25">
        <f t="shared" si="99"/>
        <v>12455738.98</v>
      </c>
      <c r="AB197" s="25">
        <f t="shared" si="138"/>
        <v>12460400</v>
      </c>
      <c r="AC197" s="198"/>
    </row>
    <row r="198" spans="1:29" s="31" customFormat="1" ht="30" hidden="1" customHeight="1" x14ac:dyDescent="0.25">
      <c r="A198" s="27"/>
      <c r="B198" s="28"/>
      <c r="C198" s="28"/>
      <c r="D198" s="29" t="s">
        <v>376</v>
      </c>
      <c r="E198" s="30">
        <f t="shared" si="137"/>
        <v>0</v>
      </c>
      <c r="F198" s="30"/>
      <c r="G198" s="30"/>
      <c r="H198" s="30"/>
      <c r="I198" s="30"/>
      <c r="J198" s="30"/>
      <c r="K198" s="30"/>
      <c r="L198" s="30"/>
      <c r="M198" s="182" t="e">
        <f t="shared" si="96"/>
        <v>#DIV/0!</v>
      </c>
      <c r="N198" s="30">
        <f t="shared" si="139"/>
        <v>0</v>
      </c>
      <c r="O198" s="30"/>
      <c r="P198" s="30"/>
      <c r="Q198" s="30"/>
      <c r="R198" s="30"/>
      <c r="S198" s="30"/>
      <c r="T198" s="15">
        <f t="shared" si="97"/>
        <v>0</v>
      </c>
      <c r="U198" s="30"/>
      <c r="V198" s="30"/>
      <c r="W198" s="30"/>
      <c r="X198" s="30"/>
      <c r="Y198" s="30"/>
      <c r="Z198" s="182" t="e">
        <f t="shared" si="98"/>
        <v>#DIV/0!</v>
      </c>
      <c r="AA198" s="30">
        <f t="shared" si="99"/>
        <v>0</v>
      </c>
      <c r="AB198" s="30">
        <f t="shared" si="138"/>
        <v>0</v>
      </c>
      <c r="AC198" s="198"/>
    </row>
    <row r="199" spans="1:29" s="26" customFormat="1" ht="48" customHeight="1" x14ac:dyDescent="0.25">
      <c r="A199" s="22" t="s">
        <v>167</v>
      </c>
      <c r="B199" s="23" t="str">
        <f>'дод 5'!A124</f>
        <v>2111</v>
      </c>
      <c r="C199" s="23" t="str">
        <f>'дод 5'!B124</f>
        <v>0726</v>
      </c>
      <c r="D199" s="24" t="str">
        <f>'дод 5'!C124</f>
        <v>Первинна медична допомога населенню, що надається центрами первинної медичної (медико-санітарної) допомоги</v>
      </c>
      <c r="E199" s="25">
        <f t="shared" si="137"/>
        <v>5716100</v>
      </c>
      <c r="F199" s="25">
        <v>5716100</v>
      </c>
      <c r="G199" s="25"/>
      <c r="H199" s="25"/>
      <c r="I199" s="25"/>
      <c r="J199" s="25">
        <v>5041757.4400000004</v>
      </c>
      <c r="K199" s="25"/>
      <c r="L199" s="25"/>
      <c r="M199" s="181">
        <f t="shared" si="96"/>
        <v>88.202750826612558</v>
      </c>
      <c r="N199" s="25">
        <f t="shared" si="139"/>
        <v>1638127</v>
      </c>
      <c r="O199" s="25">
        <f>3980000-2522740+180867</f>
        <v>1638127</v>
      </c>
      <c r="P199" s="25"/>
      <c r="Q199" s="25"/>
      <c r="R199" s="25"/>
      <c r="S199" s="25">
        <f>3980000-2522740+180867</f>
        <v>1638127</v>
      </c>
      <c r="T199" s="15">
        <f t="shared" si="97"/>
        <v>1638126</v>
      </c>
      <c r="U199" s="25">
        <v>1638126</v>
      </c>
      <c r="V199" s="25"/>
      <c r="W199" s="25"/>
      <c r="X199" s="25"/>
      <c r="Y199" s="25">
        <v>1638126</v>
      </c>
      <c r="Z199" s="181">
        <f t="shared" si="98"/>
        <v>99.999938954672004</v>
      </c>
      <c r="AA199" s="25">
        <f t="shared" si="99"/>
        <v>6679883.4400000004</v>
      </c>
      <c r="AB199" s="25">
        <f t="shared" si="138"/>
        <v>7354227</v>
      </c>
      <c r="AC199" s="198"/>
    </row>
    <row r="200" spans="1:29" s="31" customFormat="1" ht="63" hidden="1" customHeight="1" x14ac:dyDescent="0.25">
      <c r="A200" s="27"/>
      <c r="B200" s="28"/>
      <c r="C200" s="28"/>
      <c r="D200" s="29" t="s">
        <v>378</v>
      </c>
      <c r="E200" s="30">
        <f t="shared" si="137"/>
        <v>0</v>
      </c>
      <c r="F200" s="30"/>
      <c r="G200" s="30"/>
      <c r="H200" s="30"/>
      <c r="I200" s="30"/>
      <c r="J200" s="30"/>
      <c r="K200" s="30"/>
      <c r="L200" s="30"/>
      <c r="M200" s="182" t="e">
        <f t="shared" si="96"/>
        <v>#DIV/0!</v>
      </c>
      <c r="N200" s="30">
        <f t="shared" si="139"/>
        <v>0</v>
      </c>
      <c r="O200" s="30"/>
      <c r="P200" s="30"/>
      <c r="Q200" s="30"/>
      <c r="R200" s="30"/>
      <c r="S200" s="30"/>
      <c r="T200" s="15">
        <f t="shared" si="97"/>
        <v>0</v>
      </c>
      <c r="U200" s="30"/>
      <c r="V200" s="30"/>
      <c r="W200" s="30"/>
      <c r="X200" s="30"/>
      <c r="Y200" s="30"/>
      <c r="Z200" s="182" t="e">
        <f t="shared" si="98"/>
        <v>#DIV/0!</v>
      </c>
      <c r="AA200" s="30">
        <f t="shared" si="99"/>
        <v>0</v>
      </c>
      <c r="AB200" s="30">
        <f t="shared" si="138"/>
        <v>0</v>
      </c>
      <c r="AC200" s="198"/>
    </row>
    <row r="201" spans="1:29" s="26" customFormat="1" ht="31.5" hidden="1" customHeight="1" x14ac:dyDescent="0.25">
      <c r="A201" s="22" t="s">
        <v>166</v>
      </c>
      <c r="B201" s="23">
        <f>'дод 5'!A126</f>
        <v>2144</v>
      </c>
      <c r="C201" s="23" t="str">
        <f>'дод 5'!B126</f>
        <v>0763</v>
      </c>
      <c r="D201" s="49" t="str">
        <f>'дод 5'!C126</f>
        <v>Централізовані заходи з лікування хворих на цукровий та нецукровий діабет, у т.ч. за рахунок:</v>
      </c>
      <c r="E201" s="25">
        <f t="shared" si="137"/>
        <v>0</v>
      </c>
      <c r="F201" s="25"/>
      <c r="G201" s="25"/>
      <c r="H201" s="25"/>
      <c r="I201" s="25"/>
      <c r="J201" s="25"/>
      <c r="K201" s="25"/>
      <c r="L201" s="25"/>
      <c r="M201" s="181" t="e">
        <f t="shared" si="96"/>
        <v>#DIV/0!</v>
      </c>
      <c r="N201" s="25">
        <f t="shared" si="139"/>
        <v>0</v>
      </c>
      <c r="O201" s="25"/>
      <c r="P201" s="25"/>
      <c r="Q201" s="25"/>
      <c r="R201" s="25"/>
      <c r="S201" s="25"/>
      <c r="T201" s="15">
        <f t="shared" si="97"/>
        <v>0</v>
      </c>
      <c r="U201" s="25"/>
      <c r="V201" s="25"/>
      <c r="W201" s="25"/>
      <c r="X201" s="25"/>
      <c r="Y201" s="25"/>
      <c r="Z201" s="181" t="e">
        <f t="shared" si="98"/>
        <v>#DIV/0!</v>
      </c>
      <c r="AA201" s="25">
        <f t="shared" si="99"/>
        <v>0</v>
      </c>
      <c r="AB201" s="25">
        <f t="shared" si="138"/>
        <v>0</v>
      </c>
      <c r="AC201" s="198"/>
    </row>
    <row r="202" spans="1:29" s="31" customFormat="1" ht="47.25" hidden="1" customHeight="1" x14ac:dyDescent="0.25">
      <c r="A202" s="27"/>
      <c r="B202" s="28"/>
      <c r="C202" s="28"/>
      <c r="D202" s="50" t="s">
        <v>377</v>
      </c>
      <c r="E202" s="30">
        <f t="shared" si="137"/>
        <v>0</v>
      </c>
      <c r="F202" s="30"/>
      <c r="G202" s="30"/>
      <c r="H202" s="30"/>
      <c r="I202" s="30"/>
      <c r="J202" s="30"/>
      <c r="K202" s="30"/>
      <c r="L202" s="30"/>
      <c r="M202" s="182" t="e">
        <f t="shared" si="96"/>
        <v>#DIV/0!</v>
      </c>
      <c r="N202" s="30">
        <f t="shared" si="139"/>
        <v>0</v>
      </c>
      <c r="O202" s="30"/>
      <c r="P202" s="30"/>
      <c r="Q202" s="30"/>
      <c r="R202" s="30"/>
      <c r="S202" s="30"/>
      <c r="T202" s="15">
        <f t="shared" si="97"/>
        <v>0</v>
      </c>
      <c r="U202" s="30"/>
      <c r="V202" s="30"/>
      <c r="W202" s="30"/>
      <c r="X202" s="30"/>
      <c r="Y202" s="30"/>
      <c r="Z202" s="182" t="e">
        <f t="shared" si="98"/>
        <v>#DIV/0!</v>
      </c>
      <c r="AA202" s="30">
        <f t="shared" si="99"/>
        <v>0</v>
      </c>
      <c r="AB202" s="30">
        <f t="shared" si="138"/>
        <v>0</v>
      </c>
      <c r="AC202" s="198"/>
    </row>
    <row r="203" spans="1:29" s="31" customFormat="1" ht="63" hidden="1" customHeight="1" x14ac:dyDescent="0.25">
      <c r="A203" s="27"/>
      <c r="B203" s="28"/>
      <c r="C203" s="28"/>
      <c r="D203" s="50" t="s">
        <v>378</v>
      </c>
      <c r="E203" s="30">
        <f t="shared" si="137"/>
        <v>0</v>
      </c>
      <c r="F203" s="30"/>
      <c r="G203" s="30"/>
      <c r="H203" s="30"/>
      <c r="I203" s="30"/>
      <c r="J203" s="30"/>
      <c r="K203" s="30"/>
      <c r="L203" s="30"/>
      <c r="M203" s="182" t="e">
        <f t="shared" si="96"/>
        <v>#DIV/0!</v>
      </c>
      <c r="N203" s="30">
        <f t="shared" si="139"/>
        <v>0</v>
      </c>
      <c r="O203" s="30"/>
      <c r="P203" s="30"/>
      <c r="Q203" s="30"/>
      <c r="R203" s="30"/>
      <c r="S203" s="30"/>
      <c r="T203" s="15">
        <f t="shared" si="97"/>
        <v>0</v>
      </c>
      <c r="U203" s="30"/>
      <c r="V203" s="30"/>
      <c r="W203" s="30"/>
      <c r="X203" s="30"/>
      <c r="Y203" s="30"/>
      <c r="Z203" s="182" t="e">
        <f t="shared" si="98"/>
        <v>#DIV/0!</v>
      </c>
      <c r="AA203" s="30">
        <f t="shared" si="99"/>
        <v>0</v>
      </c>
      <c r="AB203" s="30">
        <f t="shared" si="138"/>
        <v>0</v>
      </c>
      <c r="AC203" s="198"/>
    </row>
    <row r="204" spans="1:29" s="26" customFormat="1" ht="30" customHeight="1" x14ac:dyDescent="0.25">
      <c r="A204" s="22" t="s">
        <v>311</v>
      </c>
      <c r="B204" s="23" t="str">
        <f>'дод 5'!A129</f>
        <v>2151</v>
      </c>
      <c r="C204" s="23" t="str">
        <f>'дод 5'!B129</f>
        <v>0763</v>
      </c>
      <c r="D204" s="24" t="str">
        <f>'дод 5'!C129</f>
        <v>Забезпечення діяльності інших закладів у сфері охорони здоров'я</v>
      </c>
      <c r="E204" s="25">
        <f t="shared" si="137"/>
        <v>4113000</v>
      </c>
      <c r="F204" s="25">
        <v>4113000</v>
      </c>
      <c r="G204" s="25">
        <v>3079800</v>
      </c>
      <c r="H204" s="25">
        <v>154200</v>
      </c>
      <c r="I204" s="25"/>
      <c r="J204" s="25">
        <v>4052325.21</v>
      </c>
      <c r="K204" s="25">
        <v>3074418.38</v>
      </c>
      <c r="L204" s="25">
        <v>131904.78</v>
      </c>
      <c r="M204" s="181">
        <f t="shared" si="96"/>
        <v>98.524804522246541</v>
      </c>
      <c r="N204" s="25">
        <f t="shared" si="139"/>
        <v>0</v>
      </c>
      <c r="O204" s="25"/>
      <c r="P204" s="25"/>
      <c r="Q204" s="25"/>
      <c r="R204" s="25"/>
      <c r="S204" s="25"/>
      <c r="T204" s="15">
        <f t="shared" si="97"/>
        <v>125</v>
      </c>
      <c r="U204" s="25"/>
      <c r="V204" s="25">
        <v>125</v>
      </c>
      <c r="W204" s="25"/>
      <c r="X204" s="25"/>
      <c r="Y204" s="25"/>
      <c r="Z204" s="181"/>
      <c r="AA204" s="25">
        <f t="shared" si="99"/>
        <v>4052450.21</v>
      </c>
      <c r="AB204" s="25">
        <f t="shared" si="138"/>
        <v>4113000</v>
      </c>
      <c r="AC204" s="198"/>
    </row>
    <row r="205" spans="1:29" s="26" customFormat="1" ht="34.5" customHeight="1" x14ac:dyDescent="0.25">
      <c r="A205" s="22" t="s">
        <v>312</v>
      </c>
      <c r="B205" s="23" t="str">
        <f>'дод 5'!A130</f>
        <v>2152</v>
      </c>
      <c r="C205" s="23" t="str">
        <f>'дод 5'!B130</f>
        <v>0763</v>
      </c>
      <c r="D205" s="24" t="str">
        <f>'дод 5'!C130</f>
        <v>Інші програми та заходи у сфері охорони здоров'я</v>
      </c>
      <c r="E205" s="25">
        <f>F205+I205</f>
        <v>24510540</v>
      </c>
      <c r="F205" s="25">
        <f>23965400+250000+250000+45140</f>
        <v>24510540</v>
      </c>
      <c r="G205" s="25"/>
      <c r="H205" s="25"/>
      <c r="I205" s="25"/>
      <c r="J205" s="25">
        <v>23877468.829999998</v>
      </c>
      <c r="K205" s="25"/>
      <c r="L205" s="25"/>
      <c r="M205" s="181">
        <f t="shared" si="96"/>
        <v>97.417147194635447</v>
      </c>
      <c r="N205" s="25">
        <f t="shared" si="139"/>
        <v>50000000</v>
      </c>
      <c r="O205" s="25">
        <v>50000000</v>
      </c>
      <c r="P205" s="25"/>
      <c r="Q205" s="25"/>
      <c r="R205" s="25"/>
      <c r="S205" s="25">
        <v>50000000</v>
      </c>
      <c r="T205" s="15">
        <f t="shared" si="97"/>
        <v>51185307.630000003</v>
      </c>
      <c r="U205" s="25">
        <v>50000000</v>
      </c>
      <c r="V205" s="25">
        <v>1185307.6299999999</v>
      </c>
      <c r="W205" s="25"/>
      <c r="X205" s="25"/>
      <c r="Y205" s="25">
        <v>50000000</v>
      </c>
      <c r="Z205" s="181" t="s">
        <v>771</v>
      </c>
      <c r="AA205" s="25">
        <f t="shared" si="99"/>
        <v>75062776.460000008</v>
      </c>
      <c r="AB205" s="25">
        <f t="shared" si="138"/>
        <v>74510540</v>
      </c>
      <c r="AC205" s="198"/>
    </row>
    <row r="206" spans="1:29" s="26" customFormat="1" ht="24.75" hidden="1" customHeight="1" x14ac:dyDescent="0.25">
      <c r="A206" s="22" t="s">
        <v>396</v>
      </c>
      <c r="B206" s="23">
        <v>7322</v>
      </c>
      <c r="C206" s="22" t="s">
        <v>107</v>
      </c>
      <c r="D206" s="35" t="str">
        <f>'дод 5'!C247</f>
        <v>Будівництво1 медичних установ та закладіву т.ч. за рахунок:</v>
      </c>
      <c r="E206" s="25">
        <f>F206+I206</f>
        <v>0</v>
      </c>
      <c r="F206" s="25"/>
      <c r="G206" s="25"/>
      <c r="H206" s="25"/>
      <c r="I206" s="25"/>
      <c r="J206" s="25"/>
      <c r="K206" s="25"/>
      <c r="L206" s="25"/>
      <c r="M206" s="181" t="e">
        <f t="shared" si="96"/>
        <v>#DIV/0!</v>
      </c>
      <c r="N206" s="25">
        <f t="shared" si="139"/>
        <v>0</v>
      </c>
      <c r="O206" s="25"/>
      <c r="P206" s="25"/>
      <c r="Q206" s="25"/>
      <c r="R206" s="25"/>
      <c r="S206" s="25"/>
      <c r="T206" s="15">
        <f t="shared" si="97"/>
        <v>0</v>
      </c>
      <c r="U206" s="25"/>
      <c r="V206" s="25"/>
      <c r="W206" s="25"/>
      <c r="X206" s="25"/>
      <c r="Y206" s="25"/>
      <c r="Z206" s="181" t="e">
        <f t="shared" si="98"/>
        <v>#DIV/0!</v>
      </c>
      <c r="AA206" s="25">
        <f t="shared" si="99"/>
        <v>0</v>
      </c>
      <c r="AB206" s="25">
        <f t="shared" si="138"/>
        <v>0</v>
      </c>
      <c r="AC206" s="198"/>
    </row>
    <row r="207" spans="1:29" s="26" customFormat="1" ht="47.25" hidden="1" customHeight="1" x14ac:dyDescent="0.25">
      <c r="A207" s="22" t="s">
        <v>359</v>
      </c>
      <c r="B207" s="23">
        <f>'дод 5'!A256</f>
        <v>7361</v>
      </c>
      <c r="C207" s="23" t="str">
        <f>'дод 5'!B256</f>
        <v>0490</v>
      </c>
      <c r="D207" s="24" t="str">
        <f>'дод 5'!C256</f>
        <v>Співфінансування інвестиційних проектів, що реалізуються за рахунок коштів державного фонду регіонального розвитку</v>
      </c>
      <c r="E207" s="25">
        <f t="shared" si="137"/>
        <v>0</v>
      </c>
      <c r="F207" s="25"/>
      <c r="G207" s="25"/>
      <c r="H207" s="25"/>
      <c r="I207" s="25"/>
      <c r="J207" s="25"/>
      <c r="K207" s="25"/>
      <c r="L207" s="25"/>
      <c r="M207" s="181" t="e">
        <f t="shared" si="96"/>
        <v>#DIV/0!</v>
      </c>
      <c r="N207" s="25">
        <f t="shared" si="139"/>
        <v>0</v>
      </c>
      <c r="O207" s="25"/>
      <c r="P207" s="25"/>
      <c r="Q207" s="25"/>
      <c r="R207" s="25"/>
      <c r="S207" s="25"/>
      <c r="T207" s="15">
        <f t="shared" si="97"/>
        <v>0</v>
      </c>
      <c r="U207" s="25"/>
      <c r="V207" s="25"/>
      <c r="W207" s="25"/>
      <c r="X207" s="25"/>
      <c r="Y207" s="25"/>
      <c r="Z207" s="181" t="e">
        <f t="shared" si="98"/>
        <v>#DIV/0!</v>
      </c>
      <c r="AA207" s="25">
        <f t="shared" si="99"/>
        <v>0</v>
      </c>
      <c r="AB207" s="25">
        <f t="shared" si="138"/>
        <v>0</v>
      </c>
      <c r="AC207" s="198"/>
    </row>
    <row r="208" spans="1:29" s="26" customFormat="1" ht="47.25" hidden="1" customHeight="1" x14ac:dyDescent="0.25">
      <c r="A208" s="22" t="s">
        <v>403</v>
      </c>
      <c r="B208" s="23">
        <v>7363</v>
      </c>
      <c r="C208" s="22" t="s">
        <v>78</v>
      </c>
      <c r="D208" s="24" t="s">
        <v>382</v>
      </c>
      <c r="E208" s="25">
        <f t="shared" si="137"/>
        <v>0</v>
      </c>
      <c r="F208" s="25"/>
      <c r="G208" s="25"/>
      <c r="H208" s="25"/>
      <c r="I208" s="25"/>
      <c r="J208" s="25"/>
      <c r="K208" s="25"/>
      <c r="L208" s="25"/>
      <c r="M208" s="181" t="e">
        <f t="shared" si="96"/>
        <v>#DIV/0!</v>
      </c>
      <c r="N208" s="25">
        <f t="shared" si="139"/>
        <v>0</v>
      </c>
      <c r="O208" s="25"/>
      <c r="P208" s="25"/>
      <c r="Q208" s="25"/>
      <c r="R208" s="25"/>
      <c r="S208" s="25"/>
      <c r="T208" s="15">
        <f t="shared" si="97"/>
        <v>0</v>
      </c>
      <c r="U208" s="25"/>
      <c r="V208" s="25"/>
      <c r="W208" s="25"/>
      <c r="X208" s="25"/>
      <c r="Y208" s="25"/>
      <c r="Z208" s="181" t="e">
        <f t="shared" si="98"/>
        <v>#DIV/0!</v>
      </c>
      <c r="AA208" s="25">
        <f t="shared" si="99"/>
        <v>0</v>
      </c>
      <c r="AB208" s="25">
        <f t="shared" si="138"/>
        <v>0</v>
      </c>
      <c r="AC208" s="198"/>
    </row>
    <row r="209" spans="1:29" s="26" customFormat="1" ht="47.25" hidden="1" customHeight="1" x14ac:dyDescent="0.25">
      <c r="A209" s="22"/>
      <c r="B209" s="23"/>
      <c r="C209" s="23"/>
      <c r="D209" s="29" t="s">
        <v>374</v>
      </c>
      <c r="E209" s="30">
        <f t="shared" si="137"/>
        <v>0</v>
      </c>
      <c r="F209" s="30"/>
      <c r="G209" s="30"/>
      <c r="H209" s="30"/>
      <c r="I209" s="30"/>
      <c r="J209" s="30"/>
      <c r="K209" s="30"/>
      <c r="L209" s="30"/>
      <c r="M209" s="182" t="e">
        <f t="shared" si="96"/>
        <v>#DIV/0!</v>
      </c>
      <c r="N209" s="30">
        <f t="shared" si="139"/>
        <v>0</v>
      </c>
      <c r="O209" s="30"/>
      <c r="P209" s="30"/>
      <c r="Q209" s="30"/>
      <c r="R209" s="30"/>
      <c r="S209" s="30"/>
      <c r="T209" s="15">
        <f t="shared" si="97"/>
        <v>0</v>
      </c>
      <c r="U209" s="30"/>
      <c r="V209" s="30"/>
      <c r="W209" s="30"/>
      <c r="X209" s="30"/>
      <c r="Y209" s="30"/>
      <c r="Z209" s="182" t="e">
        <f t="shared" si="98"/>
        <v>#DIV/0!</v>
      </c>
      <c r="AA209" s="30">
        <f t="shared" si="99"/>
        <v>0</v>
      </c>
      <c r="AB209" s="30">
        <f t="shared" si="138"/>
        <v>0</v>
      </c>
      <c r="AC209" s="198"/>
    </row>
    <row r="210" spans="1:29" s="26" customFormat="1" ht="63" x14ac:dyDescent="0.25">
      <c r="A210" s="22" t="s">
        <v>688</v>
      </c>
      <c r="B210" s="23">
        <v>2161</v>
      </c>
      <c r="C210" s="22" t="s">
        <v>62</v>
      </c>
      <c r="D210" s="24" t="s">
        <v>731</v>
      </c>
      <c r="E210" s="25">
        <f t="shared" si="137"/>
        <v>0</v>
      </c>
      <c r="F210" s="25"/>
      <c r="G210" s="25"/>
      <c r="H210" s="25"/>
      <c r="I210" s="25"/>
      <c r="J210" s="25"/>
      <c r="K210" s="25"/>
      <c r="L210" s="25"/>
      <c r="M210" s="181"/>
      <c r="N210" s="25">
        <f t="shared" ref="N210:N213" si="142">P210+S210</f>
        <v>9417475</v>
      </c>
      <c r="O210" s="25">
        <f>8596499+820976</f>
        <v>9417475</v>
      </c>
      <c r="P210" s="25"/>
      <c r="Q210" s="25"/>
      <c r="R210" s="25"/>
      <c r="S210" s="25">
        <f>8596499+820976</f>
        <v>9417475</v>
      </c>
      <c r="T210" s="15">
        <f t="shared" ref="T210:T272" si="143">V210+Y210</f>
        <v>9248076.3800000008</v>
      </c>
      <c r="U210" s="25">
        <v>9248076.3800000008</v>
      </c>
      <c r="V210" s="25"/>
      <c r="W210" s="25"/>
      <c r="X210" s="25"/>
      <c r="Y210" s="25">
        <v>9248076.3800000008</v>
      </c>
      <c r="Z210" s="181">
        <f t="shared" ref="Z210:Z263" si="144">T210/N210*100</f>
        <v>98.201231009373529</v>
      </c>
      <c r="AA210" s="25">
        <f t="shared" ref="AA210:AA272" si="145">J210+T210</f>
        <v>9248076.3800000008</v>
      </c>
      <c r="AB210" s="25">
        <f t="shared" ref="AB210:AB213" si="146">E210+N210</f>
        <v>9417475</v>
      </c>
      <c r="AC210" s="198"/>
    </row>
    <row r="211" spans="1:29" s="26" customFormat="1" ht="110.25" x14ac:dyDescent="0.25">
      <c r="A211" s="22"/>
      <c r="B211" s="23"/>
      <c r="C211" s="22"/>
      <c r="D211" s="48" t="s">
        <v>618</v>
      </c>
      <c r="E211" s="25">
        <f t="shared" si="137"/>
        <v>0</v>
      </c>
      <c r="F211" s="25"/>
      <c r="G211" s="25"/>
      <c r="H211" s="25"/>
      <c r="I211" s="25"/>
      <c r="J211" s="25"/>
      <c r="K211" s="25"/>
      <c r="L211" s="25"/>
      <c r="M211" s="181"/>
      <c r="N211" s="25">
        <f t="shared" si="142"/>
        <v>820976</v>
      </c>
      <c r="O211" s="25">
        <v>820976</v>
      </c>
      <c r="P211" s="25"/>
      <c r="Q211" s="25"/>
      <c r="R211" s="25"/>
      <c r="S211" s="25">
        <v>820976</v>
      </c>
      <c r="T211" s="15">
        <f t="shared" si="143"/>
        <v>820976</v>
      </c>
      <c r="U211" s="25">
        <v>820976</v>
      </c>
      <c r="V211" s="25"/>
      <c r="W211" s="25"/>
      <c r="X211" s="25"/>
      <c r="Y211" s="25">
        <v>820976</v>
      </c>
      <c r="Z211" s="181">
        <f t="shared" si="144"/>
        <v>100</v>
      </c>
      <c r="AA211" s="25">
        <f t="shared" si="145"/>
        <v>820976</v>
      </c>
      <c r="AB211" s="25">
        <f t="shared" si="146"/>
        <v>820976</v>
      </c>
      <c r="AC211" s="198">
        <v>8</v>
      </c>
    </row>
    <row r="212" spans="1:29" s="26" customFormat="1" ht="63.75" customHeight="1" x14ac:dyDescent="0.25">
      <c r="A212" s="22" t="s">
        <v>689</v>
      </c>
      <c r="B212" s="23">
        <v>2162</v>
      </c>
      <c r="C212" s="22" t="s">
        <v>62</v>
      </c>
      <c r="D212" s="24" t="s">
        <v>690</v>
      </c>
      <c r="E212" s="25">
        <f t="shared" si="137"/>
        <v>0</v>
      </c>
      <c r="F212" s="25"/>
      <c r="G212" s="25"/>
      <c r="H212" s="25"/>
      <c r="I212" s="25"/>
      <c r="J212" s="25"/>
      <c r="K212" s="25"/>
      <c r="L212" s="25"/>
      <c r="M212" s="181"/>
      <c r="N212" s="25">
        <f t="shared" si="142"/>
        <v>31936617</v>
      </c>
      <c r="O212" s="25">
        <v>31936617</v>
      </c>
      <c r="P212" s="25"/>
      <c r="Q212" s="25"/>
      <c r="R212" s="25"/>
      <c r="S212" s="25">
        <v>31936617</v>
      </c>
      <c r="T212" s="15">
        <f t="shared" si="143"/>
        <v>21578844.859999999</v>
      </c>
      <c r="U212" s="25">
        <v>21578844.859999999</v>
      </c>
      <c r="V212" s="25"/>
      <c r="W212" s="25"/>
      <c r="X212" s="25"/>
      <c r="Y212" s="25">
        <v>21578844.859999999</v>
      </c>
      <c r="Z212" s="181">
        <f t="shared" si="144"/>
        <v>67.567722843029983</v>
      </c>
      <c r="AA212" s="25">
        <f t="shared" si="145"/>
        <v>21578844.859999999</v>
      </c>
      <c r="AB212" s="25">
        <f t="shared" si="146"/>
        <v>31936617</v>
      </c>
      <c r="AC212" s="198"/>
    </row>
    <row r="213" spans="1:29" s="31" customFormat="1" ht="48" customHeight="1" x14ac:dyDescent="0.25">
      <c r="A213" s="27"/>
      <c r="B213" s="28"/>
      <c r="C213" s="28"/>
      <c r="D213" s="29" t="s">
        <v>691</v>
      </c>
      <c r="E213" s="30">
        <f t="shared" si="137"/>
        <v>0</v>
      </c>
      <c r="F213" s="30"/>
      <c r="G213" s="30"/>
      <c r="H213" s="30"/>
      <c r="I213" s="30"/>
      <c r="J213" s="30"/>
      <c r="K213" s="30"/>
      <c r="L213" s="30"/>
      <c r="M213" s="182"/>
      <c r="N213" s="30">
        <f t="shared" si="142"/>
        <v>31936617</v>
      </c>
      <c r="O213" s="30">
        <v>31936617</v>
      </c>
      <c r="P213" s="30"/>
      <c r="Q213" s="30"/>
      <c r="R213" s="30"/>
      <c r="S213" s="30">
        <v>31936617</v>
      </c>
      <c r="T213" s="15">
        <f t="shared" si="143"/>
        <v>21578844.859999999</v>
      </c>
      <c r="U213" s="30">
        <v>21578844.859999999</v>
      </c>
      <c r="V213" s="30"/>
      <c r="W213" s="30"/>
      <c r="X213" s="30"/>
      <c r="Y213" s="30">
        <v>21578844.859999999</v>
      </c>
      <c r="Z213" s="182">
        <f t="shared" si="144"/>
        <v>67.567722843029983</v>
      </c>
      <c r="AA213" s="30">
        <f t="shared" si="145"/>
        <v>21578844.859999999</v>
      </c>
      <c r="AB213" s="30">
        <f t="shared" si="146"/>
        <v>31936617</v>
      </c>
      <c r="AC213" s="198"/>
    </row>
    <row r="214" spans="1:29" s="26" customFormat="1" ht="23.25" customHeight="1" x14ac:dyDescent="0.25">
      <c r="A214" s="22" t="s">
        <v>165</v>
      </c>
      <c r="B214" s="23" t="str">
        <f>'дод 5'!A290</f>
        <v>7640</v>
      </c>
      <c r="C214" s="23" t="str">
        <f>'дод 5'!B290</f>
        <v>0470</v>
      </c>
      <c r="D214" s="24" t="s">
        <v>402</v>
      </c>
      <c r="E214" s="25">
        <f t="shared" si="137"/>
        <v>385789.35</v>
      </c>
      <c r="F214" s="25">
        <f>324600-324600</f>
        <v>0</v>
      </c>
      <c r="G214" s="25"/>
      <c r="H214" s="25"/>
      <c r="I214" s="25">
        <f>324600+299189.35-238000</f>
        <v>385789.35</v>
      </c>
      <c r="J214" s="25">
        <v>240486</v>
      </c>
      <c r="K214" s="25"/>
      <c r="L214" s="25"/>
      <c r="M214" s="181">
        <f t="shared" ref="M214:M273" si="147">J214/E214*100</f>
        <v>62.336090926304735</v>
      </c>
      <c r="N214" s="25">
        <f t="shared" si="139"/>
        <v>9588000</v>
      </c>
      <c r="O214" s="25">
        <f>5000000+9350000+238000-5000000</f>
        <v>9588000</v>
      </c>
      <c r="P214" s="25">
        <f>61189.35-61189.35</f>
        <v>0</v>
      </c>
      <c r="Q214" s="25"/>
      <c r="R214" s="25"/>
      <c r="S214" s="25">
        <f>5000000+9350000+238000+61189.35-299189.35+238000-5000000</f>
        <v>9588000</v>
      </c>
      <c r="T214" s="15">
        <f t="shared" si="143"/>
        <v>9043291.1600000001</v>
      </c>
      <c r="U214" s="25">
        <v>9043291.1600000001</v>
      </c>
      <c r="V214" s="25"/>
      <c r="W214" s="25"/>
      <c r="X214" s="25"/>
      <c r="Y214" s="25">
        <v>9043291.1600000001</v>
      </c>
      <c r="Z214" s="181">
        <f t="shared" si="144"/>
        <v>94.318848143512724</v>
      </c>
      <c r="AA214" s="25">
        <f t="shared" si="145"/>
        <v>9283777.1600000001</v>
      </c>
      <c r="AB214" s="25">
        <f t="shared" si="138"/>
        <v>9973789.3499999996</v>
      </c>
      <c r="AC214" s="198"/>
    </row>
    <row r="215" spans="1:29" s="31" customFormat="1" ht="15" hidden="1" customHeight="1" x14ac:dyDescent="0.25">
      <c r="A215" s="27"/>
      <c r="B215" s="28"/>
      <c r="C215" s="28"/>
      <c r="D215" s="29" t="s">
        <v>399</v>
      </c>
      <c r="E215" s="30">
        <f t="shared" si="137"/>
        <v>0</v>
      </c>
      <c r="F215" s="30"/>
      <c r="G215" s="30"/>
      <c r="H215" s="30"/>
      <c r="I215" s="30"/>
      <c r="J215" s="30"/>
      <c r="K215" s="30"/>
      <c r="L215" s="30"/>
      <c r="M215" s="182" t="e">
        <f t="shared" si="147"/>
        <v>#DIV/0!</v>
      </c>
      <c r="N215" s="30">
        <f t="shared" si="139"/>
        <v>0</v>
      </c>
      <c r="O215" s="30"/>
      <c r="P215" s="30"/>
      <c r="Q215" s="30"/>
      <c r="R215" s="30"/>
      <c r="S215" s="30"/>
      <c r="T215" s="15">
        <f t="shared" si="143"/>
        <v>0</v>
      </c>
      <c r="U215" s="30"/>
      <c r="V215" s="30"/>
      <c r="W215" s="30"/>
      <c r="X215" s="30"/>
      <c r="Y215" s="30"/>
      <c r="Z215" s="182" t="e">
        <f t="shared" si="144"/>
        <v>#DIV/0!</v>
      </c>
      <c r="AA215" s="30">
        <f t="shared" si="145"/>
        <v>0</v>
      </c>
      <c r="AB215" s="25">
        <f t="shared" si="138"/>
        <v>0</v>
      </c>
      <c r="AC215" s="198"/>
    </row>
    <row r="216" spans="1:29" s="31" customFormat="1" ht="15" hidden="1" customHeight="1" x14ac:dyDescent="0.25">
      <c r="A216" s="27"/>
      <c r="B216" s="28"/>
      <c r="C216" s="28"/>
      <c r="D216" s="29" t="s">
        <v>597</v>
      </c>
      <c r="E216" s="30">
        <f t="shared" si="137"/>
        <v>0</v>
      </c>
      <c r="F216" s="30"/>
      <c r="G216" s="30"/>
      <c r="H216" s="30"/>
      <c r="I216" s="30"/>
      <c r="J216" s="30"/>
      <c r="K216" s="30"/>
      <c r="L216" s="30"/>
      <c r="M216" s="182" t="e">
        <f t="shared" si="147"/>
        <v>#DIV/0!</v>
      </c>
      <c r="N216" s="30">
        <f t="shared" si="139"/>
        <v>0</v>
      </c>
      <c r="O216" s="30"/>
      <c r="P216" s="30">
        <f>61189.35-61189.35</f>
        <v>0</v>
      </c>
      <c r="Q216" s="30"/>
      <c r="R216" s="30"/>
      <c r="S216" s="30">
        <f>238000+61189.35-299189.35</f>
        <v>0</v>
      </c>
      <c r="T216" s="15">
        <f t="shared" si="143"/>
        <v>0</v>
      </c>
      <c r="U216" s="30"/>
      <c r="V216" s="30"/>
      <c r="W216" s="30"/>
      <c r="X216" s="30"/>
      <c r="Y216" s="30"/>
      <c r="Z216" s="182" t="e">
        <f t="shared" si="144"/>
        <v>#DIV/0!</v>
      </c>
      <c r="AA216" s="30">
        <f t="shared" si="145"/>
        <v>0</v>
      </c>
      <c r="AB216" s="30">
        <f t="shared" si="138"/>
        <v>0</v>
      </c>
      <c r="AC216" s="198"/>
    </row>
    <row r="217" spans="1:29" s="26" customFormat="1" ht="78" hidden="1" customHeight="1" x14ac:dyDescent="0.25">
      <c r="A217" s="22" t="s">
        <v>347</v>
      </c>
      <c r="B217" s="23">
        <v>7700</v>
      </c>
      <c r="C217" s="22" t="s">
        <v>89</v>
      </c>
      <c r="D217" s="24" t="str">
        <f>'дод 5'!C303</f>
        <v>Реалізація програм допомоги і грантів Європейського Союзу, урядів іноземних держав, міжнародних організацій, донорських установ, у т.ч. за рахунок:</v>
      </c>
      <c r="E217" s="25">
        <f t="shared" si="137"/>
        <v>0</v>
      </c>
      <c r="F217" s="25"/>
      <c r="G217" s="25"/>
      <c r="H217" s="25"/>
      <c r="I217" s="25"/>
      <c r="J217" s="25"/>
      <c r="K217" s="25"/>
      <c r="L217" s="25"/>
      <c r="M217" s="181" t="e">
        <f t="shared" si="147"/>
        <v>#DIV/0!</v>
      </c>
      <c r="N217" s="25">
        <f t="shared" si="139"/>
        <v>0</v>
      </c>
      <c r="O217" s="25"/>
      <c r="P217" s="25"/>
      <c r="Q217" s="25"/>
      <c r="R217" s="25"/>
      <c r="S217" s="25"/>
      <c r="T217" s="15">
        <f t="shared" si="143"/>
        <v>0</v>
      </c>
      <c r="U217" s="25"/>
      <c r="V217" s="25"/>
      <c r="W217" s="25"/>
      <c r="X217" s="25"/>
      <c r="Y217" s="25"/>
      <c r="Z217" s="181" t="e">
        <f t="shared" si="144"/>
        <v>#DIV/0!</v>
      </c>
      <c r="AA217" s="25">
        <f t="shared" si="145"/>
        <v>0</v>
      </c>
      <c r="AB217" s="25">
        <f t="shared" si="138"/>
        <v>0</v>
      </c>
      <c r="AC217" s="198"/>
    </row>
    <row r="218" spans="1:29" s="31" customFormat="1" ht="22.5" hidden="1" customHeight="1" x14ac:dyDescent="0.25">
      <c r="A218" s="27"/>
      <c r="B218" s="28"/>
      <c r="C218" s="27"/>
      <c r="D218" s="29" t="s">
        <v>597</v>
      </c>
      <c r="E218" s="30">
        <f t="shared" ref="E218" si="148">F218+I218</f>
        <v>0</v>
      </c>
      <c r="F218" s="30"/>
      <c r="G218" s="30"/>
      <c r="H218" s="30"/>
      <c r="I218" s="30"/>
      <c r="J218" s="30"/>
      <c r="K218" s="30"/>
      <c r="L218" s="30"/>
      <c r="M218" s="182" t="e">
        <f t="shared" si="147"/>
        <v>#DIV/0!</v>
      </c>
      <c r="N218" s="30">
        <f t="shared" ref="N218" si="149">P218+S218</f>
        <v>0</v>
      </c>
      <c r="O218" s="30"/>
      <c r="P218" s="30"/>
      <c r="Q218" s="30"/>
      <c r="R218" s="30"/>
      <c r="S218" s="30"/>
      <c r="T218" s="15">
        <f t="shared" si="143"/>
        <v>0</v>
      </c>
      <c r="U218" s="30"/>
      <c r="V218" s="30"/>
      <c r="W218" s="30"/>
      <c r="X218" s="30"/>
      <c r="Y218" s="30"/>
      <c r="Z218" s="182" t="e">
        <f t="shared" si="144"/>
        <v>#DIV/0!</v>
      </c>
      <c r="AA218" s="30">
        <f t="shared" si="145"/>
        <v>0</v>
      </c>
      <c r="AB218" s="30">
        <f t="shared" ref="AB218" si="150">E218+N218</f>
        <v>0</v>
      </c>
      <c r="AC218" s="198"/>
    </row>
    <row r="219" spans="1:29" s="26" customFormat="1" ht="22.5" customHeight="1" x14ac:dyDescent="0.25">
      <c r="A219" s="22" t="s">
        <v>408</v>
      </c>
      <c r="B219" s="23">
        <v>9770</v>
      </c>
      <c r="C219" s="22" t="s">
        <v>43</v>
      </c>
      <c r="D219" s="24" t="s">
        <v>409</v>
      </c>
      <c r="E219" s="25">
        <f t="shared" si="137"/>
        <v>0</v>
      </c>
      <c r="F219" s="25"/>
      <c r="G219" s="25"/>
      <c r="H219" s="25"/>
      <c r="I219" s="25"/>
      <c r="J219" s="25"/>
      <c r="K219" s="25"/>
      <c r="L219" s="25"/>
      <c r="M219" s="181"/>
      <c r="N219" s="25">
        <f t="shared" si="139"/>
        <v>52387</v>
      </c>
      <c r="O219" s="25">
        <v>52387</v>
      </c>
      <c r="P219" s="25"/>
      <c r="Q219" s="25"/>
      <c r="R219" s="25"/>
      <c r="S219" s="25">
        <v>52387</v>
      </c>
      <c r="T219" s="15">
        <f t="shared" si="143"/>
        <v>52386.22</v>
      </c>
      <c r="U219" s="25">
        <v>52386.22</v>
      </c>
      <c r="V219" s="25"/>
      <c r="W219" s="25"/>
      <c r="X219" s="25"/>
      <c r="Y219" s="25">
        <v>52386.22</v>
      </c>
      <c r="Z219" s="181">
        <f t="shared" si="144"/>
        <v>99.998511080993381</v>
      </c>
      <c r="AA219" s="25">
        <f t="shared" si="145"/>
        <v>52386.22</v>
      </c>
      <c r="AB219" s="25">
        <f t="shared" si="138"/>
        <v>52387</v>
      </c>
      <c r="AC219" s="198"/>
    </row>
    <row r="220" spans="1:29" s="26" customFormat="1" ht="38.25" hidden="1" customHeight="1" x14ac:dyDescent="0.25">
      <c r="A220" s="22" t="s">
        <v>562</v>
      </c>
      <c r="B220" s="23">
        <v>8775</v>
      </c>
      <c r="C220" s="22" t="s">
        <v>89</v>
      </c>
      <c r="D220" s="24" t="s">
        <v>561</v>
      </c>
      <c r="E220" s="25">
        <f>F220</f>
        <v>0</v>
      </c>
      <c r="F220" s="25"/>
      <c r="G220" s="25"/>
      <c r="H220" s="25"/>
      <c r="I220" s="25"/>
      <c r="J220" s="25"/>
      <c r="K220" s="25"/>
      <c r="L220" s="25"/>
      <c r="M220" s="181" t="e">
        <f t="shared" si="147"/>
        <v>#DIV/0!</v>
      </c>
      <c r="N220" s="25">
        <f t="shared" si="139"/>
        <v>0</v>
      </c>
      <c r="O220" s="25"/>
      <c r="P220" s="25"/>
      <c r="Q220" s="25"/>
      <c r="R220" s="25"/>
      <c r="S220" s="25"/>
      <c r="T220" s="15">
        <f t="shared" si="143"/>
        <v>0</v>
      </c>
      <c r="U220" s="25"/>
      <c r="V220" s="25"/>
      <c r="W220" s="25"/>
      <c r="X220" s="25"/>
      <c r="Y220" s="25"/>
      <c r="Z220" s="181" t="e">
        <f t="shared" si="144"/>
        <v>#DIV/0!</v>
      </c>
      <c r="AA220" s="25">
        <f t="shared" si="145"/>
        <v>0</v>
      </c>
      <c r="AB220" s="25">
        <f t="shared" si="138"/>
        <v>0</v>
      </c>
      <c r="AC220" s="198"/>
    </row>
    <row r="221" spans="1:29" s="16" customFormat="1" ht="36" customHeight="1" x14ac:dyDescent="0.25">
      <c r="A221" s="37" t="s">
        <v>170</v>
      </c>
      <c r="B221" s="38"/>
      <c r="C221" s="38"/>
      <c r="D221" s="39" t="s">
        <v>37</v>
      </c>
      <c r="E221" s="15">
        <f>E222</f>
        <v>476083004.13</v>
      </c>
      <c r="F221" s="15">
        <f t="shared" ref="F221:AA221" si="151">F222</f>
        <v>476083004.13</v>
      </c>
      <c r="G221" s="15">
        <f t="shared" si="151"/>
        <v>70254256</v>
      </c>
      <c r="H221" s="15">
        <f t="shared" si="151"/>
        <v>3524300</v>
      </c>
      <c r="I221" s="15">
        <f t="shared" si="151"/>
        <v>0</v>
      </c>
      <c r="J221" s="15">
        <f t="shared" si="151"/>
        <v>465471637.03999996</v>
      </c>
      <c r="K221" s="15">
        <f t="shared" si="151"/>
        <v>69980912.170000002</v>
      </c>
      <c r="L221" s="15">
        <f t="shared" si="151"/>
        <v>2634418.0299999998</v>
      </c>
      <c r="M221" s="121">
        <f t="shared" si="147"/>
        <v>97.771109869928793</v>
      </c>
      <c r="N221" s="15">
        <f t="shared" si="151"/>
        <v>32209499.789999999</v>
      </c>
      <c r="O221" s="15">
        <f t="shared" si="151"/>
        <v>32140899.789999999</v>
      </c>
      <c r="P221" s="15">
        <f t="shared" si="151"/>
        <v>68600</v>
      </c>
      <c r="Q221" s="15">
        <f t="shared" si="151"/>
        <v>56100</v>
      </c>
      <c r="R221" s="15">
        <f t="shared" si="151"/>
        <v>0</v>
      </c>
      <c r="S221" s="15">
        <f t="shared" si="151"/>
        <v>32140899.789999999</v>
      </c>
      <c r="T221" s="15">
        <f t="shared" si="151"/>
        <v>46320933.009999998</v>
      </c>
      <c r="U221" s="15">
        <f t="shared" si="151"/>
        <v>32125840.84</v>
      </c>
      <c r="V221" s="15">
        <f t="shared" si="151"/>
        <v>11853512.59</v>
      </c>
      <c r="W221" s="15">
        <f t="shared" si="151"/>
        <v>259174.86</v>
      </c>
      <c r="X221" s="15">
        <f t="shared" si="151"/>
        <v>0</v>
      </c>
      <c r="Y221" s="15">
        <f t="shared" si="151"/>
        <v>34467420.420000002</v>
      </c>
      <c r="Z221" s="121" t="s">
        <v>769</v>
      </c>
      <c r="AA221" s="15">
        <f t="shared" si="151"/>
        <v>511792570.05000001</v>
      </c>
      <c r="AB221" s="15">
        <f t="shared" ref="AB221" si="152">AB222</f>
        <v>508292503.92000002</v>
      </c>
      <c r="AC221" s="198"/>
    </row>
    <row r="222" spans="1:29" s="21" customFormat="1" ht="32.25" customHeight="1" x14ac:dyDescent="0.25">
      <c r="A222" s="17" t="s">
        <v>171</v>
      </c>
      <c r="B222" s="40"/>
      <c r="C222" s="40"/>
      <c r="D222" s="19" t="s">
        <v>599</v>
      </c>
      <c r="E222" s="20">
        <f>E230+E231+E232+E233+E234+E236+E237+E238+E240+E242+E244+E247+E249+E251+E252+E253+E256+E257+E258+E260+E262+E264+E265+E268+E272+E243+E269+E271+E270+E254</f>
        <v>476083004.13</v>
      </c>
      <c r="F222" s="20">
        <f t="shared" ref="F222:AA222" si="153">F230+F231+F232+F233+F234+F236+F237+F238+F240+F242+F244+F247+F249+F251+F252+F253+F256+F257+F258+F260+F262+F264+F265+F268+F272+F243+F269+F271+F270+F254</f>
        <v>476083004.13</v>
      </c>
      <c r="G222" s="20">
        <f t="shared" si="153"/>
        <v>70254256</v>
      </c>
      <c r="H222" s="20">
        <f t="shared" si="153"/>
        <v>3524300</v>
      </c>
      <c r="I222" s="20">
        <f t="shared" si="153"/>
        <v>0</v>
      </c>
      <c r="J222" s="20">
        <f t="shared" si="153"/>
        <v>465471637.03999996</v>
      </c>
      <c r="K222" s="20">
        <f t="shared" si="153"/>
        <v>69980912.170000002</v>
      </c>
      <c r="L222" s="20">
        <f t="shared" si="153"/>
        <v>2634418.0299999998</v>
      </c>
      <c r="M222" s="187">
        <f t="shared" si="147"/>
        <v>97.771109869928793</v>
      </c>
      <c r="N222" s="20">
        <f t="shared" si="153"/>
        <v>32209499.789999999</v>
      </c>
      <c r="O222" s="20">
        <f t="shared" si="153"/>
        <v>32140899.789999999</v>
      </c>
      <c r="P222" s="20">
        <f t="shared" si="153"/>
        <v>68600</v>
      </c>
      <c r="Q222" s="20">
        <f t="shared" si="153"/>
        <v>56100</v>
      </c>
      <c r="R222" s="20">
        <f t="shared" si="153"/>
        <v>0</v>
      </c>
      <c r="S222" s="20">
        <f t="shared" si="153"/>
        <v>32140899.789999999</v>
      </c>
      <c r="T222" s="20">
        <f t="shared" si="153"/>
        <v>46320933.009999998</v>
      </c>
      <c r="U222" s="20">
        <f t="shared" si="153"/>
        <v>32125840.84</v>
      </c>
      <c r="V222" s="20">
        <f t="shared" si="153"/>
        <v>11853512.59</v>
      </c>
      <c r="W222" s="20">
        <f t="shared" si="153"/>
        <v>259174.86</v>
      </c>
      <c r="X222" s="20">
        <f t="shared" si="153"/>
        <v>0</v>
      </c>
      <c r="Y222" s="20">
        <f t="shared" si="153"/>
        <v>34467420.420000002</v>
      </c>
      <c r="Z222" s="187" t="s">
        <v>769</v>
      </c>
      <c r="AA222" s="20">
        <f t="shared" si="153"/>
        <v>511792570.05000001</v>
      </c>
      <c r="AB222" s="20">
        <f t="shared" ref="AB222" si="154">AB230+AB231+AB232+AB233+AB234+AB236+AB237+AB238+AB240+AB242+AB244+AB247+AB249+AB251+AB252+AB253+AB256+AB257+AB258+AB260+AB262+AB264+AB265+AB268+AB272+AB243+AB269+AB271+AB270+AB254</f>
        <v>508292503.92000002</v>
      </c>
      <c r="AC222" s="198"/>
    </row>
    <row r="223" spans="1:29" s="21" customFormat="1" ht="21" customHeight="1" x14ac:dyDescent="0.25">
      <c r="A223" s="17"/>
      <c r="B223" s="40"/>
      <c r="C223" s="40"/>
      <c r="D223" s="19" t="s">
        <v>380</v>
      </c>
      <c r="E223" s="20">
        <f t="shared" ref="E223:AB223" si="155">E235+E239+E241+E248+E250+E266</f>
        <v>11086875.810000001</v>
      </c>
      <c r="F223" s="20">
        <f t="shared" ref="F223:AA223" si="156">F235+F239+F241+F248+F250+F266</f>
        <v>11086875.810000001</v>
      </c>
      <c r="G223" s="20">
        <f t="shared" si="156"/>
        <v>0</v>
      </c>
      <c r="H223" s="20">
        <f t="shared" si="156"/>
        <v>0</v>
      </c>
      <c r="I223" s="20">
        <f t="shared" si="156"/>
        <v>0</v>
      </c>
      <c r="J223" s="20">
        <f t="shared" si="156"/>
        <v>5386121.1899999995</v>
      </c>
      <c r="K223" s="20">
        <f t="shared" si="156"/>
        <v>0</v>
      </c>
      <c r="L223" s="20">
        <f t="shared" si="156"/>
        <v>0</v>
      </c>
      <c r="M223" s="187">
        <f t="shared" si="147"/>
        <v>48.581054593773779</v>
      </c>
      <c r="N223" s="20">
        <f t="shared" si="156"/>
        <v>0</v>
      </c>
      <c r="O223" s="20">
        <f t="shared" si="156"/>
        <v>0</v>
      </c>
      <c r="P223" s="20">
        <f t="shared" si="156"/>
        <v>0</v>
      </c>
      <c r="Q223" s="20">
        <f t="shared" si="156"/>
        <v>0</v>
      </c>
      <c r="R223" s="20">
        <f t="shared" si="156"/>
        <v>0</v>
      </c>
      <c r="S223" s="20">
        <f t="shared" si="156"/>
        <v>0</v>
      </c>
      <c r="T223" s="20">
        <f t="shared" si="156"/>
        <v>0</v>
      </c>
      <c r="U223" s="20">
        <f t="shared" si="156"/>
        <v>0</v>
      </c>
      <c r="V223" s="20">
        <f t="shared" si="156"/>
        <v>0</v>
      </c>
      <c r="W223" s="20">
        <f t="shared" si="156"/>
        <v>0</v>
      </c>
      <c r="X223" s="20">
        <f t="shared" si="156"/>
        <v>0</v>
      </c>
      <c r="Y223" s="20">
        <f t="shared" si="156"/>
        <v>0</v>
      </c>
      <c r="Z223" s="187"/>
      <c r="AA223" s="20">
        <f t="shared" si="156"/>
        <v>5386121.1899999995</v>
      </c>
      <c r="AB223" s="20">
        <f t="shared" si="155"/>
        <v>11086875.810000001</v>
      </c>
      <c r="AC223" s="198"/>
    </row>
    <row r="224" spans="1:29" s="21" customFormat="1" ht="126.75" customHeight="1" x14ac:dyDescent="0.25">
      <c r="A224" s="17"/>
      <c r="B224" s="40"/>
      <c r="C224" s="40"/>
      <c r="D224" s="19" t="s">
        <v>662</v>
      </c>
      <c r="E224" s="20">
        <f>E245</f>
        <v>1495257</v>
      </c>
      <c r="F224" s="20">
        <f t="shared" ref="F224:AA224" si="157">F245</f>
        <v>1495257</v>
      </c>
      <c r="G224" s="20">
        <f t="shared" si="157"/>
        <v>0</v>
      </c>
      <c r="H224" s="20">
        <f t="shared" si="157"/>
        <v>0</v>
      </c>
      <c r="I224" s="20">
        <f t="shared" si="157"/>
        <v>0</v>
      </c>
      <c r="J224" s="20">
        <f t="shared" si="157"/>
        <v>1495257</v>
      </c>
      <c r="K224" s="20">
        <f t="shared" si="157"/>
        <v>0</v>
      </c>
      <c r="L224" s="20">
        <f t="shared" si="157"/>
        <v>0</v>
      </c>
      <c r="M224" s="187">
        <f t="shared" si="147"/>
        <v>100</v>
      </c>
      <c r="N224" s="20">
        <f t="shared" si="157"/>
        <v>0</v>
      </c>
      <c r="O224" s="20">
        <f t="shared" si="157"/>
        <v>0</v>
      </c>
      <c r="P224" s="20">
        <f t="shared" si="157"/>
        <v>0</v>
      </c>
      <c r="Q224" s="20">
        <f t="shared" si="157"/>
        <v>0</v>
      </c>
      <c r="R224" s="20">
        <f t="shared" si="157"/>
        <v>0</v>
      </c>
      <c r="S224" s="20">
        <f t="shared" si="157"/>
        <v>0</v>
      </c>
      <c r="T224" s="20">
        <f t="shared" si="157"/>
        <v>0</v>
      </c>
      <c r="U224" s="20">
        <f t="shared" si="157"/>
        <v>0</v>
      </c>
      <c r="V224" s="20">
        <f t="shared" si="157"/>
        <v>0</v>
      </c>
      <c r="W224" s="20">
        <f t="shared" si="157"/>
        <v>0</v>
      </c>
      <c r="X224" s="20">
        <f t="shared" si="157"/>
        <v>0</v>
      </c>
      <c r="Y224" s="20">
        <f t="shared" si="157"/>
        <v>0</v>
      </c>
      <c r="Z224" s="187"/>
      <c r="AA224" s="20">
        <f t="shared" si="157"/>
        <v>1495257</v>
      </c>
      <c r="AB224" s="20">
        <f t="shared" ref="AB224" si="158">AB245</f>
        <v>1495257</v>
      </c>
      <c r="AC224" s="198"/>
    </row>
    <row r="225" spans="1:29" s="21" customFormat="1" ht="113.65" customHeight="1" x14ac:dyDescent="0.25">
      <c r="A225" s="17"/>
      <c r="B225" s="40"/>
      <c r="C225" s="40"/>
      <c r="D225" s="19" t="str">
        <f>D246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25" s="20">
        <f t="shared" ref="E225:AB225" si="159">E246+E267</f>
        <v>75253000</v>
      </c>
      <c r="F225" s="20">
        <f t="shared" ref="F225:AA225" si="160">F246+F267</f>
        <v>75253000</v>
      </c>
      <c r="G225" s="20">
        <f t="shared" si="160"/>
        <v>0</v>
      </c>
      <c r="H225" s="20">
        <f t="shared" si="160"/>
        <v>0</v>
      </c>
      <c r="I225" s="20">
        <f t="shared" si="160"/>
        <v>0</v>
      </c>
      <c r="J225" s="20">
        <f t="shared" si="160"/>
        <v>75033135.590000004</v>
      </c>
      <c r="K225" s="20">
        <f t="shared" si="160"/>
        <v>0</v>
      </c>
      <c r="L225" s="20">
        <f t="shared" si="160"/>
        <v>0</v>
      </c>
      <c r="M225" s="187">
        <f t="shared" si="147"/>
        <v>99.707833029912436</v>
      </c>
      <c r="N225" s="20">
        <f t="shared" si="160"/>
        <v>0</v>
      </c>
      <c r="O225" s="20">
        <f t="shared" si="160"/>
        <v>0</v>
      </c>
      <c r="P225" s="20">
        <f t="shared" si="160"/>
        <v>0</v>
      </c>
      <c r="Q225" s="20">
        <f t="shared" si="160"/>
        <v>0</v>
      </c>
      <c r="R225" s="20">
        <f t="shared" si="160"/>
        <v>0</v>
      </c>
      <c r="S225" s="20">
        <f t="shared" si="160"/>
        <v>0</v>
      </c>
      <c r="T225" s="20">
        <f t="shared" si="160"/>
        <v>0</v>
      </c>
      <c r="U225" s="20">
        <f t="shared" si="160"/>
        <v>0</v>
      </c>
      <c r="V225" s="20">
        <f t="shared" si="160"/>
        <v>0</v>
      </c>
      <c r="W225" s="20">
        <f t="shared" si="160"/>
        <v>0</v>
      </c>
      <c r="X225" s="20">
        <f t="shared" si="160"/>
        <v>0</v>
      </c>
      <c r="Y225" s="20">
        <f t="shared" si="160"/>
        <v>0</v>
      </c>
      <c r="Z225" s="187"/>
      <c r="AA225" s="20">
        <f t="shared" si="160"/>
        <v>75033135.590000004</v>
      </c>
      <c r="AB225" s="20">
        <f t="shared" si="159"/>
        <v>75253000</v>
      </c>
      <c r="AC225" s="198"/>
    </row>
    <row r="226" spans="1:29" s="21" customFormat="1" ht="323.64999999999998" customHeight="1" x14ac:dyDescent="0.25">
      <c r="A226" s="17"/>
      <c r="B226" s="40"/>
      <c r="C226" s="40"/>
      <c r="D226" s="19" t="str">
        <f>D259</f>
        <v>субвенції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E226" s="20">
        <f t="shared" ref="E226:AB226" si="161">E259</f>
        <v>0</v>
      </c>
      <c r="F226" s="20">
        <f t="shared" ref="F226:AA226" si="162">F259</f>
        <v>0</v>
      </c>
      <c r="G226" s="20">
        <f t="shared" si="162"/>
        <v>0</v>
      </c>
      <c r="H226" s="20">
        <f t="shared" si="162"/>
        <v>0</v>
      </c>
      <c r="I226" s="20">
        <f t="shared" si="162"/>
        <v>0</v>
      </c>
      <c r="J226" s="20">
        <f t="shared" si="162"/>
        <v>0</v>
      </c>
      <c r="K226" s="20">
        <f t="shared" si="162"/>
        <v>0</v>
      </c>
      <c r="L226" s="20">
        <f t="shared" si="162"/>
        <v>0</v>
      </c>
      <c r="M226" s="187"/>
      <c r="N226" s="20">
        <f t="shared" si="162"/>
        <v>8260461.4100000001</v>
      </c>
      <c r="O226" s="20">
        <f t="shared" si="162"/>
        <v>8260461.4100000001</v>
      </c>
      <c r="P226" s="20">
        <f t="shared" si="162"/>
        <v>0</v>
      </c>
      <c r="Q226" s="20">
        <f t="shared" si="162"/>
        <v>0</v>
      </c>
      <c r="R226" s="20">
        <f t="shared" si="162"/>
        <v>0</v>
      </c>
      <c r="S226" s="20">
        <f t="shared" si="162"/>
        <v>8260461.4100000001</v>
      </c>
      <c r="T226" s="20">
        <f t="shared" si="162"/>
        <v>8260461.4100000001</v>
      </c>
      <c r="U226" s="20">
        <f t="shared" si="162"/>
        <v>8260461.4100000001</v>
      </c>
      <c r="V226" s="20">
        <f t="shared" si="162"/>
        <v>0</v>
      </c>
      <c r="W226" s="20">
        <f t="shared" si="162"/>
        <v>0</v>
      </c>
      <c r="X226" s="20">
        <f t="shared" si="162"/>
        <v>0</v>
      </c>
      <c r="Y226" s="20">
        <f t="shared" si="162"/>
        <v>8260461.4100000001</v>
      </c>
      <c r="Z226" s="187">
        <f t="shared" si="144"/>
        <v>100</v>
      </c>
      <c r="AA226" s="20">
        <f t="shared" si="162"/>
        <v>8260461.4100000001</v>
      </c>
      <c r="AB226" s="20">
        <f t="shared" si="161"/>
        <v>8260461.4100000001</v>
      </c>
      <c r="AC226" s="198"/>
    </row>
    <row r="227" spans="1:29" s="21" customFormat="1" ht="333" customHeight="1" x14ac:dyDescent="0.25">
      <c r="A227" s="17"/>
      <c r="B227" s="40"/>
      <c r="C227" s="40"/>
      <c r="D227" s="19" t="str">
        <f>D261</f>
        <v>субвенції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E227" s="20">
        <f t="shared" ref="E227:AB227" si="163">E261</f>
        <v>0</v>
      </c>
      <c r="F227" s="20">
        <f t="shared" ref="F227:AA227" si="164">F261</f>
        <v>0</v>
      </c>
      <c r="G227" s="20">
        <f t="shared" si="164"/>
        <v>0</v>
      </c>
      <c r="H227" s="20">
        <f t="shared" si="164"/>
        <v>0</v>
      </c>
      <c r="I227" s="20">
        <f t="shared" si="164"/>
        <v>0</v>
      </c>
      <c r="J227" s="20">
        <f t="shared" si="164"/>
        <v>0</v>
      </c>
      <c r="K227" s="20">
        <f t="shared" si="164"/>
        <v>0</v>
      </c>
      <c r="L227" s="20">
        <f t="shared" si="164"/>
        <v>0</v>
      </c>
      <c r="M227" s="187"/>
      <c r="N227" s="20">
        <f t="shared" si="164"/>
        <v>20395339.16</v>
      </c>
      <c r="O227" s="20">
        <f t="shared" si="164"/>
        <v>20395339.16</v>
      </c>
      <c r="P227" s="20">
        <f t="shared" si="164"/>
        <v>0</v>
      </c>
      <c r="Q227" s="20">
        <f t="shared" si="164"/>
        <v>0</v>
      </c>
      <c r="R227" s="20">
        <f t="shared" si="164"/>
        <v>0</v>
      </c>
      <c r="S227" s="20">
        <f t="shared" si="164"/>
        <v>20395339.16</v>
      </c>
      <c r="T227" s="20">
        <f t="shared" si="164"/>
        <v>20395339.16</v>
      </c>
      <c r="U227" s="20">
        <f t="shared" si="164"/>
        <v>20395339.16</v>
      </c>
      <c r="V227" s="20">
        <f t="shared" si="164"/>
        <v>0</v>
      </c>
      <c r="W227" s="20">
        <f t="shared" si="164"/>
        <v>0</v>
      </c>
      <c r="X227" s="20">
        <f t="shared" si="164"/>
        <v>0</v>
      </c>
      <c r="Y227" s="20">
        <f t="shared" si="164"/>
        <v>20395339.16</v>
      </c>
      <c r="Z227" s="187">
        <f t="shared" si="144"/>
        <v>100</v>
      </c>
      <c r="AA227" s="20">
        <f t="shared" si="164"/>
        <v>20395339.16</v>
      </c>
      <c r="AB227" s="20">
        <f t="shared" si="163"/>
        <v>20395339.16</v>
      </c>
      <c r="AC227" s="198">
        <v>9</v>
      </c>
    </row>
    <row r="228" spans="1:29" s="21" customFormat="1" ht="249" customHeight="1" x14ac:dyDescent="0.25">
      <c r="A228" s="17"/>
      <c r="B228" s="40"/>
      <c r="C228" s="40"/>
      <c r="D228" s="19" t="str">
        <f>D263</f>
        <v>субвенції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E228" s="20">
        <f>E263</f>
        <v>0</v>
      </c>
      <c r="F228" s="20">
        <f t="shared" ref="F228:AA228" si="165">F263</f>
        <v>0</v>
      </c>
      <c r="G228" s="20">
        <f t="shared" si="165"/>
        <v>0</v>
      </c>
      <c r="H228" s="20">
        <f t="shared" si="165"/>
        <v>0</v>
      </c>
      <c r="I228" s="20">
        <f t="shared" si="165"/>
        <v>0</v>
      </c>
      <c r="J228" s="20">
        <f t="shared" si="165"/>
        <v>0</v>
      </c>
      <c r="K228" s="20">
        <f t="shared" si="165"/>
        <v>0</v>
      </c>
      <c r="L228" s="20">
        <f t="shared" si="165"/>
        <v>0</v>
      </c>
      <c r="M228" s="187"/>
      <c r="N228" s="20">
        <f t="shared" si="165"/>
        <v>3386099.22</v>
      </c>
      <c r="O228" s="20">
        <f t="shared" si="165"/>
        <v>3386099.22</v>
      </c>
      <c r="P228" s="20">
        <f t="shared" si="165"/>
        <v>0</v>
      </c>
      <c r="Q228" s="20">
        <f t="shared" si="165"/>
        <v>0</v>
      </c>
      <c r="R228" s="20">
        <f t="shared" si="165"/>
        <v>0</v>
      </c>
      <c r="S228" s="20">
        <f t="shared" si="165"/>
        <v>3386099.22</v>
      </c>
      <c r="T228" s="20">
        <f t="shared" si="165"/>
        <v>3386099.22</v>
      </c>
      <c r="U228" s="20">
        <f t="shared" si="165"/>
        <v>3386099.22</v>
      </c>
      <c r="V228" s="20">
        <f t="shared" si="165"/>
        <v>0</v>
      </c>
      <c r="W228" s="20">
        <f t="shared" si="165"/>
        <v>0</v>
      </c>
      <c r="X228" s="20">
        <f t="shared" si="165"/>
        <v>0</v>
      </c>
      <c r="Y228" s="20">
        <f t="shared" si="165"/>
        <v>3386099.22</v>
      </c>
      <c r="Z228" s="187">
        <f t="shared" si="144"/>
        <v>100</v>
      </c>
      <c r="AA228" s="20">
        <f t="shared" si="165"/>
        <v>3386099.22</v>
      </c>
      <c r="AB228" s="20">
        <f t="shared" ref="AB228" si="166">AB263</f>
        <v>3386099.22</v>
      </c>
      <c r="AC228" s="198"/>
    </row>
    <row r="229" spans="1:29" s="21" customFormat="1" ht="106.5" customHeight="1" x14ac:dyDescent="0.25">
      <c r="A229" s="17"/>
      <c r="B229" s="40"/>
      <c r="C229" s="40"/>
      <c r="D229" s="19" t="s">
        <v>741</v>
      </c>
      <c r="E229" s="20">
        <f>E255</f>
        <v>184288.32</v>
      </c>
      <c r="F229" s="20">
        <f t="shared" ref="F229:AA229" si="167">F255</f>
        <v>184288.32</v>
      </c>
      <c r="G229" s="20">
        <f t="shared" si="167"/>
        <v>151056</v>
      </c>
      <c r="H229" s="20">
        <f t="shared" si="167"/>
        <v>0</v>
      </c>
      <c r="I229" s="20">
        <f t="shared" si="167"/>
        <v>0</v>
      </c>
      <c r="J229" s="20">
        <f t="shared" si="167"/>
        <v>0</v>
      </c>
      <c r="K229" s="20">
        <f t="shared" si="167"/>
        <v>0</v>
      </c>
      <c r="L229" s="20">
        <f t="shared" si="167"/>
        <v>0</v>
      </c>
      <c r="M229" s="187">
        <f t="shared" si="147"/>
        <v>0</v>
      </c>
      <c r="N229" s="20">
        <f t="shared" si="167"/>
        <v>0</v>
      </c>
      <c r="O229" s="20">
        <f t="shared" si="167"/>
        <v>0</v>
      </c>
      <c r="P229" s="20">
        <f t="shared" si="167"/>
        <v>0</v>
      </c>
      <c r="Q229" s="20">
        <f t="shared" si="167"/>
        <v>0</v>
      </c>
      <c r="R229" s="20">
        <f t="shared" si="167"/>
        <v>0</v>
      </c>
      <c r="S229" s="20">
        <f t="shared" si="167"/>
        <v>0</v>
      </c>
      <c r="T229" s="20">
        <f t="shared" si="167"/>
        <v>0</v>
      </c>
      <c r="U229" s="20">
        <f t="shared" si="167"/>
        <v>0</v>
      </c>
      <c r="V229" s="20">
        <f t="shared" si="167"/>
        <v>0</v>
      </c>
      <c r="W229" s="20">
        <f t="shared" si="167"/>
        <v>0</v>
      </c>
      <c r="X229" s="20">
        <f t="shared" si="167"/>
        <v>0</v>
      </c>
      <c r="Y229" s="20">
        <f t="shared" si="167"/>
        <v>0</v>
      </c>
      <c r="Z229" s="187" t="e">
        <f t="shared" si="144"/>
        <v>#DIV/0!</v>
      </c>
      <c r="AA229" s="20">
        <f t="shared" si="167"/>
        <v>0</v>
      </c>
      <c r="AB229" s="20">
        <f t="shared" ref="AB229" si="168">AB255</f>
        <v>184288.32</v>
      </c>
      <c r="AC229" s="198"/>
    </row>
    <row r="230" spans="1:29" s="26" customFormat="1" ht="50.25" customHeight="1" x14ac:dyDescent="0.25">
      <c r="A230" s="22" t="s">
        <v>172</v>
      </c>
      <c r="B230" s="23" t="str">
        <f>'дод 5'!A21</f>
        <v>0160</v>
      </c>
      <c r="C230" s="23" t="str">
        <f>'дод 5'!B21</f>
        <v>0111</v>
      </c>
      <c r="D230" s="24" t="s">
        <v>707</v>
      </c>
      <c r="E230" s="25">
        <f t="shared" ref="E230:E272" si="169">F230+I230</f>
        <v>62308700</v>
      </c>
      <c r="F230" s="25">
        <f>58927500-472300-796500+4787500+55600-193100</f>
        <v>62308700</v>
      </c>
      <c r="G230" s="25">
        <f>45101400-387100-652900+3927400-158300</f>
        <v>47830500</v>
      </c>
      <c r="H230" s="25">
        <v>1900500</v>
      </c>
      <c r="I230" s="25"/>
      <c r="J230" s="25">
        <v>61404030.090000004</v>
      </c>
      <c r="K230" s="25">
        <v>47830476.200000003</v>
      </c>
      <c r="L230" s="25">
        <v>1211463.47</v>
      </c>
      <c r="M230" s="181">
        <f t="shared" si="147"/>
        <v>98.548084119874119</v>
      </c>
      <c r="N230" s="25">
        <f>P230+S230</f>
        <v>0</v>
      </c>
      <c r="O230" s="25"/>
      <c r="P230" s="25"/>
      <c r="Q230" s="25"/>
      <c r="R230" s="25"/>
      <c r="S230" s="25"/>
      <c r="T230" s="15">
        <f t="shared" si="143"/>
        <v>9987569.2400000002</v>
      </c>
      <c r="U230" s="25"/>
      <c r="V230" s="25">
        <v>9032255.3100000005</v>
      </c>
      <c r="W230" s="25"/>
      <c r="X230" s="25"/>
      <c r="Y230" s="25">
        <v>955313.93</v>
      </c>
      <c r="Z230" s="181"/>
      <c r="AA230" s="25">
        <f t="shared" si="145"/>
        <v>71391599.329999998</v>
      </c>
      <c r="AB230" s="25">
        <f t="shared" ref="AB230:AB272" si="170">E230+N230</f>
        <v>62308700</v>
      </c>
      <c r="AC230" s="198"/>
    </row>
    <row r="231" spans="1:29" s="26" customFormat="1" ht="23.25" hidden="1" customHeight="1" x14ac:dyDescent="0.25">
      <c r="A231" s="22" t="s">
        <v>485</v>
      </c>
      <c r="B231" s="22" t="s">
        <v>43</v>
      </c>
      <c r="C231" s="22" t="s">
        <v>89</v>
      </c>
      <c r="D231" s="24" t="str">
        <f>'дод 5'!C24</f>
        <v>Інша діяльність у сфері державного управління, у т.ч.за рахунок:</v>
      </c>
      <c r="E231" s="25">
        <f t="shared" si="169"/>
        <v>0</v>
      </c>
      <c r="F231" s="25"/>
      <c r="G231" s="25"/>
      <c r="H231" s="25"/>
      <c r="I231" s="25"/>
      <c r="J231" s="25"/>
      <c r="K231" s="25"/>
      <c r="L231" s="25"/>
      <c r="M231" s="181" t="e">
        <f t="shared" si="147"/>
        <v>#DIV/0!</v>
      </c>
      <c r="N231" s="25">
        <f>P231+S231</f>
        <v>0</v>
      </c>
      <c r="O231" s="25"/>
      <c r="P231" s="25"/>
      <c r="Q231" s="25"/>
      <c r="R231" s="25"/>
      <c r="S231" s="25"/>
      <c r="T231" s="15">
        <f t="shared" si="143"/>
        <v>0</v>
      </c>
      <c r="U231" s="25"/>
      <c r="V231" s="25"/>
      <c r="W231" s="25"/>
      <c r="X231" s="25"/>
      <c r="Y231" s="25"/>
      <c r="Z231" s="181"/>
      <c r="AA231" s="25">
        <f t="shared" si="145"/>
        <v>0</v>
      </c>
      <c r="AB231" s="25">
        <f t="shared" si="170"/>
        <v>0</v>
      </c>
      <c r="AC231" s="198"/>
    </row>
    <row r="232" spans="1:29" s="26" customFormat="1" ht="36" customHeight="1" x14ac:dyDescent="0.25">
      <c r="A232" s="22" t="s">
        <v>173</v>
      </c>
      <c r="B232" s="23" t="str">
        <f>'дод 5'!A146</f>
        <v>3031</v>
      </c>
      <c r="C232" s="23" t="str">
        <f>'дод 5'!B146</f>
        <v>1030</v>
      </c>
      <c r="D232" s="24" t="str">
        <f>'дод 5'!C146</f>
        <v>Надання інших пільг окремим категоріям громадян відповідно до законодавства</v>
      </c>
      <c r="E232" s="25">
        <f t="shared" si="169"/>
        <v>421900</v>
      </c>
      <c r="F232" s="25">
        <f>466000-33000-11100</f>
        <v>421900</v>
      </c>
      <c r="G232" s="25"/>
      <c r="H232" s="25"/>
      <c r="I232" s="25"/>
      <c r="J232" s="25">
        <v>409691.74</v>
      </c>
      <c r="K232" s="25"/>
      <c r="L232" s="25"/>
      <c r="M232" s="181">
        <f t="shared" si="147"/>
        <v>97.106361697084623</v>
      </c>
      <c r="N232" s="25">
        <f t="shared" ref="N232:N263" si="171">P232+S232</f>
        <v>0</v>
      </c>
      <c r="O232" s="25"/>
      <c r="P232" s="25"/>
      <c r="Q232" s="25"/>
      <c r="R232" s="25"/>
      <c r="S232" s="25"/>
      <c r="T232" s="15">
        <f t="shared" si="143"/>
        <v>0</v>
      </c>
      <c r="U232" s="25"/>
      <c r="V232" s="25"/>
      <c r="W232" s="25"/>
      <c r="X232" s="25"/>
      <c r="Y232" s="25"/>
      <c r="Z232" s="181"/>
      <c r="AA232" s="25">
        <f t="shared" si="145"/>
        <v>409691.74</v>
      </c>
      <c r="AB232" s="25">
        <f t="shared" si="170"/>
        <v>421900</v>
      </c>
      <c r="AC232" s="198"/>
    </row>
    <row r="233" spans="1:29" s="26" customFormat="1" ht="31.5" x14ac:dyDescent="0.25">
      <c r="A233" s="22" t="s">
        <v>174</v>
      </c>
      <c r="B233" s="23" t="str">
        <f>'дод 5'!A147</f>
        <v>3032</v>
      </c>
      <c r="C233" s="23" t="str">
        <f>'дод 5'!B147</f>
        <v>1070</v>
      </c>
      <c r="D233" s="24" t="str">
        <f>'дод 5'!C147</f>
        <v>Надання пільг окремим категоріям громадян з оплати послуг зв'язку</v>
      </c>
      <c r="E233" s="25">
        <f t="shared" si="169"/>
        <v>622450</v>
      </c>
      <c r="F233" s="25">
        <f>830000-9550-170000-28000</f>
        <v>622450</v>
      </c>
      <c r="G233" s="25"/>
      <c r="H233" s="25"/>
      <c r="I233" s="25"/>
      <c r="J233" s="25">
        <v>613140.89</v>
      </c>
      <c r="K233" s="25"/>
      <c r="L233" s="25"/>
      <c r="M233" s="181">
        <f t="shared" si="147"/>
        <v>98.504440517310627</v>
      </c>
      <c r="N233" s="25">
        <f t="shared" si="171"/>
        <v>0</v>
      </c>
      <c r="O233" s="25"/>
      <c r="P233" s="25"/>
      <c r="Q233" s="25"/>
      <c r="R233" s="25"/>
      <c r="S233" s="25"/>
      <c r="T233" s="15">
        <f t="shared" si="143"/>
        <v>0</v>
      </c>
      <c r="U233" s="25"/>
      <c r="V233" s="25"/>
      <c r="W233" s="25"/>
      <c r="X233" s="25"/>
      <c r="Y233" s="25"/>
      <c r="Z233" s="181"/>
      <c r="AA233" s="25">
        <f t="shared" si="145"/>
        <v>613140.89</v>
      </c>
      <c r="AB233" s="25">
        <f t="shared" si="170"/>
        <v>622450</v>
      </c>
      <c r="AC233" s="198"/>
    </row>
    <row r="234" spans="1:29" s="26" customFormat="1" ht="48.75" customHeight="1" x14ac:dyDescent="0.25">
      <c r="A234" s="22" t="s">
        <v>338</v>
      </c>
      <c r="B234" s="23" t="str">
        <f>'дод 5'!A148</f>
        <v>3033</v>
      </c>
      <c r="C234" s="23" t="str">
        <f>'дод 5'!B148</f>
        <v>1070</v>
      </c>
      <c r="D234" s="33" t="s">
        <v>748</v>
      </c>
      <c r="E234" s="25">
        <f t="shared" si="169"/>
        <v>22968439.810000002</v>
      </c>
      <c r="F234" s="25">
        <f>19330000-850000+1633519.01+147160.8+22000-50000-64240+2800000</f>
        <v>22968439.810000002</v>
      </c>
      <c r="G234" s="25"/>
      <c r="H234" s="25"/>
      <c r="I234" s="25"/>
      <c r="J234" s="25">
        <v>21686861.09</v>
      </c>
      <c r="K234" s="25"/>
      <c r="L234" s="25"/>
      <c r="M234" s="181">
        <f t="shared" si="147"/>
        <v>94.420262191940324</v>
      </c>
      <c r="N234" s="25">
        <f t="shared" si="171"/>
        <v>0</v>
      </c>
      <c r="O234" s="25"/>
      <c r="P234" s="25"/>
      <c r="Q234" s="25"/>
      <c r="R234" s="25"/>
      <c r="S234" s="25"/>
      <c r="T234" s="15">
        <f t="shared" si="143"/>
        <v>0</v>
      </c>
      <c r="U234" s="25"/>
      <c r="V234" s="25"/>
      <c r="W234" s="25"/>
      <c r="X234" s="25"/>
      <c r="Y234" s="25"/>
      <c r="Z234" s="181"/>
      <c r="AA234" s="25">
        <f t="shared" si="145"/>
        <v>21686861.09</v>
      </c>
      <c r="AB234" s="25">
        <f t="shared" si="170"/>
        <v>22968439.810000002</v>
      </c>
      <c r="AC234" s="198"/>
    </row>
    <row r="235" spans="1:29" s="31" customFormat="1" ht="18.75" customHeight="1" x14ac:dyDescent="0.25">
      <c r="A235" s="27"/>
      <c r="B235" s="28"/>
      <c r="C235" s="28"/>
      <c r="D235" s="29" t="s">
        <v>379</v>
      </c>
      <c r="E235" s="30">
        <f t="shared" si="169"/>
        <v>1730679.81</v>
      </c>
      <c r="F235" s="30">
        <f>1633519.01+147160.8-50000</f>
        <v>1730679.81</v>
      </c>
      <c r="G235" s="30"/>
      <c r="H235" s="30"/>
      <c r="I235" s="30"/>
      <c r="J235" s="30">
        <v>476387.67</v>
      </c>
      <c r="K235" s="30"/>
      <c r="L235" s="30"/>
      <c r="M235" s="182">
        <f t="shared" si="147"/>
        <v>27.526043075524175</v>
      </c>
      <c r="N235" s="30">
        <f t="shared" si="171"/>
        <v>0</v>
      </c>
      <c r="O235" s="30"/>
      <c r="P235" s="30"/>
      <c r="Q235" s="30"/>
      <c r="R235" s="30"/>
      <c r="S235" s="30"/>
      <c r="T235" s="15">
        <f t="shared" si="143"/>
        <v>0</v>
      </c>
      <c r="U235" s="30"/>
      <c r="V235" s="30"/>
      <c r="W235" s="30"/>
      <c r="X235" s="30"/>
      <c r="Y235" s="30"/>
      <c r="Z235" s="182"/>
      <c r="AA235" s="30">
        <f t="shared" si="145"/>
        <v>476387.67</v>
      </c>
      <c r="AB235" s="30">
        <f t="shared" si="170"/>
        <v>1730679.81</v>
      </c>
      <c r="AC235" s="198"/>
    </row>
    <row r="236" spans="1:29" s="26" customFormat="1" ht="40.5" customHeight="1" x14ac:dyDescent="0.25">
      <c r="A236" s="22" t="s">
        <v>310</v>
      </c>
      <c r="B236" s="23" t="str">
        <f>'дод 5'!A150</f>
        <v>3035</v>
      </c>
      <c r="C236" s="23" t="str">
        <f>'дод 5'!B150</f>
        <v>1070</v>
      </c>
      <c r="D236" s="24" t="str">
        <f>'дод 5'!C150</f>
        <v>Компенсаційні виплати за пільговий проїзд окремих категорій громадян на залізничному транспорті</v>
      </c>
      <c r="E236" s="25">
        <f t="shared" si="169"/>
        <v>1000000</v>
      </c>
      <c r="F236" s="25">
        <f>2400000-1400000</f>
        <v>1000000</v>
      </c>
      <c r="G236" s="25"/>
      <c r="H236" s="25"/>
      <c r="I236" s="25"/>
      <c r="J236" s="25">
        <v>1000000</v>
      </c>
      <c r="K236" s="25"/>
      <c r="L236" s="25"/>
      <c r="M236" s="181">
        <f t="shared" si="147"/>
        <v>100</v>
      </c>
      <c r="N236" s="25">
        <f t="shared" si="171"/>
        <v>0</v>
      </c>
      <c r="O236" s="25"/>
      <c r="P236" s="25"/>
      <c r="Q236" s="25"/>
      <c r="R236" s="25"/>
      <c r="S236" s="25"/>
      <c r="T236" s="15">
        <f t="shared" si="143"/>
        <v>0</v>
      </c>
      <c r="U236" s="25"/>
      <c r="V236" s="25"/>
      <c r="W236" s="25"/>
      <c r="X236" s="25"/>
      <c r="Y236" s="25"/>
      <c r="Z236" s="181"/>
      <c r="AA236" s="25">
        <f t="shared" si="145"/>
        <v>1000000</v>
      </c>
      <c r="AB236" s="25">
        <f t="shared" si="170"/>
        <v>1000000</v>
      </c>
      <c r="AC236" s="198"/>
    </row>
    <row r="237" spans="1:29" s="26" customFormat="1" ht="31.5" x14ac:dyDescent="0.25">
      <c r="A237" s="22" t="s">
        <v>175</v>
      </c>
      <c r="B237" s="23" t="str">
        <f>'дод 5'!A151</f>
        <v>3036</v>
      </c>
      <c r="C237" s="23" t="str">
        <f>'дод 5'!B151</f>
        <v>1070</v>
      </c>
      <c r="D237" s="24" t="str">
        <f>'дод 5'!C151</f>
        <v>Компенсаційні виплати на пільговий проїзд електротранспортом окремим категоріям громадян</v>
      </c>
      <c r="E237" s="25">
        <f t="shared" si="169"/>
        <v>42225200</v>
      </c>
      <c r="F237" s="25">
        <f>47688000-3000000-62800-2400000</f>
        <v>42225200</v>
      </c>
      <c r="G237" s="25"/>
      <c r="H237" s="25"/>
      <c r="I237" s="25"/>
      <c r="J237" s="25">
        <v>42224000</v>
      </c>
      <c r="K237" s="25"/>
      <c r="L237" s="25"/>
      <c r="M237" s="181">
        <f t="shared" si="147"/>
        <v>99.997158095165915</v>
      </c>
      <c r="N237" s="25">
        <f t="shared" si="171"/>
        <v>0</v>
      </c>
      <c r="O237" s="25"/>
      <c r="P237" s="25"/>
      <c r="Q237" s="25"/>
      <c r="R237" s="25"/>
      <c r="S237" s="25"/>
      <c r="T237" s="15">
        <f t="shared" si="143"/>
        <v>0</v>
      </c>
      <c r="U237" s="25"/>
      <c r="V237" s="25"/>
      <c r="W237" s="25"/>
      <c r="X237" s="25"/>
      <c r="Y237" s="25"/>
      <c r="Z237" s="181"/>
      <c r="AA237" s="25">
        <f t="shared" si="145"/>
        <v>42224000</v>
      </c>
      <c r="AB237" s="25">
        <f t="shared" si="170"/>
        <v>42225200</v>
      </c>
      <c r="AC237" s="198"/>
    </row>
    <row r="238" spans="1:29" s="26" customFormat="1" ht="49.5" customHeight="1" x14ac:dyDescent="0.25">
      <c r="A238" s="22" t="s">
        <v>336</v>
      </c>
      <c r="B238" s="23" t="str">
        <f>'дод 5'!A152</f>
        <v>3050</v>
      </c>
      <c r="C238" s="23" t="str">
        <f>'дод 5'!B152</f>
        <v>1070</v>
      </c>
      <c r="D238" s="24" t="str">
        <f>'дод 5'!C152</f>
        <v>Пільгове медичне обслуговування осіб, які постраждали внаслідок Чорнобильської катастрофи, у т.ч. за рахунок:</v>
      </c>
      <c r="E238" s="25">
        <f t="shared" si="169"/>
        <v>792300</v>
      </c>
      <c r="F238" s="25">
        <f>782300+10000</f>
        <v>792300</v>
      </c>
      <c r="G238" s="25"/>
      <c r="H238" s="25"/>
      <c r="I238" s="25"/>
      <c r="J238" s="25">
        <v>792222.04</v>
      </c>
      <c r="K238" s="25"/>
      <c r="L238" s="25"/>
      <c r="M238" s="181">
        <f t="shared" si="147"/>
        <v>99.990160292818388</v>
      </c>
      <c r="N238" s="25">
        <f t="shared" si="171"/>
        <v>0</v>
      </c>
      <c r="O238" s="25"/>
      <c r="P238" s="25"/>
      <c r="Q238" s="25"/>
      <c r="R238" s="25"/>
      <c r="S238" s="25"/>
      <c r="T238" s="15">
        <f t="shared" si="143"/>
        <v>0</v>
      </c>
      <c r="U238" s="25"/>
      <c r="V238" s="25"/>
      <c r="W238" s="25"/>
      <c r="X238" s="25"/>
      <c r="Y238" s="25"/>
      <c r="Z238" s="181"/>
      <c r="AA238" s="25">
        <f t="shared" si="145"/>
        <v>792222.04</v>
      </c>
      <c r="AB238" s="25">
        <f t="shared" si="170"/>
        <v>792300</v>
      </c>
      <c r="AC238" s="198"/>
    </row>
    <row r="239" spans="1:29" s="31" customFormat="1" ht="15.75" customHeight="1" x14ac:dyDescent="0.25">
      <c r="A239" s="27"/>
      <c r="B239" s="28"/>
      <c r="C239" s="28"/>
      <c r="D239" s="29" t="s">
        <v>379</v>
      </c>
      <c r="E239" s="30">
        <f t="shared" si="169"/>
        <v>792300</v>
      </c>
      <c r="F239" s="30">
        <f>782300+10000</f>
        <v>792300</v>
      </c>
      <c r="G239" s="30"/>
      <c r="H239" s="30"/>
      <c r="I239" s="30"/>
      <c r="J239" s="30">
        <v>792222.04</v>
      </c>
      <c r="K239" s="30"/>
      <c r="L239" s="30"/>
      <c r="M239" s="182">
        <f t="shared" si="147"/>
        <v>99.990160292818388</v>
      </c>
      <c r="N239" s="30">
        <f t="shared" si="171"/>
        <v>0</v>
      </c>
      <c r="O239" s="30"/>
      <c r="P239" s="30"/>
      <c r="Q239" s="30"/>
      <c r="R239" s="30"/>
      <c r="S239" s="30"/>
      <c r="T239" s="15">
        <f t="shared" si="143"/>
        <v>0</v>
      </c>
      <c r="U239" s="30"/>
      <c r="V239" s="30"/>
      <c r="W239" s="30"/>
      <c r="X239" s="30"/>
      <c r="Y239" s="30"/>
      <c r="Z239" s="182"/>
      <c r="AA239" s="30">
        <f t="shared" si="145"/>
        <v>792222.04</v>
      </c>
      <c r="AB239" s="30">
        <f t="shared" si="170"/>
        <v>792300</v>
      </c>
      <c r="AC239" s="198"/>
    </row>
    <row r="240" spans="1:29" s="26" customFormat="1" ht="36.75" customHeight="1" x14ac:dyDescent="0.25">
      <c r="A240" s="22" t="s">
        <v>337</v>
      </c>
      <c r="B240" s="23" t="str">
        <f>'дод 5'!A154</f>
        <v>3090</v>
      </c>
      <c r="C240" s="23" t="str">
        <f>'дод 5'!B154</f>
        <v>1030</v>
      </c>
      <c r="D240" s="24" t="str">
        <f>'дод 5'!C154</f>
        <v>Видатки на поховання учасників бойових дій та осіб з інвалідністю внаслідок війни, у т.ч. за рахунок:</v>
      </c>
      <c r="E240" s="25">
        <f t="shared" si="169"/>
        <v>113154</v>
      </c>
      <c r="F240" s="25">
        <f>287700-204600+30054</f>
        <v>113154</v>
      </c>
      <c r="G240" s="25"/>
      <c r="H240" s="25"/>
      <c r="I240" s="25"/>
      <c r="J240" s="25">
        <v>88288.46</v>
      </c>
      <c r="K240" s="25"/>
      <c r="L240" s="25"/>
      <c r="M240" s="181">
        <f t="shared" si="147"/>
        <v>78.025045513194414</v>
      </c>
      <c r="N240" s="25">
        <f t="shared" si="171"/>
        <v>0</v>
      </c>
      <c r="O240" s="25"/>
      <c r="P240" s="25"/>
      <c r="Q240" s="25"/>
      <c r="R240" s="25"/>
      <c r="S240" s="25"/>
      <c r="T240" s="15">
        <f t="shared" si="143"/>
        <v>0</v>
      </c>
      <c r="U240" s="25"/>
      <c r="V240" s="25"/>
      <c r="W240" s="25"/>
      <c r="X240" s="25"/>
      <c r="Y240" s="25"/>
      <c r="Z240" s="181"/>
      <c r="AA240" s="25">
        <f t="shared" si="145"/>
        <v>88288.46</v>
      </c>
      <c r="AB240" s="25">
        <f t="shared" si="170"/>
        <v>113154</v>
      </c>
      <c r="AC240" s="198"/>
    </row>
    <row r="241" spans="1:29" s="31" customFormat="1" ht="15.75" customHeight="1" x14ac:dyDescent="0.25">
      <c r="A241" s="27"/>
      <c r="B241" s="28"/>
      <c r="C241" s="28"/>
      <c r="D241" s="29" t="s">
        <v>379</v>
      </c>
      <c r="E241" s="30">
        <f t="shared" si="169"/>
        <v>113154</v>
      </c>
      <c r="F241" s="30">
        <f>287700-204600+30054</f>
        <v>113154</v>
      </c>
      <c r="G241" s="30"/>
      <c r="H241" s="30"/>
      <c r="I241" s="30"/>
      <c r="J241" s="30">
        <v>88288.46</v>
      </c>
      <c r="K241" s="30"/>
      <c r="L241" s="30"/>
      <c r="M241" s="182">
        <f t="shared" si="147"/>
        <v>78.025045513194414</v>
      </c>
      <c r="N241" s="30">
        <f t="shared" si="171"/>
        <v>0</v>
      </c>
      <c r="O241" s="30"/>
      <c r="P241" s="30"/>
      <c r="Q241" s="30"/>
      <c r="R241" s="30"/>
      <c r="S241" s="30"/>
      <c r="T241" s="15">
        <f t="shared" si="143"/>
        <v>0</v>
      </c>
      <c r="U241" s="30"/>
      <c r="V241" s="30"/>
      <c r="W241" s="30"/>
      <c r="X241" s="30"/>
      <c r="Y241" s="30"/>
      <c r="Z241" s="182"/>
      <c r="AA241" s="30">
        <f t="shared" si="145"/>
        <v>88288.46</v>
      </c>
      <c r="AB241" s="30">
        <f t="shared" si="170"/>
        <v>113154</v>
      </c>
      <c r="AC241" s="198"/>
    </row>
    <row r="242" spans="1:29" s="26" customFormat="1" ht="64.5" customHeight="1" x14ac:dyDescent="0.25">
      <c r="A242" s="22" t="s">
        <v>176</v>
      </c>
      <c r="B242" s="23" t="str">
        <f>'дод 5'!A156</f>
        <v>3104</v>
      </c>
      <c r="C242" s="23" t="str">
        <f>'дод 5'!B156</f>
        <v>1020</v>
      </c>
      <c r="D242" s="24" t="str">
        <f>'дод 5'!C156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242" s="25">
        <f>F242+I242</f>
        <v>25157800</v>
      </c>
      <c r="F242" s="25">
        <f>26125300-730000-237500</f>
        <v>25157800</v>
      </c>
      <c r="G242" s="25">
        <f>19405100-630000-195000-30000</f>
        <v>18550100</v>
      </c>
      <c r="H242" s="25">
        <v>1117300</v>
      </c>
      <c r="I242" s="25"/>
      <c r="J242" s="25">
        <v>24691516.649999999</v>
      </c>
      <c r="K242" s="25">
        <v>18456227.100000001</v>
      </c>
      <c r="L242" s="25">
        <v>976817.51</v>
      </c>
      <c r="M242" s="181">
        <f t="shared" si="147"/>
        <v>98.146565478698449</v>
      </c>
      <c r="N242" s="25">
        <f t="shared" si="171"/>
        <v>167600</v>
      </c>
      <c r="O242" s="25">
        <v>99000</v>
      </c>
      <c r="P242" s="25">
        <v>68600</v>
      </c>
      <c r="Q242" s="25">
        <v>56100</v>
      </c>
      <c r="R242" s="25"/>
      <c r="S242" s="25">
        <v>99000</v>
      </c>
      <c r="T242" s="15">
        <f t="shared" si="143"/>
        <v>2809297.15</v>
      </c>
      <c r="U242" s="25">
        <v>83941.05</v>
      </c>
      <c r="V242" s="25">
        <v>2392360.1</v>
      </c>
      <c r="W242" s="25">
        <v>259174.86</v>
      </c>
      <c r="X242" s="25"/>
      <c r="Y242" s="25">
        <v>416937.05</v>
      </c>
      <c r="Z242" s="181" t="s">
        <v>773</v>
      </c>
      <c r="AA242" s="25">
        <f t="shared" si="145"/>
        <v>27500813.799999997</v>
      </c>
      <c r="AB242" s="25">
        <f t="shared" si="170"/>
        <v>25325400</v>
      </c>
      <c r="AC242" s="198">
        <v>10</v>
      </c>
    </row>
    <row r="243" spans="1:29" s="26" customFormat="1" ht="64.5" customHeight="1" x14ac:dyDescent="0.25">
      <c r="A243" s="22" t="s">
        <v>535</v>
      </c>
      <c r="B243" s="23">
        <v>3140</v>
      </c>
      <c r="C243" s="45" t="s">
        <v>96</v>
      </c>
      <c r="D243" s="35" t="str">
        <f>'дод 5'!C163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243" s="25">
        <f t="shared" si="169"/>
        <v>1400000</v>
      </c>
      <c r="F243" s="25">
        <v>1400000</v>
      </c>
      <c r="G243" s="25"/>
      <c r="H243" s="25"/>
      <c r="I243" s="25"/>
      <c r="J243" s="25">
        <v>1400000</v>
      </c>
      <c r="K243" s="25"/>
      <c r="L243" s="25"/>
      <c r="M243" s="181">
        <f t="shared" si="147"/>
        <v>100</v>
      </c>
      <c r="N243" s="25">
        <f t="shared" si="171"/>
        <v>0</v>
      </c>
      <c r="O243" s="25"/>
      <c r="P243" s="25"/>
      <c r="Q243" s="25"/>
      <c r="R243" s="25"/>
      <c r="S243" s="25"/>
      <c r="T243" s="15">
        <f t="shared" si="143"/>
        <v>0</v>
      </c>
      <c r="U243" s="25"/>
      <c r="V243" s="25"/>
      <c r="W243" s="25"/>
      <c r="X243" s="25"/>
      <c r="Y243" s="25"/>
      <c r="Z243" s="181"/>
      <c r="AA243" s="25">
        <f t="shared" si="145"/>
        <v>1400000</v>
      </c>
      <c r="AB243" s="25">
        <f t="shared" si="170"/>
        <v>1400000</v>
      </c>
      <c r="AC243" s="198"/>
    </row>
    <row r="244" spans="1:29" s="26" customFormat="1" ht="96.75" customHeight="1" x14ac:dyDescent="0.25">
      <c r="A244" s="22" t="s">
        <v>177</v>
      </c>
      <c r="B244" s="23" t="str">
        <f>'дод 5'!A164</f>
        <v>3160</v>
      </c>
      <c r="C244" s="23">
        <f>'дод 5'!B164</f>
        <v>1010</v>
      </c>
      <c r="D244" s="24" t="str">
        <f>'дод 5'!C164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у т.ч. за рахунок:</v>
      </c>
      <c r="E244" s="25">
        <f t="shared" si="169"/>
        <v>19415635</v>
      </c>
      <c r="F244" s="25">
        <f>16781400-12581400+753900+3504743+1495257+9886200-424465</f>
        <v>19415635</v>
      </c>
      <c r="G244" s="25"/>
      <c r="H244" s="25"/>
      <c r="I244" s="25"/>
      <c r="J244" s="25">
        <v>19395769.559999999</v>
      </c>
      <c r="K244" s="25"/>
      <c r="L244" s="25"/>
      <c r="M244" s="181">
        <f t="shared" si="147"/>
        <v>99.897683284631171</v>
      </c>
      <c r="N244" s="25">
        <f t="shared" si="171"/>
        <v>0</v>
      </c>
      <c r="O244" s="25"/>
      <c r="P244" s="25"/>
      <c r="Q244" s="25"/>
      <c r="R244" s="25"/>
      <c r="S244" s="25"/>
      <c r="T244" s="15">
        <f t="shared" si="143"/>
        <v>0</v>
      </c>
      <c r="U244" s="25"/>
      <c r="V244" s="25"/>
      <c r="W244" s="25"/>
      <c r="X244" s="25"/>
      <c r="Y244" s="25"/>
      <c r="Z244" s="181"/>
      <c r="AA244" s="25">
        <f t="shared" si="145"/>
        <v>19395769.559999999</v>
      </c>
      <c r="AB244" s="25">
        <f t="shared" si="170"/>
        <v>19415635</v>
      </c>
      <c r="AC244" s="198"/>
    </row>
    <row r="245" spans="1:29" s="31" customFormat="1" ht="128.25" customHeight="1" x14ac:dyDescent="0.25">
      <c r="A245" s="27"/>
      <c r="B245" s="28"/>
      <c r="C245" s="28"/>
      <c r="D245" s="29" t="s">
        <v>662</v>
      </c>
      <c r="E245" s="30">
        <f t="shared" ref="E245" si="172">F245+I245</f>
        <v>1495257</v>
      </c>
      <c r="F245" s="30">
        <v>1495257</v>
      </c>
      <c r="G245" s="30"/>
      <c r="H245" s="30"/>
      <c r="I245" s="30"/>
      <c r="J245" s="30">
        <v>1495257</v>
      </c>
      <c r="K245" s="30"/>
      <c r="L245" s="30"/>
      <c r="M245" s="182">
        <f t="shared" si="147"/>
        <v>100</v>
      </c>
      <c r="N245" s="30">
        <f t="shared" ref="N245" si="173">P245+S245</f>
        <v>0</v>
      </c>
      <c r="O245" s="30"/>
      <c r="P245" s="30"/>
      <c r="Q245" s="30"/>
      <c r="R245" s="30"/>
      <c r="S245" s="30"/>
      <c r="T245" s="15">
        <f t="shared" si="143"/>
        <v>0</v>
      </c>
      <c r="U245" s="30"/>
      <c r="V245" s="30"/>
      <c r="W245" s="30"/>
      <c r="X245" s="30"/>
      <c r="Y245" s="30"/>
      <c r="Z245" s="182"/>
      <c r="AA245" s="30">
        <f t="shared" si="145"/>
        <v>1495257</v>
      </c>
      <c r="AB245" s="30">
        <f t="shared" ref="AB245" si="174">E245+N245</f>
        <v>1495257</v>
      </c>
      <c r="AC245" s="198"/>
    </row>
    <row r="246" spans="1:29" s="31" customFormat="1" ht="103.15" customHeight="1" x14ac:dyDescent="0.25">
      <c r="A246" s="27"/>
      <c r="B246" s="28"/>
      <c r="C246" s="28"/>
      <c r="D246" s="29" t="s">
        <v>618</v>
      </c>
      <c r="E246" s="30">
        <f t="shared" ref="E246" si="175">F246+I246</f>
        <v>9886200</v>
      </c>
      <c r="F246" s="30">
        <v>9886200</v>
      </c>
      <c r="G246" s="30"/>
      <c r="H246" s="30"/>
      <c r="I246" s="30"/>
      <c r="J246" s="30">
        <v>9866335.5899999999</v>
      </c>
      <c r="K246" s="30"/>
      <c r="L246" s="30"/>
      <c r="M246" s="182">
        <f t="shared" si="147"/>
        <v>99.79906930873338</v>
      </c>
      <c r="N246" s="30">
        <f t="shared" ref="N246" si="176">P246+S246</f>
        <v>0</v>
      </c>
      <c r="O246" s="30"/>
      <c r="P246" s="30"/>
      <c r="Q246" s="30"/>
      <c r="R246" s="30"/>
      <c r="S246" s="30"/>
      <c r="T246" s="15">
        <f t="shared" si="143"/>
        <v>0</v>
      </c>
      <c r="U246" s="30"/>
      <c r="V246" s="30"/>
      <c r="W246" s="30"/>
      <c r="X246" s="30"/>
      <c r="Y246" s="30"/>
      <c r="Z246" s="182"/>
      <c r="AA246" s="30">
        <f t="shared" si="145"/>
        <v>9866335.5899999999</v>
      </c>
      <c r="AB246" s="30">
        <f t="shared" ref="AB246" si="177">E246+N246</f>
        <v>9886200</v>
      </c>
      <c r="AC246" s="198"/>
    </row>
    <row r="247" spans="1:29" s="26" customFormat="1" ht="63" customHeight="1" x14ac:dyDescent="0.25">
      <c r="A247" s="22" t="s">
        <v>339</v>
      </c>
      <c r="B247" s="23" t="str">
        <f>'дод 5'!A167</f>
        <v>3171</v>
      </c>
      <c r="C247" s="23">
        <f>'дод 5'!B167</f>
        <v>1010</v>
      </c>
      <c r="D247" s="24" t="s">
        <v>386</v>
      </c>
      <c r="E247" s="25">
        <f t="shared" si="169"/>
        <v>213862</v>
      </c>
      <c r="F247" s="25">
        <f>215129-1267</f>
        <v>213862</v>
      </c>
      <c r="G247" s="25"/>
      <c r="H247" s="25"/>
      <c r="I247" s="25"/>
      <c r="J247" s="25">
        <v>188223.02</v>
      </c>
      <c r="K247" s="25"/>
      <c r="L247" s="25"/>
      <c r="M247" s="181">
        <f t="shared" si="147"/>
        <v>88.011437281985565</v>
      </c>
      <c r="N247" s="25">
        <f t="shared" si="171"/>
        <v>0</v>
      </c>
      <c r="O247" s="25"/>
      <c r="P247" s="25"/>
      <c r="Q247" s="25"/>
      <c r="R247" s="25"/>
      <c r="S247" s="25"/>
      <c r="T247" s="15">
        <f t="shared" si="143"/>
        <v>0</v>
      </c>
      <c r="U247" s="25"/>
      <c r="V247" s="25"/>
      <c r="W247" s="25"/>
      <c r="X247" s="25"/>
      <c r="Y247" s="25"/>
      <c r="Z247" s="181"/>
      <c r="AA247" s="25">
        <f t="shared" si="145"/>
        <v>188223.02</v>
      </c>
      <c r="AB247" s="25">
        <f t="shared" si="170"/>
        <v>213862</v>
      </c>
      <c r="AC247" s="198"/>
    </row>
    <row r="248" spans="1:29" s="31" customFormat="1" ht="18" customHeight="1" x14ac:dyDescent="0.25">
      <c r="A248" s="27"/>
      <c r="B248" s="28"/>
      <c r="C248" s="28"/>
      <c r="D248" s="29" t="s">
        <v>379</v>
      </c>
      <c r="E248" s="30">
        <f t="shared" si="169"/>
        <v>213862</v>
      </c>
      <c r="F248" s="30">
        <f>215129-1267</f>
        <v>213862</v>
      </c>
      <c r="G248" s="30"/>
      <c r="H248" s="30"/>
      <c r="I248" s="30"/>
      <c r="J248" s="30">
        <v>188223.02</v>
      </c>
      <c r="K248" s="30"/>
      <c r="L248" s="30"/>
      <c r="M248" s="182">
        <f t="shared" si="147"/>
        <v>88.011437281985565</v>
      </c>
      <c r="N248" s="30">
        <f t="shared" si="171"/>
        <v>0</v>
      </c>
      <c r="O248" s="30"/>
      <c r="P248" s="30"/>
      <c r="Q248" s="30"/>
      <c r="R248" s="30"/>
      <c r="S248" s="30"/>
      <c r="T248" s="15">
        <f t="shared" si="143"/>
        <v>0</v>
      </c>
      <c r="U248" s="30"/>
      <c r="V248" s="30"/>
      <c r="W248" s="30"/>
      <c r="X248" s="30"/>
      <c r="Y248" s="30"/>
      <c r="Z248" s="182"/>
      <c r="AA248" s="30">
        <f t="shared" si="145"/>
        <v>188223.02</v>
      </c>
      <c r="AB248" s="30">
        <f t="shared" si="170"/>
        <v>213862</v>
      </c>
      <c r="AC248" s="198"/>
    </row>
    <row r="249" spans="1:29" s="26" customFormat="1" ht="31.5" hidden="1" customHeight="1" x14ac:dyDescent="0.25">
      <c r="A249" s="22" t="s">
        <v>340</v>
      </c>
      <c r="B249" s="23" t="str">
        <f>'дод 5'!A169</f>
        <v>3172</v>
      </c>
      <c r="C249" s="23">
        <f>'дод 5'!B169</f>
        <v>1010</v>
      </c>
      <c r="D249" s="24" t="str">
        <f>'дод 5'!C169</f>
        <v>Встановлення телефонів особам з інвалідністю I і II груп, у т.ч. за рахунок:</v>
      </c>
      <c r="E249" s="25">
        <f t="shared" si="169"/>
        <v>0</v>
      </c>
      <c r="F249" s="25"/>
      <c r="G249" s="25"/>
      <c r="H249" s="25"/>
      <c r="I249" s="25"/>
      <c r="J249" s="25"/>
      <c r="K249" s="25"/>
      <c r="L249" s="25"/>
      <c r="M249" s="181" t="e">
        <f t="shared" si="147"/>
        <v>#DIV/0!</v>
      </c>
      <c r="N249" s="25">
        <f t="shared" si="171"/>
        <v>0</v>
      </c>
      <c r="O249" s="25"/>
      <c r="P249" s="25"/>
      <c r="Q249" s="25"/>
      <c r="R249" s="25"/>
      <c r="S249" s="25"/>
      <c r="T249" s="15">
        <f t="shared" si="143"/>
        <v>0</v>
      </c>
      <c r="U249" s="25"/>
      <c r="V249" s="25"/>
      <c r="W249" s="25"/>
      <c r="X249" s="25"/>
      <c r="Y249" s="25"/>
      <c r="Z249" s="181"/>
      <c r="AA249" s="25">
        <f t="shared" si="145"/>
        <v>0</v>
      </c>
      <c r="AB249" s="25">
        <f t="shared" si="170"/>
        <v>0</v>
      </c>
      <c r="AC249" s="198"/>
    </row>
    <row r="250" spans="1:29" s="31" customFormat="1" ht="15.75" hidden="1" customHeight="1" x14ac:dyDescent="0.25">
      <c r="A250" s="27"/>
      <c r="B250" s="28"/>
      <c r="C250" s="28"/>
      <c r="D250" s="29" t="s">
        <v>379</v>
      </c>
      <c r="E250" s="30">
        <f t="shared" si="169"/>
        <v>0</v>
      </c>
      <c r="F250" s="30"/>
      <c r="G250" s="30"/>
      <c r="H250" s="30"/>
      <c r="I250" s="30"/>
      <c r="J250" s="30"/>
      <c r="K250" s="30"/>
      <c r="L250" s="30"/>
      <c r="M250" s="182" t="e">
        <f t="shared" si="147"/>
        <v>#DIV/0!</v>
      </c>
      <c r="N250" s="30">
        <f t="shared" si="171"/>
        <v>0</v>
      </c>
      <c r="O250" s="30"/>
      <c r="P250" s="30"/>
      <c r="Q250" s="30"/>
      <c r="R250" s="30"/>
      <c r="S250" s="30"/>
      <c r="T250" s="15">
        <f t="shared" si="143"/>
        <v>0</v>
      </c>
      <c r="U250" s="30"/>
      <c r="V250" s="30"/>
      <c r="W250" s="30"/>
      <c r="X250" s="30"/>
      <c r="Y250" s="30"/>
      <c r="Z250" s="182"/>
      <c r="AA250" s="30">
        <f t="shared" si="145"/>
        <v>0</v>
      </c>
      <c r="AB250" s="30">
        <f t="shared" si="170"/>
        <v>0</v>
      </c>
      <c r="AC250" s="198"/>
    </row>
    <row r="251" spans="1:29" s="26" customFormat="1" ht="78.75" hidden="1" customHeight="1" x14ac:dyDescent="0.25">
      <c r="A251" s="22" t="s">
        <v>178</v>
      </c>
      <c r="B251" s="23" t="str">
        <f>'дод 5'!A171</f>
        <v>3180</v>
      </c>
      <c r="C251" s="23" t="str">
        <f>'дод 5'!B171</f>
        <v>1060</v>
      </c>
      <c r="D251" s="24" t="str">
        <f>'дод 5'!C171</f>
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v>
      </c>
      <c r="E251" s="25">
        <f t="shared" si="169"/>
        <v>0</v>
      </c>
      <c r="F251" s="25"/>
      <c r="G251" s="25"/>
      <c r="H251" s="25"/>
      <c r="I251" s="25"/>
      <c r="J251" s="25"/>
      <c r="K251" s="25"/>
      <c r="L251" s="25"/>
      <c r="M251" s="181" t="e">
        <f t="shared" si="147"/>
        <v>#DIV/0!</v>
      </c>
      <c r="N251" s="25">
        <f t="shared" si="171"/>
        <v>0</v>
      </c>
      <c r="O251" s="25"/>
      <c r="P251" s="25"/>
      <c r="Q251" s="25"/>
      <c r="R251" s="25"/>
      <c r="S251" s="25"/>
      <c r="T251" s="15">
        <f t="shared" si="143"/>
        <v>0</v>
      </c>
      <c r="U251" s="25"/>
      <c r="V251" s="25"/>
      <c r="W251" s="25"/>
      <c r="X251" s="25"/>
      <c r="Y251" s="25"/>
      <c r="Z251" s="181"/>
      <c r="AA251" s="25">
        <f t="shared" si="145"/>
        <v>0</v>
      </c>
      <c r="AB251" s="25">
        <f t="shared" si="170"/>
        <v>0</v>
      </c>
      <c r="AC251" s="198"/>
    </row>
    <row r="252" spans="1:29" s="26" customFormat="1" ht="40.5" customHeight="1" x14ac:dyDescent="0.25">
      <c r="A252" s="22" t="s">
        <v>295</v>
      </c>
      <c r="B252" s="23" t="str">
        <f>'дод 5'!A172</f>
        <v>3191</v>
      </c>
      <c r="C252" s="23" t="str">
        <f>'дод 5'!B172</f>
        <v>1030</v>
      </c>
      <c r="D252" s="24" t="str">
        <f>'дод 5'!C172</f>
        <v>Інші видатки на соціальний захист ветеранів війни та праці</v>
      </c>
      <c r="E252" s="25">
        <f t="shared" si="169"/>
        <v>6712361</v>
      </c>
      <c r="F252" s="25">
        <f>6861100-136849-11890</f>
        <v>6712361</v>
      </c>
      <c r="G252" s="25"/>
      <c r="H252" s="25"/>
      <c r="I252" s="25"/>
      <c r="J252" s="25">
        <v>6710395.4800000004</v>
      </c>
      <c r="K252" s="25"/>
      <c r="L252" s="25"/>
      <c r="M252" s="181">
        <f t="shared" si="147"/>
        <v>99.970717903879134</v>
      </c>
      <c r="N252" s="25">
        <f t="shared" si="171"/>
        <v>0</v>
      </c>
      <c r="O252" s="25"/>
      <c r="P252" s="25"/>
      <c r="Q252" s="25"/>
      <c r="R252" s="25"/>
      <c r="S252" s="25"/>
      <c r="T252" s="15">
        <f t="shared" si="143"/>
        <v>0</v>
      </c>
      <c r="U252" s="25"/>
      <c r="V252" s="25"/>
      <c r="W252" s="25"/>
      <c r="X252" s="25"/>
      <c r="Y252" s="25"/>
      <c r="Z252" s="181"/>
      <c r="AA252" s="25">
        <f t="shared" si="145"/>
        <v>6710395.4800000004</v>
      </c>
      <c r="AB252" s="25">
        <f t="shared" si="170"/>
        <v>6712361</v>
      </c>
      <c r="AC252" s="198"/>
    </row>
    <row r="253" spans="1:29" s="26" customFormat="1" ht="54" customHeight="1" x14ac:dyDescent="0.25">
      <c r="A253" s="22" t="s">
        <v>296</v>
      </c>
      <c r="B253" s="23" t="str">
        <f>'дод 5'!A173</f>
        <v>3192</v>
      </c>
      <c r="C253" s="23" t="str">
        <f>'дод 5'!B173</f>
        <v>1030</v>
      </c>
      <c r="D253" s="24" t="str">
        <f>'дод 5'!C173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253" s="25">
        <f t="shared" si="169"/>
        <v>2036420</v>
      </c>
      <c r="F253" s="25">
        <f>2072000-35580</f>
        <v>2036420</v>
      </c>
      <c r="G253" s="25"/>
      <c r="H253" s="25"/>
      <c r="I253" s="25"/>
      <c r="J253" s="25">
        <v>2026076.86</v>
      </c>
      <c r="K253" s="25"/>
      <c r="L253" s="25"/>
      <c r="M253" s="181">
        <f t="shared" si="147"/>
        <v>99.492092004596316</v>
      </c>
      <c r="N253" s="25">
        <f t="shared" si="171"/>
        <v>0</v>
      </c>
      <c r="O253" s="25"/>
      <c r="P253" s="25"/>
      <c r="Q253" s="25"/>
      <c r="R253" s="25"/>
      <c r="S253" s="25"/>
      <c r="T253" s="15">
        <f t="shared" si="143"/>
        <v>0</v>
      </c>
      <c r="U253" s="25"/>
      <c r="V253" s="25"/>
      <c r="W253" s="25"/>
      <c r="X253" s="25"/>
      <c r="Y253" s="25"/>
      <c r="Z253" s="181"/>
      <c r="AA253" s="25">
        <f t="shared" si="145"/>
        <v>2026076.86</v>
      </c>
      <c r="AB253" s="25">
        <f t="shared" si="170"/>
        <v>2036420</v>
      </c>
      <c r="AC253" s="198"/>
    </row>
    <row r="254" spans="1:29" s="26" customFormat="1" ht="81.75" customHeight="1" x14ac:dyDescent="0.25">
      <c r="A254" s="22" t="s">
        <v>744</v>
      </c>
      <c r="B254" s="23">
        <v>3193</v>
      </c>
      <c r="C254" s="23">
        <v>1030</v>
      </c>
      <c r="D254" s="24" t="s">
        <v>745</v>
      </c>
      <c r="E254" s="25">
        <f t="shared" si="169"/>
        <v>184288.32</v>
      </c>
      <c r="F254" s="25">
        <f>184288.32</f>
        <v>184288.32</v>
      </c>
      <c r="G254" s="25">
        <v>151056</v>
      </c>
      <c r="H254" s="25"/>
      <c r="I254" s="25"/>
      <c r="J254" s="25"/>
      <c r="K254" s="25"/>
      <c r="L254" s="25"/>
      <c r="M254" s="181">
        <f t="shared" si="147"/>
        <v>0</v>
      </c>
      <c r="N254" s="25">
        <f t="shared" si="171"/>
        <v>0</v>
      </c>
      <c r="O254" s="25"/>
      <c r="P254" s="25"/>
      <c r="Q254" s="25"/>
      <c r="R254" s="25"/>
      <c r="S254" s="25"/>
      <c r="T254" s="15">
        <f t="shared" si="143"/>
        <v>0</v>
      </c>
      <c r="U254" s="25"/>
      <c r="V254" s="25"/>
      <c r="W254" s="25"/>
      <c r="X254" s="25"/>
      <c r="Y254" s="25"/>
      <c r="Z254" s="181"/>
      <c r="AA254" s="25">
        <f t="shared" si="145"/>
        <v>0</v>
      </c>
      <c r="AB254" s="25">
        <f t="shared" si="170"/>
        <v>184288.32</v>
      </c>
      <c r="AC254" s="198"/>
    </row>
    <row r="255" spans="1:29" s="26" customFormat="1" ht="105.75" customHeight="1" x14ac:dyDescent="0.25">
      <c r="A255" s="22"/>
      <c r="B255" s="23"/>
      <c r="C255" s="23"/>
      <c r="D255" s="29" t="s">
        <v>741</v>
      </c>
      <c r="E255" s="30">
        <f t="shared" ref="E255" si="178">F255+I255</f>
        <v>184288.32</v>
      </c>
      <c r="F255" s="30">
        <f>184288.32</f>
        <v>184288.32</v>
      </c>
      <c r="G255" s="30">
        <v>151056</v>
      </c>
      <c r="H255" s="25"/>
      <c r="I255" s="25"/>
      <c r="J255" s="25"/>
      <c r="K255" s="25"/>
      <c r="L255" s="25"/>
      <c r="M255" s="182">
        <f t="shared" si="147"/>
        <v>0</v>
      </c>
      <c r="N255" s="25">
        <f t="shared" si="171"/>
        <v>0</v>
      </c>
      <c r="O255" s="25"/>
      <c r="P255" s="25"/>
      <c r="Q255" s="25"/>
      <c r="R255" s="25"/>
      <c r="S255" s="25"/>
      <c r="T255" s="15">
        <f t="shared" si="143"/>
        <v>0</v>
      </c>
      <c r="U255" s="25"/>
      <c r="V255" s="25"/>
      <c r="W255" s="25"/>
      <c r="X255" s="25"/>
      <c r="Y255" s="25"/>
      <c r="Z255" s="182"/>
      <c r="AA255" s="30">
        <f t="shared" si="145"/>
        <v>0</v>
      </c>
      <c r="AB255" s="25">
        <f t="shared" si="170"/>
        <v>184288.32</v>
      </c>
      <c r="AC255" s="198"/>
    </row>
    <row r="256" spans="1:29" s="26" customFormat="1" ht="34.5" customHeight="1" x14ac:dyDescent="0.25">
      <c r="A256" s="22" t="s">
        <v>179</v>
      </c>
      <c r="B256" s="23" t="str">
        <f>'дод 5'!A176</f>
        <v>3200</v>
      </c>
      <c r="C256" s="23" t="str">
        <f>'дод 5'!B176</f>
        <v>1090</v>
      </c>
      <c r="D256" s="24" t="str">
        <f>'дод 5'!C176</f>
        <v>Забезпечення обробки інформації з нарахування та виплати допомог і компенсацій</v>
      </c>
      <c r="E256" s="25">
        <f t="shared" si="169"/>
        <v>107000</v>
      </c>
      <c r="F256" s="25">
        <v>107000</v>
      </c>
      <c r="G256" s="25"/>
      <c r="H256" s="25"/>
      <c r="I256" s="25"/>
      <c r="J256" s="25">
        <v>106888</v>
      </c>
      <c r="K256" s="25"/>
      <c r="L256" s="25"/>
      <c r="M256" s="181">
        <f t="shared" si="147"/>
        <v>99.895327102803748</v>
      </c>
      <c r="N256" s="25">
        <f t="shared" si="171"/>
        <v>0</v>
      </c>
      <c r="O256" s="25"/>
      <c r="P256" s="25"/>
      <c r="Q256" s="25"/>
      <c r="R256" s="25"/>
      <c r="S256" s="25"/>
      <c r="T256" s="15">
        <f t="shared" si="143"/>
        <v>0</v>
      </c>
      <c r="U256" s="25"/>
      <c r="V256" s="25"/>
      <c r="W256" s="25"/>
      <c r="X256" s="25"/>
      <c r="Y256" s="25"/>
      <c r="Z256" s="181"/>
      <c r="AA256" s="25">
        <f t="shared" si="145"/>
        <v>106888</v>
      </c>
      <c r="AB256" s="25">
        <f t="shared" si="170"/>
        <v>107000</v>
      </c>
      <c r="AC256" s="198"/>
    </row>
    <row r="257" spans="1:29" s="26" customFormat="1" ht="20.25" customHeight="1" x14ac:dyDescent="0.25">
      <c r="A257" s="22" t="s">
        <v>297</v>
      </c>
      <c r="B257" s="23" t="str">
        <f>'дод 5'!A177</f>
        <v>3210</v>
      </c>
      <c r="C257" s="23" t="str">
        <f>'дод 5'!B177</f>
        <v>1050</v>
      </c>
      <c r="D257" s="24" t="str">
        <f>'дод 5'!C177</f>
        <v>Організація та проведення громадських робіт</v>
      </c>
      <c r="E257" s="25">
        <f t="shared" si="169"/>
        <v>0</v>
      </c>
      <c r="F257" s="25"/>
      <c r="G257" s="25"/>
      <c r="H257" s="25"/>
      <c r="I257" s="25"/>
      <c r="J257" s="25"/>
      <c r="K257" s="25"/>
      <c r="L257" s="25"/>
      <c r="M257" s="181"/>
      <c r="N257" s="25">
        <f t="shared" si="171"/>
        <v>0</v>
      </c>
      <c r="O257" s="25"/>
      <c r="P257" s="25"/>
      <c r="Q257" s="25"/>
      <c r="R257" s="25"/>
      <c r="S257" s="25"/>
      <c r="T257" s="15">
        <f t="shared" si="143"/>
        <v>0</v>
      </c>
      <c r="U257" s="25"/>
      <c r="V257" s="25"/>
      <c r="W257" s="25"/>
      <c r="X257" s="25"/>
      <c r="Y257" s="25"/>
      <c r="Z257" s="181"/>
      <c r="AA257" s="25">
        <f t="shared" si="145"/>
        <v>0</v>
      </c>
      <c r="AB257" s="25">
        <f t="shared" si="170"/>
        <v>0</v>
      </c>
      <c r="AC257" s="198"/>
    </row>
    <row r="258" spans="1:29" s="26" customFormat="1" ht="289.5" customHeight="1" x14ac:dyDescent="0.25">
      <c r="A258" s="22" t="s">
        <v>417</v>
      </c>
      <c r="B258" s="23">
        <v>3221</v>
      </c>
      <c r="C258" s="22" t="s">
        <v>51</v>
      </c>
      <c r="D258" s="24" t="s">
        <v>632</v>
      </c>
      <c r="E258" s="25">
        <f t="shared" si="169"/>
        <v>0</v>
      </c>
      <c r="F258" s="47"/>
      <c r="G258" s="25"/>
      <c r="H258" s="25"/>
      <c r="I258" s="25"/>
      <c r="J258" s="25"/>
      <c r="K258" s="25"/>
      <c r="L258" s="25"/>
      <c r="M258" s="181"/>
      <c r="N258" s="25">
        <f t="shared" si="171"/>
        <v>8260461.4100000001</v>
      </c>
      <c r="O258" s="25">
        <v>8260461.4100000001</v>
      </c>
      <c r="P258" s="25"/>
      <c r="Q258" s="25"/>
      <c r="R258" s="25"/>
      <c r="S258" s="25">
        <v>8260461.4100000001</v>
      </c>
      <c r="T258" s="15">
        <f t="shared" si="143"/>
        <v>8260461.4100000001</v>
      </c>
      <c r="U258" s="25">
        <v>8260461.4100000001</v>
      </c>
      <c r="V258" s="25"/>
      <c r="W258" s="25"/>
      <c r="X258" s="25"/>
      <c r="Y258" s="25">
        <v>8260461.4100000001</v>
      </c>
      <c r="Z258" s="181">
        <f t="shared" si="144"/>
        <v>100</v>
      </c>
      <c r="AA258" s="25">
        <f t="shared" si="145"/>
        <v>8260461.4100000001</v>
      </c>
      <c r="AB258" s="25">
        <f t="shared" si="170"/>
        <v>8260461.4100000001</v>
      </c>
      <c r="AC258" s="198">
        <v>11</v>
      </c>
    </row>
    <row r="259" spans="1:29" s="31" customFormat="1" ht="322.5" customHeight="1" x14ac:dyDescent="0.25">
      <c r="A259" s="27"/>
      <c r="B259" s="28"/>
      <c r="C259" s="27"/>
      <c r="D259" s="29" t="s">
        <v>635</v>
      </c>
      <c r="E259" s="25">
        <f t="shared" si="169"/>
        <v>0</v>
      </c>
      <c r="F259" s="51"/>
      <c r="G259" s="30"/>
      <c r="H259" s="30"/>
      <c r="I259" s="30"/>
      <c r="J259" s="30"/>
      <c r="K259" s="30"/>
      <c r="L259" s="30"/>
      <c r="M259" s="181"/>
      <c r="N259" s="30">
        <f t="shared" si="171"/>
        <v>8260461.4100000001</v>
      </c>
      <c r="O259" s="25">
        <v>8260461.4100000001</v>
      </c>
      <c r="P259" s="25"/>
      <c r="Q259" s="25"/>
      <c r="R259" s="25"/>
      <c r="S259" s="25">
        <v>8260461.4100000001</v>
      </c>
      <c r="T259" s="15">
        <f t="shared" si="143"/>
        <v>8260461.4100000001</v>
      </c>
      <c r="U259" s="25">
        <v>8260461.4100000001</v>
      </c>
      <c r="V259" s="25"/>
      <c r="W259" s="25"/>
      <c r="X259" s="25"/>
      <c r="Y259" s="25">
        <v>8260461.4100000001</v>
      </c>
      <c r="Z259" s="181">
        <f t="shared" si="144"/>
        <v>100</v>
      </c>
      <c r="AA259" s="25">
        <f t="shared" si="145"/>
        <v>8260461.4100000001</v>
      </c>
      <c r="AB259" s="30">
        <f t="shared" si="170"/>
        <v>8260461.4100000001</v>
      </c>
      <c r="AC259" s="198"/>
    </row>
    <row r="260" spans="1:29" s="26" customFormat="1" ht="296.25" customHeight="1" x14ac:dyDescent="0.25">
      <c r="A260" s="22" t="s">
        <v>507</v>
      </c>
      <c r="B260" s="23">
        <v>3222</v>
      </c>
      <c r="C260" s="22" t="s">
        <v>51</v>
      </c>
      <c r="D260" s="24" t="s">
        <v>633</v>
      </c>
      <c r="E260" s="25">
        <f t="shared" ref="E260:E261" si="179">F260+I260</f>
        <v>0</v>
      </c>
      <c r="F260" s="114"/>
      <c r="G260" s="25"/>
      <c r="H260" s="25"/>
      <c r="I260" s="25"/>
      <c r="J260" s="25"/>
      <c r="K260" s="25"/>
      <c r="L260" s="25"/>
      <c r="M260" s="181"/>
      <c r="N260" s="25">
        <f t="shared" ref="N260:N261" si="180">P260+S260</f>
        <v>20395339.16</v>
      </c>
      <c r="O260" s="25">
        <f>8914255.95+11481083.21</f>
        <v>20395339.16</v>
      </c>
      <c r="P260" s="25"/>
      <c r="Q260" s="25"/>
      <c r="R260" s="25"/>
      <c r="S260" s="25">
        <f>8914255.95+11481083.21</f>
        <v>20395339.16</v>
      </c>
      <c r="T260" s="15">
        <f t="shared" si="143"/>
        <v>20395339.16</v>
      </c>
      <c r="U260" s="25">
        <v>20395339.16</v>
      </c>
      <c r="V260" s="25"/>
      <c r="W260" s="25"/>
      <c r="X260" s="25"/>
      <c r="Y260" s="25">
        <v>20395339.16</v>
      </c>
      <c r="Z260" s="181">
        <f t="shared" si="144"/>
        <v>100</v>
      </c>
      <c r="AA260" s="25">
        <f t="shared" si="145"/>
        <v>20395339.16</v>
      </c>
      <c r="AB260" s="25">
        <f t="shared" si="170"/>
        <v>20395339.16</v>
      </c>
      <c r="AC260" s="198"/>
    </row>
    <row r="261" spans="1:29" s="31" customFormat="1" ht="327" customHeight="1" x14ac:dyDescent="0.25">
      <c r="A261" s="27"/>
      <c r="B261" s="28"/>
      <c r="C261" s="27"/>
      <c r="D261" s="29" t="s">
        <v>637</v>
      </c>
      <c r="E261" s="30">
        <f t="shared" si="179"/>
        <v>0</v>
      </c>
      <c r="F261" s="115"/>
      <c r="G261" s="30"/>
      <c r="H261" s="30"/>
      <c r="I261" s="30"/>
      <c r="J261" s="30"/>
      <c r="K261" s="30"/>
      <c r="L261" s="30"/>
      <c r="M261" s="182"/>
      <c r="N261" s="30">
        <f t="shared" si="180"/>
        <v>20395339.16</v>
      </c>
      <c r="O261" s="25">
        <f>8914255.95+11481083.21</f>
        <v>20395339.16</v>
      </c>
      <c r="P261" s="25"/>
      <c r="Q261" s="25"/>
      <c r="R261" s="25"/>
      <c r="S261" s="25">
        <f>8914255.95+11481083.21</f>
        <v>20395339.16</v>
      </c>
      <c r="T261" s="15">
        <f t="shared" si="143"/>
        <v>20395339.16</v>
      </c>
      <c r="U261" s="25">
        <v>20395339.16</v>
      </c>
      <c r="V261" s="25"/>
      <c r="W261" s="25"/>
      <c r="X261" s="25"/>
      <c r="Y261" s="25">
        <v>20395339.16</v>
      </c>
      <c r="Z261" s="182">
        <f t="shared" si="144"/>
        <v>100</v>
      </c>
      <c r="AA261" s="30">
        <f t="shared" si="145"/>
        <v>20395339.16</v>
      </c>
      <c r="AB261" s="30">
        <f t="shared" si="170"/>
        <v>20395339.16</v>
      </c>
      <c r="AC261" s="198">
        <v>12</v>
      </c>
    </row>
    <row r="262" spans="1:29" s="26" customFormat="1" ht="199.9" customHeight="1" x14ac:dyDescent="0.25">
      <c r="A262" s="22" t="s">
        <v>416</v>
      </c>
      <c r="B262" s="23">
        <v>3223</v>
      </c>
      <c r="C262" s="22" t="s">
        <v>51</v>
      </c>
      <c r="D262" s="24" t="str">
        <f>'дод 5'!C182</f>
        <v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у т.ч. за рахунок:</v>
      </c>
      <c r="E262" s="25">
        <f t="shared" si="169"/>
        <v>0</v>
      </c>
      <c r="F262" s="25"/>
      <c r="G262" s="25"/>
      <c r="H262" s="25"/>
      <c r="I262" s="25"/>
      <c r="J262" s="25"/>
      <c r="K262" s="25"/>
      <c r="L262" s="25"/>
      <c r="M262" s="181"/>
      <c r="N262" s="25">
        <f t="shared" si="171"/>
        <v>3386099.22</v>
      </c>
      <c r="O262" s="25">
        <f>3386099.22</f>
        <v>3386099.22</v>
      </c>
      <c r="P262" s="25"/>
      <c r="Q262" s="25"/>
      <c r="R262" s="25"/>
      <c r="S262" s="25">
        <f>3386099.22</f>
        <v>3386099.22</v>
      </c>
      <c r="T262" s="15">
        <f t="shared" si="143"/>
        <v>3386099.22</v>
      </c>
      <c r="U262" s="25">
        <v>3386099.22</v>
      </c>
      <c r="V262" s="25"/>
      <c r="W262" s="25"/>
      <c r="X262" s="25"/>
      <c r="Y262" s="25">
        <v>3386099.22</v>
      </c>
      <c r="Z262" s="181">
        <f t="shared" si="144"/>
        <v>100</v>
      </c>
      <c r="AA262" s="25">
        <f t="shared" si="145"/>
        <v>3386099.22</v>
      </c>
      <c r="AB262" s="25">
        <f t="shared" si="170"/>
        <v>3386099.22</v>
      </c>
      <c r="AC262" s="198"/>
    </row>
    <row r="263" spans="1:29" s="31" customFormat="1" ht="233.25" customHeight="1" x14ac:dyDescent="0.25">
      <c r="A263" s="27"/>
      <c r="B263" s="28"/>
      <c r="C263" s="27"/>
      <c r="D263" s="29" t="s">
        <v>636</v>
      </c>
      <c r="E263" s="30">
        <f t="shared" si="169"/>
        <v>0</v>
      </c>
      <c r="F263" s="30"/>
      <c r="G263" s="30"/>
      <c r="H263" s="30"/>
      <c r="I263" s="30"/>
      <c r="J263" s="30"/>
      <c r="K263" s="30"/>
      <c r="L263" s="30"/>
      <c r="M263" s="182"/>
      <c r="N263" s="30">
        <f t="shared" si="171"/>
        <v>3386099.22</v>
      </c>
      <c r="O263" s="25">
        <f>3386099.22</f>
        <v>3386099.22</v>
      </c>
      <c r="P263" s="30"/>
      <c r="Q263" s="30"/>
      <c r="R263" s="30"/>
      <c r="S263" s="25">
        <f>3386099.22</f>
        <v>3386099.22</v>
      </c>
      <c r="T263" s="15">
        <f t="shared" si="143"/>
        <v>3386099.22</v>
      </c>
      <c r="U263" s="25">
        <v>3386099.22</v>
      </c>
      <c r="V263" s="25"/>
      <c r="W263" s="25"/>
      <c r="X263" s="25"/>
      <c r="Y263" s="25">
        <v>3386099.22</v>
      </c>
      <c r="Z263" s="182">
        <f t="shared" si="144"/>
        <v>100</v>
      </c>
      <c r="AA263" s="30">
        <f t="shared" si="145"/>
        <v>3386099.22</v>
      </c>
      <c r="AB263" s="30">
        <f t="shared" si="170"/>
        <v>3386099.22</v>
      </c>
      <c r="AC263" s="198"/>
    </row>
    <row r="264" spans="1:29" s="26" customFormat="1" ht="50.25" customHeight="1" x14ac:dyDescent="0.25">
      <c r="A264" s="22" t="s">
        <v>294</v>
      </c>
      <c r="B264" s="23" t="str">
        <f>'дод 5'!A184</f>
        <v>3241</v>
      </c>
      <c r="C264" s="23" t="str">
        <f>'дод 5'!B184</f>
        <v>1090</v>
      </c>
      <c r="D264" s="24" t="s">
        <v>740</v>
      </c>
      <c r="E264" s="25">
        <f t="shared" si="169"/>
        <v>6840400</v>
      </c>
      <c r="F264" s="25">
        <f>6618300+222100</f>
        <v>6840400</v>
      </c>
      <c r="G264" s="25">
        <f>3540500+182100</f>
        <v>3722600</v>
      </c>
      <c r="H264" s="25">
        <f>506500</f>
        <v>506500</v>
      </c>
      <c r="I264" s="25"/>
      <c r="J264" s="25">
        <v>6556874.0099999998</v>
      </c>
      <c r="K264" s="25">
        <v>3694208.87</v>
      </c>
      <c r="L264" s="25">
        <v>446137.05</v>
      </c>
      <c r="M264" s="181">
        <f t="shared" si="147"/>
        <v>95.855125577451602</v>
      </c>
      <c r="N264" s="25">
        <f t="shared" ref="N264:N272" si="181">P264+S264</f>
        <v>0</v>
      </c>
      <c r="O264" s="25"/>
      <c r="P264" s="25"/>
      <c r="Q264" s="25"/>
      <c r="R264" s="25"/>
      <c r="S264" s="25"/>
      <c r="T264" s="15">
        <f t="shared" si="143"/>
        <v>1482166.8299999998</v>
      </c>
      <c r="U264" s="25"/>
      <c r="V264" s="25">
        <v>428897.18</v>
      </c>
      <c r="W264" s="25"/>
      <c r="X264" s="25"/>
      <c r="Y264" s="25">
        <v>1053269.6499999999</v>
      </c>
      <c r="Z264" s="181"/>
      <c r="AA264" s="25">
        <f t="shared" si="145"/>
        <v>8039040.8399999999</v>
      </c>
      <c r="AB264" s="30">
        <f t="shared" si="170"/>
        <v>6840400</v>
      </c>
      <c r="AC264" s="198"/>
    </row>
    <row r="265" spans="1:29" s="26" customFormat="1" ht="33" customHeight="1" x14ac:dyDescent="0.25">
      <c r="A265" s="22" t="s">
        <v>341</v>
      </c>
      <c r="B265" s="23" t="str">
        <f>'дод 5'!A185</f>
        <v>3242</v>
      </c>
      <c r="C265" s="23" t="str">
        <f>'дод 5'!B185</f>
        <v>1090</v>
      </c>
      <c r="D265" s="24" t="s">
        <v>600</v>
      </c>
      <c r="E265" s="25">
        <f t="shared" si="169"/>
        <v>283363094</v>
      </c>
      <c r="F265" s="25">
        <f>283053500-186471500+261600+100000+440000+100000+71218100+4750000+4997600+60000+9550+61416800+3616150+34265+180000+100000+100000+65000+3750000+353429+200000+17801000+952025+3000000+4697800-8400-16320+8000000+602495</f>
        <v>283363094</v>
      </c>
      <c r="G265" s="25"/>
      <c r="H265" s="25"/>
      <c r="I265" s="25"/>
      <c r="J265" s="25">
        <v>275977659.14999998</v>
      </c>
      <c r="K265" s="25"/>
      <c r="L265" s="25"/>
      <c r="M265" s="181">
        <f t="shared" si="147"/>
        <v>97.393649700197017</v>
      </c>
      <c r="N265" s="25">
        <f t="shared" si="181"/>
        <v>0</v>
      </c>
      <c r="O265" s="25"/>
      <c r="P265" s="25"/>
      <c r="Q265" s="25"/>
      <c r="R265" s="25"/>
      <c r="S265" s="25"/>
      <c r="T265" s="15">
        <f t="shared" si="143"/>
        <v>0</v>
      </c>
      <c r="U265" s="25"/>
      <c r="V265" s="25"/>
      <c r="W265" s="25"/>
      <c r="X265" s="25"/>
      <c r="Y265" s="25"/>
      <c r="Z265" s="181"/>
      <c r="AA265" s="25">
        <f t="shared" si="145"/>
        <v>275977659.14999998</v>
      </c>
      <c r="AB265" s="25">
        <f t="shared" si="170"/>
        <v>283363094</v>
      </c>
      <c r="AC265" s="198"/>
    </row>
    <row r="266" spans="1:29" s="31" customFormat="1" ht="25.5" customHeight="1" x14ac:dyDescent="0.25">
      <c r="A266" s="27"/>
      <c r="B266" s="28"/>
      <c r="C266" s="28"/>
      <c r="D266" s="29" t="s">
        <v>379</v>
      </c>
      <c r="E266" s="30">
        <f t="shared" si="169"/>
        <v>8236880</v>
      </c>
      <c r="F266" s="30">
        <f>261600-8400-16320+8000000</f>
        <v>8236880</v>
      </c>
      <c r="G266" s="30"/>
      <c r="H266" s="30"/>
      <c r="I266" s="30"/>
      <c r="J266" s="30">
        <v>3841000</v>
      </c>
      <c r="K266" s="30"/>
      <c r="L266" s="30"/>
      <c r="M266" s="182">
        <f t="shared" si="147"/>
        <v>46.631734346014511</v>
      </c>
      <c r="N266" s="30">
        <f t="shared" si="181"/>
        <v>0</v>
      </c>
      <c r="O266" s="30"/>
      <c r="P266" s="30"/>
      <c r="Q266" s="30"/>
      <c r="R266" s="30"/>
      <c r="S266" s="30"/>
      <c r="T266" s="15">
        <f t="shared" si="143"/>
        <v>0</v>
      </c>
      <c r="U266" s="30"/>
      <c r="V266" s="30"/>
      <c r="W266" s="30"/>
      <c r="X266" s="30"/>
      <c r="Y266" s="30"/>
      <c r="Z266" s="182"/>
      <c r="AA266" s="30">
        <f t="shared" si="145"/>
        <v>3841000</v>
      </c>
      <c r="AB266" s="30">
        <f t="shared" si="170"/>
        <v>8236880</v>
      </c>
      <c r="AC266" s="198"/>
    </row>
    <row r="267" spans="1:29" s="31" customFormat="1" ht="108" customHeight="1" x14ac:dyDescent="0.25">
      <c r="A267" s="27"/>
      <c r="B267" s="28"/>
      <c r="C267" s="28"/>
      <c r="D267" s="29" t="s">
        <v>618</v>
      </c>
      <c r="E267" s="30">
        <f t="shared" si="169"/>
        <v>65366800</v>
      </c>
      <c r="F267" s="30">
        <f>61416800+3750000+200000</f>
        <v>65366800</v>
      </c>
      <c r="G267" s="30"/>
      <c r="H267" s="30"/>
      <c r="I267" s="30"/>
      <c r="J267" s="30">
        <v>65166800</v>
      </c>
      <c r="K267" s="30"/>
      <c r="L267" s="30"/>
      <c r="M267" s="182">
        <f t="shared" si="147"/>
        <v>99.694034280399222</v>
      </c>
      <c r="N267" s="30">
        <f t="shared" si="181"/>
        <v>0</v>
      </c>
      <c r="O267" s="30"/>
      <c r="P267" s="30"/>
      <c r="Q267" s="30"/>
      <c r="R267" s="30"/>
      <c r="S267" s="30"/>
      <c r="T267" s="15">
        <f t="shared" si="143"/>
        <v>0</v>
      </c>
      <c r="U267" s="30"/>
      <c r="V267" s="30"/>
      <c r="W267" s="30"/>
      <c r="X267" s="30"/>
      <c r="Y267" s="30"/>
      <c r="Z267" s="182"/>
      <c r="AA267" s="30">
        <f t="shared" si="145"/>
        <v>65166800</v>
      </c>
      <c r="AB267" s="30">
        <f t="shared" si="170"/>
        <v>65366800</v>
      </c>
      <c r="AC267" s="198"/>
    </row>
    <row r="268" spans="1:29" s="26" customFormat="1" ht="31.5" hidden="1" customHeight="1" x14ac:dyDescent="0.25">
      <c r="A268" s="22" t="s">
        <v>397</v>
      </c>
      <c r="B268" s="23">
        <v>7323</v>
      </c>
      <c r="C268" s="22" t="s">
        <v>107</v>
      </c>
      <c r="D268" s="35" t="str">
        <f>'дод 5'!C249</f>
        <v>Будівництво1 установ та закладів соціальної сфери</v>
      </c>
      <c r="E268" s="25">
        <f t="shared" si="169"/>
        <v>0</v>
      </c>
      <c r="F268" s="25"/>
      <c r="G268" s="25"/>
      <c r="H268" s="25"/>
      <c r="I268" s="25"/>
      <c r="J268" s="25"/>
      <c r="K268" s="25"/>
      <c r="L268" s="25"/>
      <c r="M268" s="181" t="e">
        <f t="shared" si="147"/>
        <v>#DIV/0!</v>
      </c>
      <c r="N268" s="25">
        <f t="shared" si="181"/>
        <v>0</v>
      </c>
      <c r="O268" s="25"/>
      <c r="P268" s="25"/>
      <c r="Q268" s="25"/>
      <c r="R268" s="25"/>
      <c r="S268" s="25"/>
      <c r="T268" s="15">
        <f t="shared" si="143"/>
        <v>0</v>
      </c>
      <c r="U268" s="25"/>
      <c r="V268" s="25"/>
      <c r="W268" s="25"/>
      <c r="X268" s="25"/>
      <c r="Y268" s="25"/>
      <c r="Z268" s="181"/>
      <c r="AA268" s="25">
        <f t="shared" si="145"/>
        <v>0</v>
      </c>
      <c r="AB268" s="25">
        <f t="shared" si="170"/>
        <v>0</v>
      </c>
      <c r="AC268" s="198"/>
    </row>
    <row r="269" spans="1:29" s="26" customFormat="1" ht="15.4" hidden="1" customHeight="1" x14ac:dyDescent="0.25">
      <c r="A269" s="22" t="s">
        <v>536</v>
      </c>
      <c r="B269" s="23">
        <v>7640</v>
      </c>
      <c r="C269" s="45" t="s">
        <v>82</v>
      </c>
      <c r="D269" s="33" t="s">
        <v>402</v>
      </c>
      <c r="E269" s="25">
        <f t="shared" si="169"/>
        <v>0</v>
      </c>
      <c r="F269" s="25"/>
      <c r="G269" s="25"/>
      <c r="H269" s="25"/>
      <c r="I269" s="25"/>
      <c r="J269" s="25"/>
      <c r="K269" s="25"/>
      <c r="L269" s="25"/>
      <c r="M269" s="181" t="e">
        <f t="shared" si="147"/>
        <v>#DIV/0!</v>
      </c>
      <c r="N269" s="25">
        <f t="shared" si="181"/>
        <v>0</v>
      </c>
      <c r="O269" s="25"/>
      <c r="P269" s="25"/>
      <c r="Q269" s="25"/>
      <c r="R269" s="25"/>
      <c r="S269" s="25"/>
      <c r="T269" s="15">
        <f t="shared" si="143"/>
        <v>0</v>
      </c>
      <c r="U269" s="25"/>
      <c r="V269" s="25"/>
      <c r="W269" s="25"/>
      <c r="X269" s="25"/>
      <c r="Y269" s="25"/>
      <c r="Z269" s="181"/>
      <c r="AA269" s="25">
        <f t="shared" si="145"/>
        <v>0</v>
      </c>
      <c r="AB269" s="25">
        <f t="shared" si="170"/>
        <v>0</v>
      </c>
      <c r="AC269" s="198"/>
    </row>
    <row r="270" spans="1:29" s="26" customFormat="1" ht="66" hidden="1" customHeight="1" x14ac:dyDescent="0.25">
      <c r="A270" s="22" t="s">
        <v>569</v>
      </c>
      <c r="B270" s="23" t="e">
        <f>'дод 5'!#REF!</f>
        <v>#REF!</v>
      </c>
      <c r="C270" s="23" t="e">
        <f>'дод 5'!#REF!</f>
        <v>#REF!</v>
      </c>
      <c r="D270" s="36" t="e">
        <f>'дод 5'!#REF!</f>
        <v>#REF!</v>
      </c>
      <c r="E270" s="25">
        <f>F270</f>
        <v>0</v>
      </c>
      <c r="F270" s="25"/>
      <c r="G270" s="25"/>
      <c r="H270" s="25"/>
      <c r="I270" s="25"/>
      <c r="J270" s="25"/>
      <c r="K270" s="25"/>
      <c r="L270" s="25"/>
      <c r="M270" s="181" t="e">
        <f t="shared" si="147"/>
        <v>#DIV/0!</v>
      </c>
      <c r="N270" s="25">
        <f t="shared" ref="N270" si="182">P270+S270</f>
        <v>0</v>
      </c>
      <c r="O270" s="25"/>
      <c r="P270" s="25"/>
      <c r="Q270" s="25"/>
      <c r="R270" s="25"/>
      <c r="S270" s="25"/>
      <c r="T270" s="15">
        <f t="shared" si="143"/>
        <v>0</v>
      </c>
      <c r="U270" s="25"/>
      <c r="V270" s="25"/>
      <c r="W270" s="25"/>
      <c r="X270" s="25"/>
      <c r="Y270" s="25"/>
      <c r="Z270" s="181"/>
      <c r="AA270" s="25">
        <f t="shared" si="145"/>
        <v>0</v>
      </c>
      <c r="AB270" s="25">
        <f t="shared" ref="AB270" si="183">E270+N270</f>
        <v>0</v>
      </c>
      <c r="AC270" s="198"/>
    </row>
    <row r="271" spans="1:29" s="26" customFormat="1" ht="6.75" hidden="1" customHeight="1" x14ac:dyDescent="0.25">
      <c r="A271" s="22" t="s">
        <v>563</v>
      </c>
      <c r="B271" s="23">
        <v>8775</v>
      </c>
      <c r="C271" s="22" t="s">
        <v>89</v>
      </c>
      <c r="D271" s="24" t="s">
        <v>561</v>
      </c>
      <c r="E271" s="25">
        <f>F271</f>
        <v>0</v>
      </c>
      <c r="F271" s="25"/>
      <c r="G271" s="25"/>
      <c r="H271" s="25"/>
      <c r="I271" s="25"/>
      <c r="J271" s="25"/>
      <c r="K271" s="25"/>
      <c r="L271" s="25"/>
      <c r="M271" s="181" t="e">
        <f t="shared" si="147"/>
        <v>#DIV/0!</v>
      </c>
      <c r="N271" s="25">
        <f t="shared" si="181"/>
        <v>0</v>
      </c>
      <c r="O271" s="25"/>
      <c r="P271" s="25"/>
      <c r="Q271" s="25"/>
      <c r="R271" s="25"/>
      <c r="S271" s="25"/>
      <c r="T271" s="15">
        <f t="shared" si="143"/>
        <v>0</v>
      </c>
      <c r="U271" s="25"/>
      <c r="V271" s="25"/>
      <c r="W271" s="25"/>
      <c r="X271" s="25"/>
      <c r="Y271" s="25"/>
      <c r="Z271" s="181"/>
      <c r="AA271" s="25">
        <f t="shared" si="145"/>
        <v>0</v>
      </c>
      <c r="AB271" s="25">
        <f t="shared" si="170"/>
        <v>0</v>
      </c>
      <c r="AC271" s="198"/>
    </row>
    <row r="272" spans="1:29" s="26" customFormat="1" ht="22.5" customHeight="1" x14ac:dyDescent="0.25">
      <c r="A272" s="22" t="s">
        <v>256</v>
      </c>
      <c r="B272" s="23" t="str">
        <f>'дод 5'!A346</f>
        <v>9770</v>
      </c>
      <c r="C272" s="23" t="str">
        <f>'дод 5'!B346</f>
        <v>0180</v>
      </c>
      <c r="D272" s="24" t="str">
        <f>'дод 5'!C346</f>
        <v>Інші субвенції з місцевого бюджету</v>
      </c>
      <c r="E272" s="25">
        <f t="shared" si="169"/>
        <v>200000</v>
      </c>
      <c r="F272" s="25">
        <v>200000</v>
      </c>
      <c r="G272" s="25"/>
      <c r="H272" s="25"/>
      <c r="I272" s="25"/>
      <c r="J272" s="25">
        <v>200000</v>
      </c>
      <c r="K272" s="25"/>
      <c r="L272" s="25"/>
      <c r="M272" s="181">
        <f t="shared" si="147"/>
        <v>100</v>
      </c>
      <c r="N272" s="25">
        <f t="shared" si="181"/>
        <v>0</v>
      </c>
      <c r="O272" s="25"/>
      <c r="P272" s="25"/>
      <c r="Q272" s="25"/>
      <c r="R272" s="25"/>
      <c r="S272" s="25"/>
      <c r="T272" s="15">
        <f t="shared" si="143"/>
        <v>0</v>
      </c>
      <c r="U272" s="25"/>
      <c r="V272" s="25"/>
      <c r="W272" s="25"/>
      <c r="X272" s="25"/>
      <c r="Y272" s="25"/>
      <c r="Z272" s="181"/>
      <c r="AA272" s="25">
        <f t="shared" si="145"/>
        <v>200000</v>
      </c>
      <c r="AB272" s="25">
        <f t="shared" si="170"/>
        <v>200000</v>
      </c>
      <c r="AC272" s="198"/>
    </row>
    <row r="273" spans="1:29" s="16" customFormat="1" ht="38.25" customHeight="1" x14ac:dyDescent="0.25">
      <c r="A273" s="37" t="s">
        <v>180</v>
      </c>
      <c r="B273" s="38"/>
      <c r="C273" s="38"/>
      <c r="D273" s="39" t="s">
        <v>349</v>
      </c>
      <c r="E273" s="15">
        <f>E274</f>
        <v>7838300</v>
      </c>
      <c r="F273" s="15">
        <f t="shared" ref="F273:AA273" si="184">F274</f>
        <v>7838300</v>
      </c>
      <c r="G273" s="15">
        <f t="shared" si="184"/>
        <v>5886800</v>
      </c>
      <c r="H273" s="15">
        <f t="shared" si="184"/>
        <v>138600</v>
      </c>
      <c r="I273" s="15">
        <f t="shared" si="184"/>
        <v>0</v>
      </c>
      <c r="J273" s="15">
        <f t="shared" si="184"/>
        <v>7647822.25</v>
      </c>
      <c r="K273" s="15">
        <f t="shared" si="184"/>
        <v>5885683.3399999999</v>
      </c>
      <c r="L273" s="15">
        <f t="shared" si="184"/>
        <v>98892.13</v>
      </c>
      <c r="M273" s="121">
        <f t="shared" si="147"/>
        <v>97.569909929448983</v>
      </c>
      <c r="N273" s="15">
        <f t="shared" si="184"/>
        <v>0</v>
      </c>
      <c r="O273" s="15">
        <f t="shared" si="184"/>
        <v>0</v>
      </c>
      <c r="P273" s="15">
        <f t="shared" si="184"/>
        <v>0</v>
      </c>
      <c r="Q273" s="15">
        <f t="shared" si="184"/>
        <v>0</v>
      </c>
      <c r="R273" s="15">
        <f t="shared" si="184"/>
        <v>0</v>
      </c>
      <c r="S273" s="15">
        <f t="shared" si="184"/>
        <v>0</v>
      </c>
      <c r="T273" s="15">
        <f t="shared" si="184"/>
        <v>535308.4</v>
      </c>
      <c r="U273" s="15">
        <f t="shared" si="184"/>
        <v>0</v>
      </c>
      <c r="V273" s="15">
        <f t="shared" si="184"/>
        <v>24612.880000000001</v>
      </c>
      <c r="W273" s="15">
        <f t="shared" si="184"/>
        <v>0</v>
      </c>
      <c r="X273" s="15">
        <f t="shared" si="184"/>
        <v>0</v>
      </c>
      <c r="Y273" s="15">
        <f t="shared" si="184"/>
        <v>510695.52</v>
      </c>
      <c r="Z273" s="121"/>
      <c r="AA273" s="15">
        <f t="shared" si="184"/>
        <v>8183130.6500000004</v>
      </c>
      <c r="AB273" s="15">
        <f t="shared" ref="AB273" si="185">AB274</f>
        <v>7838300</v>
      </c>
      <c r="AC273" s="198"/>
    </row>
    <row r="274" spans="1:29" s="21" customFormat="1" ht="38.25" customHeight="1" x14ac:dyDescent="0.25">
      <c r="A274" s="17" t="s">
        <v>181</v>
      </c>
      <c r="B274" s="40"/>
      <c r="C274" s="40"/>
      <c r="D274" s="19" t="s">
        <v>349</v>
      </c>
      <c r="E274" s="20">
        <f>E276+E277+E278+E280+E279</f>
        <v>7838300</v>
      </c>
      <c r="F274" s="20">
        <f t="shared" ref="F274:AA274" si="186">F276+F277+F278+F280+F279</f>
        <v>7838300</v>
      </c>
      <c r="G274" s="20">
        <f t="shared" si="186"/>
        <v>5886800</v>
      </c>
      <c r="H274" s="20">
        <f t="shared" si="186"/>
        <v>138600</v>
      </c>
      <c r="I274" s="20">
        <f t="shared" si="186"/>
        <v>0</v>
      </c>
      <c r="J274" s="20">
        <f t="shared" si="186"/>
        <v>7647822.25</v>
      </c>
      <c r="K274" s="20">
        <f t="shared" si="186"/>
        <v>5885683.3399999999</v>
      </c>
      <c r="L274" s="20">
        <f t="shared" si="186"/>
        <v>98892.13</v>
      </c>
      <c r="M274" s="187">
        <f t="shared" ref="M274:M337" si="187">J274/E274*100</f>
        <v>97.569909929448983</v>
      </c>
      <c r="N274" s="20">
        <f t="shared" si="186"/>
        <v>0</v>
      </c>
      <c r="O274" s="20">
        <f t="shared" si="186"/>
        <v>0</v>
      </c>
      <c r="P274" s="20">
        <f t="shared" si="186"/>
        <v>0</v>
      </c>
      <c r="Q274" s="20">
        <f t="shared" si="186"/>
        <v>0</v>
      </c>
      <c r="R274" s="20">
        <f t="shared" si="186"/>
        <v>0</v>
      </c>
      <c r="S274" s="20">
        <f t="shared" si="186"/>
        <v>0</v>
      </c>
      <c r="T274" s="20">
        <f t="shared" si="186"/>
        <v>535308.4</v>
      </c>
      <c r="U274" s="20">
        <f t="shared" si="186"/>
        <v>0</v>
      </c>
      <c r="V274" s="20">
        <f t="shared" si="186"/>
        <v>24612.880000000001</v>
      </c>
      <c r="W274" s="20">
        <f t="shared" si="186"/>
        <v>0</v>
      </c>
      <c r="X274" s="20">
        <f t="shared" si="186"/>
        <v>0</v>
      </c>
      <c r="Y274" s="20">
        <f t="shared" si="186"/>
        <v>510695.52</v>
      </c>
      <c r="Z274" s="187"/>
      <c r="AA274" s="20">
        <f t="shared" si="186"/>
        <v>8183130.6500000004</v>
      </c>
      <c r="AB274" s="20">
        <f t="shared" ref="AB274" si="188">AB276+AB277+AB278+AB280+AB279</f>
        <v>7838300</v>
      </c>
      <c r="AC274" s="198"/>
    </row>
    <row r="275" spans="1:29" s="21" customFormat="1" ht="141.75" hidden="1" customHeight="1" x14ac:dyDescent="0.25">
      <c r="A275" s="17"/>
      <c r="B275" s="40"/>
      <c r="C275" s="40"/>
      <c r="D275" s="52" t="s">
        <v>530</v>
      </c>
      <c r="E275" s="20">
        <f>E281</f>
        <v>0</v>
      </c>
      <c r="F275" s="20">
        <f t="shared" ref="F275:AB275" si="189">F281</f>
        <v>0</v>
      </c>
      <c r="G275" s="20">
        <f t="shared" si="189"/>
        <v>0</v>
      </c>
      <c r="H275" s="20">
        <f t="shared" si="189"/>
        <v>0</v>
      </c>
      <c r="I275" s="20">
        <f t="shared" si="189"/>
        <v>0</v>
      </c>
      <c r="J275" s="20"/>
      <c r="K275" s="20"/>
      <c r="L275" s="20"/>
      <c r="M275" s="187" t="e">
        <f t="shared" si="187"/>
        <v>#DIV/0!</v>
      </c>
      <c r="N275" s="20">
        <f t="shared" si="189"/>
        <v>0</v>
      </c>
      <c r="O275" s="20">
        <f t="shared" si="189"/>
        <v>0</v>
      </c>
      <c r="P275" s="20">
        <f t="shared" si="189"/>
        <v>0</v>
      </c>
      <c r="Q275" s="20">
        <f t="shared" si="189"/>
        <v>0</v>
      </c>
      <c r="R275" s="20">
        <f t="shared" si="189"/>
        <v>0</v>
      </c>
      <c r="S275" s="20">
        <f t="shared" si="189"/>
        <v>0</v>
      </c>
      <c r="T275" s="15">
        <f t="shared" ref="T275:T337" si="190">V275+Y275</f>
        <v>0</v>
      </c>
      <c r="U275" s="20"/>
      <c r="V275" s="20"/>
      <c r="W275" s="20"/>
      <c r="X275" s="20"/>
      <c r="Y275" s="20"/>
      <c r="Z275" s="187"/>
      <c r="AA275" s="20">
        <f t="shared" ref="AA275:AA337" si="191">J275+T275</f>
        <v>0</v>
      </c>
      <c r="AB275" s="20">
        <f t="shared" si="189"/>
        <v>0</v>
      </c>
      <c r="AC275" s="198"/>
    </row>
    <row r="276" spans="1:29" s="26" customFormat="1" ht="47.25" x14ac:dyDescent="0.25">
      <c r="A276" s="22" t="s">
        <v>182</v>
      </c>
      <c r="B276" s="23" t="str">
        <f>'дод 5'!A21</f>
        <v>0160</v>
      </c>
      <c r="C276" s="23" t="str">
        <f>'дод 5'!B21</f>
        <v>0111</v>
      </c>
      <c r="D276" s="24" t="s">
        <v>707</v>
      </c>
      <c r="E276" s="25">
        <f t="shared" ref="E276:E281" si="192">F276+I276</f>
        <v>7552000</v>
      </c>
      <c r="F276" s="25">
        <f>6981400+570600</f>
        <v>7552000</v>
      </c>
      <c r="G276" s="25">
        <f>5371700+468100+47000</f>
        <v>5886800</v>
      </c>
      <c r="H276" s="25">
        <v>138600</v>
      </c>
      <c r="I276" s="25"/>
      <c r="J276" s="25">
        <v>7510733.0099999998</v>
      </c>
      <c r="K276" s="25">
        <v>5885683.3399999999</v>
      </c>
      <c r="L276" s="25">
        <v>98892.13</v>
      </c>
      <c r="M276" s="181">
        <f t="shared" si="187"/>
        <v>99.453562102754233</v>
      </c>
      <c r="N276" s="25">
        <f>P276+S276</f>
        <v>0</v>
      </c>
      <c r="O276" s="25">
        <f>12000-12000</f>
        <v>0</v>
      </c>
      <c r="P276" s="25"/>
      <c r="Q276" s="25"/>
      <c r="R276" s="25"/>
      <c r="S276" s="25">
        <f>12000-12000</f>
        <v>0</v>
      </c>
      <c r="T276" s="15">
        <f t="shared" si="190"/>
        <v>535308.4</v>
      </c>
      <c r="U276" s="25"/>
      <c r="V276" s="25">
        <v>24612.880000000001</v>
      </c>
      <c r="W276" s="25"/>
      <c r="X276" s="25"/>
      <c r="Y276" s="25">
        <v>510695.52</v>
      </c>
      <c r="Z276" s="181"/>
      <c r="AA276" s="25">
        <f t="shared" si="191"/>
        <v>8046041.4100000001</v>
      </c>
      <c r="AB276" s="25">
        <f t="shared" ref="AB276:AB281" si="193">E276+N276</f>
        <v>7552000</v>
      </c>
      <c r="AC276" s="198"/>
    </row>
    <row r="277" spans="1:29" s="26" customFormat="1" ht="84.75" customHeight="1" x14ac:dyDescent="0.25">
      <c r="A277" s="22" t="s">
        <v>320</v>
      </c>
      <c r="B277" s="23">
        <v>3111</v>
      </c>
      <c r="C277" s="23">
        <v>1040</v>
      </c>
      <c r="D277" s="24" t="str">
        <f>'дод 5'!C157</f>
        <v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v>
      </c>
      <c r="E277" s="25">
        <f t="shared" si="192"/>
        <v>116300</v>
      </c>
      <c r="F277" s="25">
        <v>116300</v>
      </c>
      <c r="G277" s="25"/>
      <c r="H277" s="25"/>
      <c r="I277" s="25"/>
      <c r="J277" s="25"/>
      <c r="K277" s="25"/>
      <c r="L277" s="25"/>
      <c r="M277" s="181">
        <f t="shared" si="187"/>
        <v>0</v>
      </c>
      <c r="N277" s="25">
        <f t="shared" ref="N277:N281" si="194">P277+S277</f>
        <v>0</v>
      </c>
      <c r="O277" s="25">
        <f>21140-21140</f>
        <v>0</v>
      </c>
      <c r="P277" s="25"/>
      <c r="Q277" s="25"/>
      <c r="R277" s="25"/>
      <c r="S277" s="25">
        <f>21140-21140</f>
        <v>0</v>
      </c>
      <c r="T277" s="15">
        <f t="shared" si="190"/>
        <v>0</v>
      </c>
      <c r="U277" s="25"/>
      <c r="V277" s="25"/>
      <c r="W277" s="25"/>
      <c r="X277" s="25"/>
      <c r="Y277" s="25"/>
      <c r="Z277" s="181" t="e">
        <f t="shared" ref="Z277:Z337" si="195">T277/N277*100</f>
        <v>#DIV/0!</v>
      </c>
      <c r="AA277" s="25">
        <f t="shared" si="191"/>
        <v>0</v>
      </c>
      <c r="AB277" s="25">
        <f t="shared" si="193"/>
        <v>116300</v>
      </c>
      <c r="AC277" s="198">
        <v>13</v>
      </c>
    </row>
    <row r="278" spans="1:29" s="26" customFormat="1" ht="31.5" customHeight="1" x14ac:dyDescent="0.25">
      <c r="A278" s="22" t="s">
        <v>183</v>
      </c>
      <c r="B278" s="23" t="str">
        <f>'дод 5'!A158</f>
        <v>3112</v>
      </c>
      <c r="C278" s="23" t="str">
        <f>'дод 5'!B158</f>
        <v>1040</v>
      </c>
      <c r="D278" s="24" t="str">
        <f>'дод 5'!C158</f>
        <v>Заходи державної політики з питань дітей та їх соціального захисту</v>
      </c>
      <c r="E278" s="25">
        <f t="shared" si="192"/>
        <v>170000</v>
      </c>
      <c r="F278" s="25">
        <f>141200+28800</f>
        <v>170000</v>
      </c>
      <c r="G278" s="25"/>
      <c r="H278" s="25"/>
      <c r="I278" s="25"/>
      <c r="J278" s="25">
        <v>137089.24</v>
      </c>
      <c r="K278" s="25"/>
      <c r="L278" s="25"/>
      <c r="M278" s="181">
        <f t="shared" si="187"/>
        <v>80.640729411764696</v>
      </c>
      <c r="N278" s="25">
        <f t="shared" si="194"/>
        <v>0</v>
      </c>
      <c r="O278" s="25"/>
      <c r="P278" s="25"/>
      <c r="Q278" s="25"/>
      <c r="R278" s="25"/>
      <c r="S278" s="25"/>
      <c r="T278" s="15">
        <f t="shared" si="190"/>
        <v>0</v>
      </c>
      <c r="U278" s="25"/>
      <c r="V278" s="25"/>
      <c r="W278" s="25"/>
      <c r="X278" s="25"/>
      <c r="Y278" s="25"/>
      <c r="Z278" s="181"/>
      <c r="AA278" s="25">
        <f t="shared" si="191"/>
        <v>137089.24</v>
      </c>
      <c r="AB278" s="25">
        <f t="shared" si="193"/>
        <v>170000</v>
      </c>
      <c r="AC278" s="198"/>
    </row>
    <row r="279" spans="1:29" s="26" customFormat="1" ht="31.5" hidden="1" customHeight="1" x14ac:dyDescent="0.25">
      <c r="A279" s="22" t="s">
        <v>540</v>
      </c>
      <c r="B279" s="23">
        <v>3242</v>
      </c>
      <c r="C279" s="45" t="s">
        <v>54</v>
      </c>
      <c r="D279" s="33" t="s">
        <v>392</v>
      </c>
      <c r="E279" s="25">
        <f t="shared" si="192"/>
        <v>0</v>
      </c>
      <c r="F279" s="25"/>
      <c r="G279" s="25"/>
      <c r="H279" s="25"/>
      <c r="I279" s="25"/>
      <c r="J279" s="25"/>
      <c r="K279" s="25"/>
      <c r="L279" s="25"/>
      <c r="M279" s="181" t="e">
        <f t="shared" si="187"/>
        <v>#DIV/0!</v>
      </c>
      <c r="N279" s="25">
        <f t="shared" si="194"/>
        <v>0</v>
      </c>
      <c r="O279" s="25"/>
      <c r="P279" s="25"/>
      <c r="Q279" s="25"/>
      <c r="R279" s="25"/>
      <c r="S279" s="25"/>
      <c r="T279" s="15">
        <f t="shared" si="190"/>
        <v>0</v>
      </c>
      <c r="U279" s="25"/>
      <c r="V279" s="25"/>
      <c r="W279" s="25"/>
      <c r="X279" s="25"/>
      <c r="Y279" s="25"/>
      <c r="Z279" s="181" t="e">
        <f t="shared" si="195"/>
        <v>#DIV/0!</v>
      </c>
      <c r="AA279" s="25">
        <f t="shared" si="191"/>
        <v>0</v>
      </c>
      <c r="AB279" s="25">
        <f t="shared" si="193"/>
        <v>0</v>
      </c>
      <c r="AC279" s="198"/>
    </row>
    <row r="280" spans="1:29" s="26" customFormat="1" ht="94.5" hidden="1" customHeight="1" x14ac:dyDescent="0.25">
      <c r="A280" s="22" t="s">
        <v>413</v>
      </c>
      <c r="B280" s="23">
        <v>6083</v>
      </c>
      <c r="C280" s="22" t="s">
        <v>65</v>
      </c>
      <c r="D280" s="42" t="s">
        <v>414</v>
      </c>
      <c r="E280" s="25">
        <f t="shared" si="192"/>
        <v>0</v>
      </c>
      <c r="F280" s="25"/>
      <c r="G280" s="25"/>
      <c r="H280" s="25"/>
      <c r="I280" s="25"/>
      <c r="J280" s="25"/>
      <c r="K280" s="25"/>
      <c r="L280" s="25"/>
      <c r="M280" s="181" t="e">
        <f t="shared" si="187"/>
        <v>#DIV/0!</v>
      </c>
      <c r="N280" s="25">
        <f t="shared" si="194"/>
        <v>0</v>
      </c>
      <c r="O280" s="25"/>
      <c r="P280" s="25"/>
      <c r="Q280" s="25"/>
      <c r="R280" s="25"/>
      <c r="S280" s="25"/>
      <c r="T280" s="15">
        <f t="shared" si="190"/>
        <v>0</v>
      </c>
      <c r="U280" s="25"/>
      <c r="V280" s="25"/>
      <c r="W280" s="25"/>
      <c r="X280" s="25"/>
      <c r="Y280" s="25"/>
      <c r="Z280" s="181" t="e">
        <f t="shared" si="195"/>
        <v>#DIV/0!</v>
      </c>
      <c r="AA280" s="25">
        <f t="shared" si="191"/>
        <v>0</v>
      </c>
      <c r="AB280" s="25">
        <f t="shared" si="193"/>
        <v>0</v>
      </c>
      <c r="AC280" s="198"/>
    </row>
    <row r="281" spans="1:29" s="31" customFormat="1" ht="138.75" hidden="1" customHeight="1" x14ac:dyDescent="0.25">
      <c r="A281" s="27"/>
      <c r="B281" s="28"/>
      <c r="C281" s="27"/>
      <c r="D281" s="53" t="s">
        <v>530</v>
      </c>
      <c r="E281" s="25">
        <f t="shared" si="192"/>
        <v>0</v>
      </c>
      <c r="F281" s="30"/>
      <c r="G281" s="30"/>
      <c r="H281" s="30"/>
      <c r="I281" s="30"/>
      <c r="J281" s="30"/>
      <c r="K281" s="30"/>
      <c r="L281" s="30"/>
      <c r="M281" s="181" t="e">
        <f t="shared" si="187"/>
        <v>#DIV/0!</v>
      </c>
      <c r="N281" s="25">
        <f t="shared" si="194"/>
        <v>0</v>
      </c>
      <c r="O281" s="30"/>
      <c r="P281" s="30"/>
      <c r="Q281" s="30"/>
      <c r="R281" s="30"/>
      <c r="S281" s="30"/>
      <c r="T281" s="15">
        <f t="shared" si="190"/>
        <v>0</v>
      </c>
      <c r="U281" s="30"/>
      <c r="V281" s="30"/>
      <c r="W281" s="30"/>
      <c r="X281" s="30"/>
      <c r="Y281" s="30"/>
      <c r="Z281" s="181" t="e">
        <f t="shared" si="195"/>
        <v>#DIV/0!</v>
      </c>
      <c r="AA281" s="25">
        <f t="shared" si="191"/>
        <v>0</v>
      </c>
      <c r="AB281" s="25">
        <f t="shared" si="193"/>
        <v>0</v>
      </c>
      <c r="AC281" s="198"/>
    </row>
    <row r="282" spans="1:29" s="16" customFormat="1" ht="22.5" customHeight="1" x14ac:dyDescent="0.25">
      <c r="A282" s="37" t="s">
        <v>25</v>
      </c>
      <c r="B282" s="38"/>
      <c r="C282" s="38"/>
      <c r="D282" s="39" t="s">
        <v>321</v>
      </c>
      <c r="E282" s="15">
        <f>E283</f>
        <v>96625400</v>
      </c>
      <c r="F282" s="15">
        <f t="shared" ref="F282:AA282" si="196">F283</f>
        <v>96625400</v>
      </c>
      <c r="G282" s="15">
        <f t="shared" si="196"/>
        <v>71873380</v>
      </c>
      <c r="H282" s="15">
        <f t="shared" si="196"/>
        <v>4857700</v>
      </c>
      <c r="I282" s="15">
        <f t="shared" si="196"/>
        <v>0</v>
      </c>
      <c r="J282" s="15">
        <f t="shared" si="196"/>
        <v>94161974.450000003</v>
      </c>
      <c r="K282" s="15">
        <f t="shared" si="196"/>
        <v>70796730.280000001</v>
      </c>
      <c r="L282" s="15">
        <f t="shared" si="196"/>
        <v>4366512.5100000007</v>
      </c>
      <c r="M282" s="121">
        <f t="shared" si="187"/>
        <v>97.450540385861274</v>
      </c>
      <c r="N282" s="15">
        <f t="shared" si="196"/>
        <v>8570035</v>
      </c>
      <c r="O282" s="15">
        <f t="shared" si="196"/>
        <v>4860300</v>
      </c>
      <c r="P282" s="15">
        <f t="shared" si="196"/>
        <v>3707535</v>
      </c>
      <c r="Q282" s="15">
        <f t="shared" si="196"/>
        <v>3020273</v>
      </c>
      <c r="R282" s="15">
        <f t="shared" si="196"/>
        <v>0</v>
      </c>
      <c r="S282" s="15">
        <f t="shared" si="196"/>
        <v>4862500</v>
      </c>
      <c r="T282" s="15">
        <f t="shared" si="196"/>
        <v>8863996.3599999994</v>
      </c>
      <c r="U282" s="15">
        <f t="shared" si="196"/>
        <v>4560506.6500000004</v>
      </c>
      <c r="V282" s="15">
        <f t="shared" si="196"/>
        <v>3655590.56</v>
      </c>
      <c r="W282" s="15">
        <f t="shared" si="196"/>
        <v>2463124.44</v>
      </c>
      <c r="X282" s="15">
        <f t="shared" si="196"/>
        <v>0</v>
      </c>
      <c r="Y282" s="15">
        <f t="shared" si="196"/>
        <v>5208405.8</v>
      </c>
      <c r="Z282" s="121" t="s">
        <v>771</v>
      </c>
      <c r="AA282" s="15">
        <f t="shared" si="196"/>
        <v>103025970.81000002</v>
      </c>
      <c r="AB282" s="15">
        <f t="shared" ref="AB282" si="197">AB283</f>
        <v>105195435</v>
      </c>
      <c r="AC282" s="198"/>
    </row>
    <row r="283" spans="1:29" s="21" customFormat="1" ht="31.5" customHeight="1" x14ac:dyDescent="0.25">
      <c r="A283" s="17" t="s">
        <v>184</v>
      </c>
      <c r="B283" s="40"/>
      <c r="C283" s="40"/>
      <c r="D283" s="19" t="s">
        <v>714</v>
      </c>
      <c r="E283" s="20">
        <f>E285+E286+E287+E290+E291++E293+E288+E292+E294+E295</f>
        <v>96625400</v>
      </c>
      <c r="F283" s="20">
        <f t="shared" ref="F283:AA283" si="198">F285+F286+F287+F290+F291++F293+F288+F292+F294+F295</f>
        <v>96625400</v>
      </c>
      <c r="G283" s="20">
        <f t="shared" si="198"/>
        <v>71873380</v>
      </c>
      <c r="H283" s="20">
        <f t="shared" si="198"/>
        <v>4857700</v>
      </c>
      <c r="I283" s="20">
        <f t="shared" si="198"/>
        <v>0</v>
      </c>
      <c r="J283" s="20">
        <f t="shared" si="198"/>
        <v>94161974.450000003</v>
      </c>
      <c r="K283" s="20">
        <f t="shared" si="198"/>
        <v>70796730.280000001</v>
      </c>
      <c r="L283" s="20">
        <f t="shared" si="198"/>
        <v>4366512.5100000007</v>
      </c>
      <c r="M283" s="187">
        <f t="shared" si="187"/>
        <v>97.450540385861274</v>
      </c>
      <c r="N283" s="20">
        <f t="shared" si="198"/>
        <v>8570035</v>
      </c>
      <c r="O283" s="20">
        <f t="shared" si="198"/>
        <v>4860300</v>
      </c>
      <c r="P283" s="20">
        <f t="shared" si="198"/>
        <v>3707535</v>
      </c>
      <c r="Q283" s="20">
        <f t="shared" si="198"/>
        <v>3020273</v>
      </c>
      <c r="R283" s="20">
        <f t="shared" si="198"/>
        <v>0</v>
      </c>
      <c r="S283" s="20">
        <f t="shared" si="198"/>
        <v>4862500</v>
      </c>
      <c r="T283" s="20">
        <f t="shared" si="198"/>
        <v>8863996.3599999994</v>
      </c>
      <c r="U283" s="20">
        <f t="shared" si="198"/>
        <v>4560506.6500000004</v>
      </c>
      <c r="V283" s="20">
        <f t="shared" si="198"/>
        <v>3655590.56</v>
      </c>
      <c r="W283" s="20">
        <f t="shared" si="198"/>
        <v>2463124.44</v>
      </c>
      <c r="X283" s="20">
        <f t="shared" si="198"/>
        <v>0</v>
      </c>
      <c r="Y283" s="20">
        <f t="shared" si="198"/>
        <v>5208405.8</v>
      </c>
      <c r="Z283" s="187" t="s">
        <v>771</v>
      </c>
      <c r="AA283" s="20">
        <f t="shared" si="198"/>
        <v>103025970.81000002</v>
      </c>
      <c r="AB283" s="20">
        <f t="shared" ref="AB283" si="199">AB285+AB286+AB287+AB290+AB291++AB293+AB288+AB292+AB294+AB295</f>
        <v>105195435</v>
      </c>
      <c r="AC283" s="198"/>
    </row>
    <row r="284" spans="1:29" s="21" customFormat="1" ht="126" x14ac:dyDescent="0.25">
      <c r="A284" s="17"/>
      <c r="B284" s="40"/>
      <c r="C284" s="40"/>
      <c r="D284" s="54" t="s">
        <v>618</v>
      </c>
      <c r="E284" s="20">
        <f>E289</f>
        <v>100000</v>
      </c>
      <c r="F284" s="20">
        <f t="shared" ref="F284:AA284" si="200">F289</f>
        <v>100000</v>
      </c>
      <c r="G284" s="20">
        <f t="shared" si="200"/>
        <v>0</v>
      </c>
      <c r="H284" s="20">
        <f t="shared" si="200"/>
        <v>0</v>
      </c>
      <c r="I284" s="20">
        <f t="shared" si="200"/>
        <v>0</v>
      </c>
      <c r="J284" s="20">
        <f t="shared" si="200"/>
        <v>100000</v>
      </c>
      <c r="K284" s="20">
        <f t="shared" si="200"/>
        <v>0</v>
      </c>
      <c r="L284" s="20">
        <f t="shared" si="200"/>
        <v>0</v>
      </c>
      <c r="M284" s="187">
        <f t="shared" si="187"/>
        <v>100</v>
      </c>
      <c r="N284" s="20">
        <f t="shared" si="200"/>
        <v>0</v>
      </c>
      <c r="O284" s="20">
        <f t="shared" si="200"/>
        <v>0</v>
      </c>
      <c r="P284" s="20">
        <f t="shared" si="200"/>
        <v>0</v>
      </c>
      <c r="Q284" s="20">
        <f t="shared" si="200"/>
        <v>0</v>
      </c>
      <c r="R284" s="20">
        <f t="shared" si="200"/>
        <v>0</v>
      </c>
      <c r="S284" s="20">
        <f t="shared" si="200"/>
        <v>0</v>
      </c>
      <c r="T284" s="20">
        <f t="shared" si="200"/>
        <v>0</v>
      </c>
      <c r="U284" s="20">
        <f t="shared" si="200"/>
        <v>0</v>
      </c>
      <c r="V284" s="20">
        <f t="shared" si="200"/>
        <v>0</v>
      </c>
      <c r="W284" s="20">
        <f t="shared" si="200"/>
        <v>0</v>
      </c>
      <c r="X284" s="20">
        <f t="shared" si="200"/>
        <v>0</v>
      </c>
      <c r="Y284" s="20">
        <f t="shared" si="200"/>
        <v>0</v>
      </c>
      <c r="Z284" s="187"/>
      <c r="AA284" s="20">
        <f t="shared" si="200"/>
        <v>100000</v>
      </c>
      <c r="AB284" s="20">
        <f t="shared" ref="AB284" si="201">AB289</f>
        <v>100000</v>
      </c>
      <c r="AC284" s="198"/>
    </row>
    <row r="285" spans="1:29" s="26" customFormat="1" ht="47.25" x14ac:dyDescent="0.25">
      <c r="A285" s="22" t="s">
        <v>132</v>
      </c>
      <c r="B285" s="23" t="str">
        <f>'дод 5'!A21</f>
        <v>0160</v>
      </c>
      <c r="C285" s="23" t="str">
        <f>'дод 5'!B21</f>
        <v>0111</v>
      </c>
      <c r="D285" s="24" t="s">
        <v>707</v>
      </c>
      <c r="E285" s="25">
        <f t="shared" ref="E285:E294" si="202">F285+I285</f>
        <v>2641800</v>
      </c>
      <c r="F285" s="25">
        <f>2410900+207600+23300</f>
        <v>2641800</v>
      </c>
      <c r="G285" s="25">
        <f>1884400+170300-20720</f>
        <v>2033980</v>
      </c>
      <c r="H285" s="25">
        <f>50600+23300</f>
        <v>73900</v>
      </c>
      <c r="I285" s="25"/>
      <c r="J285" s="25">
        <v>2619057.08</v>
      </c>
      <c r="K285" s="25">
        <v>2033804.42</v>
      </c>
      <c r="L285" s="25">
        <v>64533.45</v>
      </c>
      <c r="M285" s="181">
        <f t="shared" si="187"/>
        <v>99.139112726171547</v>
      </c>
      <c r="N285" s="25">
        <f>P285+S285</f>
        <v>0</v>
      </c>
      <c r="O285" s="25"/>
      <c r="P285" s="25"/>
      <c r="Q285" s="25"/>
      <c r="R285" s="25"/>
      <c r="S285" s="25"/>
      <c r="T285" s="15">
        <f t="shared" si="190"/>
        <v>0</v>
      </c>
      <c r="U285" s="25"/>
      <c r="V285" s="25"/>
      <c r="W285" s="25"/>
      <c r="X285" s="25"/>
      <c r="Y285" s="25"/>
      <c r="Z285" s="181"/>
      <c r="AA285" s="25">
        <f t="shared" si="191"/>
        <v>2619057.08</v>
      </c>
      <c r="AB285" s="25">
        <f t="shared" ref="AB285:AB294" si="203">E285+N285</f>
        <v>2641800</v>
      </c>
      <c r="AC285" s="198"/>
    </row>
    <row r="286" spans="1:29" s="26" customFormat="1" ht="33" customHeight="1" x14ac:dyDescent="0.25">
      <c r="A286" s="22" t="s">
        <v>471</v>
      </c>
      <c r="B286" s="23">
        <v>1080</v>
      </c>
      <c r="C286" s="22" t="s">
        <v>55</v>
      </c>
      <c r="D286" s="24" t="str">
        <f>'дод 5'!C72</f>
        <v>Надання спеціалізованої освіти мистецькими школами</v>
      </c>
      <c r="E286" s="25">
        <f t="shared" si="202"/>
        <v>58830500</v>
      </c>
      <c r="F286" s="25">
        <f>63414300+500000-200000-3905700-57800-920300</f>
        <v>58830500</v>
      </c>
      <c r="G286" s="25">
        <f>49963100-3179700-820300</f>
        <v>45963100</v>
      </c>
      <c r="H286" s="25">
        <f>1633100-43800</f>
        <v>1589300</v>
      </c>
      <c r="I286" s="25"/>
      <c r="J286" s="25">
        <v>58066018.840000004</v>
      </c>
      <c r="K286" s="25">
        <v>45827909.700000003</v>
      </c>
      <c r="L286" s="25">
        <v>1303283.8500000001</v>
      </c>
      <c r="M286" s="181">
        <f t="shared" si="187"/>
        <v>98.700536014482282</v>
      </c>
      <c r="N286" s="25">
        <f>P286+S286</f>
        <v>3692735</v>
      </c>
      <c r="O286" s="25"/>
      <c r="P286" s="25">
        <v>3690535</v>
      </c>
      <c r="Q286" s="25">
        <v>3020273</v>
      </c>
      <c r="R286" s="25"/>
      <c r="S286" s="25">
        <v>2200</v>
      </c>
      <c r="T286" s="15">
        <f t="shared" si="190"/>
        <v>3226313.7</v>
      </c>
      <c r="U286" s="25"/>
      <c r="V286" s="25">
        <v>3153697.7</v>
      </c>
      <c r="W286" s="25">
        <v>2463124.44</v>
      </c>
      <c r="X286" s="25"/>
      <c r="Y286" s="25">
        <v>72616</v>
      </c>
      <c r="Z286" s="181">
        <f t="shared" si="195"/>
        <v>87.369218208184449</v>
      </c>
      <c r="AA286" s="25">
        <f t="shared" si="191"/>
        <v>61292332.540000007</v>
      </c>
      <c r="AB286" s="25">
        <f t="shared" si="203"/>
        <v>62523235</v>
      </c>
      <c r="AC286" s="198"/>
    </row>
    <row r="287" spans="1:29" s="26" customFormat="1" ht="21" customHeight="1" x14ac:dyDescent="0.25">
      <c r="A287" s="22" t="s">
        <v>185</v>
      </c>
      <c r="B287" s="23" t="str">
        <f>'дод 5'!A190</f>
        <v>4030</v>
      </c>
      <c r="C287" s="23" t="str">
        <f>'дод 5'!B190</f>
        <v>0824</v>
      </c>
      <c r="D287" s="24" t="str">
        <f>'дод 5'!C190</f>
        <v>Забезпечення діяльності бібліотек</v>
      </c>
      <c r="E287" s="25">
        <f t="shared" si="202"/>
        <v>25859900</v>
      </c>
      <c r="F287" s="25">
        <f>27722400-1905000+40000+2500</f>
        <v>25859900</v>
      </c>
      <c r="G287" s="25">
        <f>19660500-1564000</f>
        <v>18096500</v>
      </c>
      <c r="H287" s="25">
        <f>2672200+15000+40000+2500</f>
        <v>2729700</v>
      </c>
      <c r="I287" s="25"/>
      <c r="J287" s="25">
        <v>25033582.649999999</v>
      </c>
      <c r="K287" s="25">
        <v>17674866.120000001</v>
      </c>
      <c r="L287" s="25">
        <v>2576888.77</v>
      </c>
      <c r="M287" s="181">
        <f t="shared" si="187"/>
        <v>96.804638262328922</v>
      </c>
      <c r="N287" s="25">
        <f t="shared" ref="N287:N294" si="204">P287+S287</f>
        <v>4865300</v>
      </c>
      <c r="O287" s="25">
        <v>4860300</v>
      </c>
      <c r="P287" s="25">
        <v>5000</v>
      </c>
      <c r="Q287" s="25"/>
      <c r="R287" s="25"/>
      <c r="S287" s="25">
        <v>4860300</v>
      </c>
      <c r="T287" s="15">
        <f t="shared" si="190"/>
        <v>5104488.18</v>
      </c>
      <c r="U287" s="25">
        <v>4560506.6500000004</v>
      </c>
      <c r="V287" s="25">
        <v>68726.38</v>
      </c>
      <c r="W287" s="25"/>
      <c r="X287" s="25"/>
      <c r="Y287" s="25">
        <v>5035761.8</v>
      </c>
      <c r="Z287" s="181" t="s">
        <v>771</v>
      </c>
      <c r="AA287" s="25">
        <f t="shared" si="191"/>
        <v>30138070.829999998</v>
      </c>
      <c r="AB287" s="25">
        <f t="shared" si="203"/>
        <v>30725200</v>
      </c>
      <c r="AC287" s="198"/>
    </row>
    <row r="288" spans="1:29" s="26" customFormat="1" ht="54.75" customHeight="1" x14ac:dyDescent="0.25">
      <c r="A288" s="22">
        <v>1014060</v>
      </c>
      <c r="B288" s="23" t="str">
        <f>'дод 5'!A191</f>
        <v>4060</v>
      </c>
      <c r="C288" s="23" t="str">
        <f>'дод 5'!B191</f>
        <v>0828</v>
      </c>
      <c r="D288" s="24" t="str">
        <f>'дод 5'!C191</f>
        <v>Забезпечення діяльності палаців i будинків культури, клубів, центрів дозвілля та iнших клубних закладів, у т.ч. за рахунок:</v>
      </c>
      <c r="E288" s="25">
        <f t="shared" si="202"/>
        <v>5864200</v>
      </c>
      <c r="F288" s="25">
        <f>5349200+173500+243800+300000+100000-292800-7000-2500</f>
        <v>5864200</v>
      </c>
      <c r="G288" s="25">
        <f>3530000+142200+199800-240000</f>
        <v>3632000</v>
      </c>
      <c r="H288" s="25">
        <f>370000-7000-2500</f>
        <v>360500</v>
      </c>
      <c r="I288" s="25"/>
      <c r="J288" s="25">
        <v>5121414.9400000004</v>
      </c>
      <c r="K288" s="25">
        <v>3112359.82</v>
      </c>
      <c r="L288" s="25">
        <v>327982.15000000002</v>
      </c>
      <c r="M288" s="181">
        <f t="shared" si="187"/>
        <v>87.333565362709336</v>
      </c>
      <c r="N288" s="25">
        <f t="shared" si="204"/>
        <v>0</v>
      </c>
      <c r="O288" s="25">
        <f>246000-246000</f>
        <v>0</v>
      </c>
      <c r="P288" s="25"/>
      <c r="Q288" s="25"/>
      <c r="R288" s="25"/>
      <c r="S288" s="25">
        <f>246000-246000</f>
        <v>0</v>
      </c>
      <c r="T288" s="15">
        <f t="shared" si="190"/>
        <v>530853</v>
      </c>
      <c r="U288" s="25"/>
      <c r="V288" s="25">
        <v>430825</v>
      </c>
      <c r="W288" s="25"/>
      <c r="X288" s="25"/>
      <c r="Y288" s="25">
        <v>100028</v>
      </c>
      <c r="Z288" s="181"/>
      <c r="AA288" s="25">
        <f t="shared" si="191"/>
        <v>5652267.9400000004</v>
      </c>
      <c r="AB288" s="25">
        <f t="shared" si="203"/>
        <v>5864200</v>
      </c>
      <c r="AC288" s="198"/>
    </row>
    <row r="289" spans="1:29" s="31" customFormat="1" ht="110.25" x14ac:dyDescent="0.25">
      <c r="A289" s="27"/>
      <c r="B289" s="28"/>
      <c r="C289" s="28"/>
      <c r="D289" s="48" t="s">
        <v>618</v>
      </c>
      <c r="E289" s="30">
        <f t="shared" ref="E289" si="205">F289+I289</f>
        <v>100000</v>
      </c>
      <c r="F289" s="30">
        <v>100000</v>
      </c>
      <c r="G289" s="30"/>
      <c r="H289" s="30"/>
      <c r="I289" s="30"/>
      <c r="J289" s="30">
        <v>100000</v>
      </c>
      <c r="K289" s="30"/>
      <c r="L289" s="30"/>
      <c r="M289" s="182">
        <f t="shared" si="187"/>
        <v>100</v>
      </c>
      <c r="N289" s="30">
        <f t="shared" ref="N289" si="206">P289+S289</f>
        <v>0</v>
      </c>
      <c r="O289" s="30">
        <f>246000-246000</f>
        <v>0</v>
      </c>
      <c r="P289" s="30"/>
      <c r="Q289" s="30"/>
      <c r="R289" s="30"/>
      <c r="S289" s="30">
        <f>246000-246000</f>
        <v>0</v>
      </c>
      <c r="T289" s="15">
        <f t="shared" si="190"/>
        <v>0</v>
      </c>
      <c r="U289" s="30"/>
      <c r="V289" s="30"/>
      <c r="W289" s="30"/>
      <c r="X289" s="30"/>
      <c r="Y289" s="30"/>
      <c r="Z289" s="182"/>
      <c r="AA289" s="30">
        <f t="shared" si="191"/>
        <v>100000</v>
      </c>
      <c r="AB289" s="30">
        <f t="shared" ref="AB289" si="207">E289+N289</f>
        <v>100000</v>
      </c>
      <c r="AC289" s="198"/>
    </row>
    <row r="290" spans="1:29" s="31" customFormat="1" ht="33.75" customHeight="1" x14ac:dyDescent="0.25">
      <c r="A290" s="22">
        <v>1014081</v>
      </c>
      <c r="B290" s="23" t="str">
        <f>'дод 5'!A193</f>
        <v>4081</v>
      </c>
      <c r="C290" s="23" t="str">
        <f>'дод 5'!B193</f>
        <v>0829</v>
      </c>
      <c r="D290" s="24" t="str">
        <f>'дод 5'!C193</f>
        <v>Забезпечення діяльності інших закладів в галузі культури і мистецтва</v>
      </c>
      <c r="E290" s="25">
        <f t="shared" si="202"/>
        <v>2894000</v>
      </c>
      <c r="F290" s="25">
        <f>2852500+41500</f>
        <v>2894000</v>
      </c>
      <c r="G290" s="25">
        <f>2150000-2200</f>
        <v>2147800</v>
      </c>
      <c r="H290" s="25">
        <f>76800+27500</f>
        <v>104300</v>
      </c>
      <c r="I290" s="25"/>
      <c r="J290" s="25">
        <v>2877104.79</v>
      </c>
      <c r="K290" s="25">
        <v>2147790.2200000002</v>
      </c>
      <c r="L290" s="25">
        <v>93824.29</v>
      </c>
      <c r="M290" s="181">
        <f t="shared" si="187"/>
        <v>99.4161986869385</v>
      </c>
      <c r="N290" s="25">
        <f t="shared" si="204"/>
        <v>0</v>
      </c>
      <c r="O290" s="25"/>
      <c r="P290" s="25"/>
      <c r="Q290" s="25"/>
      <c r="R290" s="25"/>
      <c r="S290" s="25"/>
      <c r="T290" s="15">
        <f t="shared" si="190"/>
        <v>0</v>
      </c>
      <c r="U290" s="25"/>
      <c r="V290" s="25"/>
      <c r="W290" s="25"/>
      <c r="X290" s="25"/>
      <c r="Y290" s="25"/>
      <c r="Z290" s="181"/>
      <c r="AA290" s="25">
        <f t="shared" si="191"/>
        <v>2877104.79</v>
      </c>
      <c r="AB290" s="25">
        <f t="shared" si="203"/>
        <v>2894000</v>
      </c>
      <c r="AC290" s="198"/>
    </row>
    <row r="291" spans="1:29" s="31" customFormat="1" ht="25.5" customHeight="1" x14ac:dyDescent="0.25">
      <c r="A291" s="22">
        <v>1014082</v>
      </c>
      <c r="B291" s="23" t="str">
        <f>'дод 5'!A194</f>
        <v>4082</v>
      </c>
      <c r="C291" s="23" t="str">
        <f>'дод 5'!B194</f>
        <v>0829</v>
      </c>
      <c r="D291" s="24" t="str">
        <f>'дод 5'!C194</f>
        <v>Інші заходи в галузі культури і мистецтва</v>
      </c>
      <c r="E291" s="25">
        <f t="shared" si="202"/>
        <v>460000</v>
      </c>
      <c r="F291" s="25">
        <f>1200000-700000-40000</f>
        <v>460000</v>
      </c>
      <c r="G291" s="25"/>
      <c r="H291" s="25"/>
      <c r="I291" s="25"/>
      <c r="J291" s="25">
        <v>369796.15</v>
      </c>
      <c r="K291" s="25"/>
      <c r="L291" s="25"/>
      <c r="M291" s="181">
        <f t="shared" si="187"/>
        <v>80.390467391304355</v>
      </c>
      <c r="N291" s="25">
        <f t="shared" si="204"/>
        <v>0</v>
      </c>
      <c r="O291" s="25"/>
      <c r="P291" s="25"/>
      <c r="Q291" s="25"/>
      <c r="R291" s="25"/>
      <c r="S291" s="25"/>
      <c r="T291" s="15">
        <f t="shared" si="190"/>
        <v>0</v>
      </c>
      <c r="U291" s="25"/>
      <c r="V291" s="25"/>
      <c r="W291" s="25"/>
      <c r="X291" s="25"/>
      <c r="Y291" s="25"/>
      <c r="Z291" s="181"/>
      <c r="AA291" s="25">
        <f t="shared" si="191"/>
        <v>369796.15</v>
      </c>
      <c r="AB291" s="25">
        <f t="shared" si="203"/>
        <v>460000</v>
      </c>
      <c r="AC291" s="198"/>
    </row>
    <row r="292" spans="1:29" s="31" customFormat="1" ht="21.75" hidden="1" customHeight="1" x14ac:dyDescent="0.25">
      <c r="A292" s="22" t="s">
        <v>426</v>
      </c>
      <c r="B292" s="22" t="s">
        <v>427</v>
      </c>
      <c r="C292" s="22" t="s">
        <v>107</v>
      </c>
      <c r="D292" s="35" t="str">
        <f>'дод 5'!C250</f>
        <v>Будівництво1 установ та закладів культури</v>
      </c>
      <c r="E292" s="25">
        <f t="shared" si="202"/>
        <v>0</v>
      </c>
      <c r="F292" s="25"/>
      <c r="G292" s="25"/>
      <c r="H292" s="25"/>
      <c r="I292" s="25"/>
      <c r="J292" s="25"/>
      <c r="K292" s="25"/>
      <c r="L292" s="25"/>
      <c r="M292" s="181" t="e">
        <f t="shared" si="187"/>
        <v>#DIV/0!</v>
      </c>
      <c r="N292" s="25">
        <f t="shared" si="204"/>
        <v>0</v>
      </c>
      <c r="O292" s="25"/>
      <c r="P292" s="25"/>
      <c r="Q292" s="25"/>
      <c r="R292" s="25"/>
      <c r="S292" s="25"/>
      <c r="T292" s="15">
        <f t="shared" si="190"/>
        <v>0</v>
      </c>
      <c r="U292" s="25"/>
      <c r="V292" s="25"/>
      <c r="W292" s="25"/>
      <c r="X292" s="25"/>
      <c r="Y292" s="25"/>
      <c r="Z292" s="181" t="e">
        <f t="shared" si="195"/>
        <v>#DIV/0!</v>
      </c>
      <c r="AA292" s="25">
        <f t="shared" si="191"/>
        <v>0</v>
      </c>
      <c r="AB292" s="25">
        <f t="shared" si="203"/>
        <v>0</v>
      </c>
      <c r="AC292" s="198"/>
    </row>
    <row r="293" spans="1:29" s="26" customFormat="1" ht="22.5" hidden="1" customHeight="1" x14ac:dyDescent="0.25">
      <c r="A293" s="22" t="s">
        <v>138</v>
      </c>
      <c r="B293" s="23" t="str">
        <f>'дод 5'!A290</f>
        <v>7640</v>
      </c>
      <c r="C293" s="23" t="str">
        <f>'дод 5'!B290</f>
        <v>0470</v>
      </c>
      <c r="D293" s="24" t="s">
        <v>402</v>
      </c>
      <c r="E293" s="25">
        <f t="shared" si="202"/>
        <v>0</v>
      </c>
      <c r="F293" s="25"/>
      <c r="G293" s="25"/>
      <c r="H293" s="25"/>
      <c r="I293" s="25"/>
      <c r="J293" s="25"/>
      <c r="K293" s="25"/>
      <c r="L293" s="25"/>
      <c r="M293" s="181" t="e">
        <f t="shared" si="187"/>
        <v>#DIV/0!</v>
      </c>
      <c r="N293" s="25">
        <f t="shared" si="204"/>
        <v>0</v>
      </c>
      <c r="O293" s="25"/>
      <c r="P293" s="25"/>
      <c r="Q293" s="25"/>
      <c r="R293" s="25"/>
      <c r="S293" s="25"/>
      <c r="T293" s="15">
        <f t="shared" si="190"/>
        <v>0</v>
      </c>
      <c r="U293" s="25"/>
      <c r="V293" s="25"/>
      <c r="W293" s="25"/>
      <c r="X293" s="25"/>
      <c r="Y293" s="25"/>
      <c r="Z293" s="181" t="e">
        <f t="shared" si="195"/>
        <v>#DIV/0!</v>
      </c>
      <c r="AA293" s="25">
        <f t="shared" si="191"/>
        <v>0</v>
      </c>
      <c r="AB293" s="25">
        <f t="shared" si="203"/>
        <v>0</v>
      </c>
      <c r="AC293" s="198"/>
    </row>
    <row r="294" spans="1:29" s="26" customFormat="1" ht="27" customHeight="1" x14ac:dyDescent="0.25">
      <c r="A294" s="22">
        <v>1018340</v>
      </c>
      <c r="B294" s="23" t="str">
        <f>'дод 5'!A327</f>
        <v>8340</v>
      </c>
      <c r="C294" s="23" t="str">
        <f>'дод 5'!B327</f>
        <v>0540</v>
      </c>
      <c r="D294" s="36" t="str">
        <f>'дод 5'!C327</f>
        <v>Природоохоронні заходи за рахунок цільових фондів</v>
      </c>
      <c r="E294" s="25">
        <f t="shared" si="202"/>
        <v>0</v>
      </c>
      <c r="F294" s="25"/>
      <c r="G294" s="25"/>
      <c r="H294" s="25"/>
      <c r="I294" s="25"/>
      <c r="J294" s="25"/>
      <c r="K294" s="25"/>
      <c r="L294" s="25"/>
      <c r="M294" s="181"/>
      <c r="N294" s="25">
        <f t="shared" si="204"/>
        <v>12000</v>
      </c>
      <c r="O294" s="25"/>
      <c r="P294" s="25">
        <v>12000</v>
      </c>
      <c r="Q294" s="25"/>
      <c r="R294" s="25"/>
      <c r="S294" s="25"/>
      <c r="T294" s="15">
        <f t="shared" si="190"/>
        <v>2341.48</v>
      </c>
      <c r="U294" s="25"/>
      <c r="V294" s="25">
        <v>2341.48</v>
      </c>
      <c r="W294" s="25"/>
      <c r="X294" s="25"/>
      <c r="Y294" s="25"/>
      <c r="Z294" s="181">
        <f t="shared" si="195"/>
        <v>19.512333333333334</v>
      </c>
      <c r="AA294" s="25">
        <f t="shared" si="191"/>
        <v>2341.48</v>
      </c>
      <c r="AB294" s="25">
        <f t="shared" si="203"/>
        <v>12000</v>
      </c>
      <c r="AC294" s="198"/>
    </row>
    <row r="295" spans="1:29" s="26" customFormat="1" ht="27" customHeight="1" x14ac:dyDescent="0.25">
      <c r="A295" s="22" t="s">
        <v>682</v>
      </c>
      <c r="B295" s="23" t="str">
        <f>'дод 5'!A346</f>
        <v>9770</v>
      </c>
      <c r="C295" s="23" t="str">
        <f>'дод 5'!B346</f>
        <v>0180</v>
      </c>
      <c r="D295" s="36" t="str">
        <f>'дод 5'!C346</f>
        <v>Інші субвенції з місцевого бюджету</v>
      </c>
      <c r="E295" s="25">
        <f t="shared" ref="E295" si="208">F295+I295</f>
        <v>75000</v>
      </c>
      <c r="F295" s="25">
        <v>75000</v>
      </c>
      <c r="G295" s="25"/>
      <c r="H295" s="25"/>
      <c r="I295" s="25"/>
      <c r="J295" s="25">
        <v>75000</v>
      </c>
      <c r="K295" s="25"/>
      <c r="L295" s="25"/>
      <c r="M295" s="181">
        <f t="shared" si="187"/>
        <v>100</v>
      </c>
      <c r="N295" s="25">
        <f t="shared" ref="N295" si="209">P295+S295</f>
        <v>0</v>
      </c>
      <c r="O295" s="25"/>
      <c r="P295" s="25"/>
      <c r="Q295" s="25"/>
      <c r="R295" s="25"/>
      <c r="S295" s="25"/>
      <c r="T295" s="15">
        <f t="shared" si="190"/>
        <v>0</v>
      </c>
      <c r="U295" s="25"/>
      <c r="V295" s="25"/>
      <c r="W295" s="25"/>
      <c r="X295" s="25"/>
      <c r="Y295" s="25"/>
      <c r="Z295" s="181"/>
      <c r="AA295" s="25">
        <f t="shared" si="191"/>
        <v>75000</v>
      </c>
      <c r="AB295" s="25">
        <f t="shared" ref="AB295" si="210">E295+N295</f>
        <v>75000</v>
      </c>
      <c r="AC295" s="198"/>
    </row>
    <row r="296" spans="1:29" s="16" customFormat="1" ht="39.75" customHeight="1" x14ac:dyDescent="0.25">
      <c r="A296" s="37" t="s">
        <v>186</v>
      </c>
      <c r="B296" s="38"/>
      <c r="C296" s="38"/>
      <c r="D296" s="39" t="s">
        <v>31</v>
      </c>
      <c r="E296" s="15">
        <f>E297</f>
        <v>423290813</v>
      </c>
      <c r="F296" s="15">
        <f t="shared" ref="F296:AA296" si="211">F297</f>
        <v>277724976.18000001</v>
      </c>
      <c r="G296" s="15">
        <f t="shared" si="211"/>
        <v>16161700</v>
      </c>
      <c r="H296" s="15">
        <f t="shared" si="211"/>
        <v>25870673</v>
      </c>
      <c r="I296" s="15">
        <f t="shared" si="211"/>
        <v>145565836.81999999</v>
      </c>
      <c r="J296" s="15">
        <f t="shared" si="211"/>
        <v>405078070.49999994</v>
      </c>
      <c r="K296" s="15">
        <f t="shared" si="211"/>
        <v>16161594.16</v>
      </c>
      <c r="L296" s="15">
        <f t="shared" si="211"/>
        <v>20617092.91</v>
      </c>
      <c r="M296" s="121">
        <f t="shared" si="187"/>
        <v>95.697345196102788</v>
      </c>
      <c r="N296" s="15">
        <f t="shared" si="211"/>
        <v>99272164</v>
      </c>
      <c r="O296" s="15">
        <f t="shared" si="211"/>
        <v>76595467</v>
      </c>
      <c r="P296" s="15">
        <f t="shared" si="211"/>
        <v>1146776</v>
      </c>
      <c r="Q296" s="15">
        <f t="shared" si="211"/>
        <v>0</v>
      </c>
      <c r="R296" s="15">
        <f t="shared" si="211"/>
        <v>0</v>
      </c>
      <c r="S296" s="15">
        <f t="shared" si="211"/>
        <v>98125388</v>
      </c>
      <c r="T296" s="15">
        <f t="shared" si="211"/>
        <v>82538736.11999999</v>
      </c>
      <c r="U296" s="15">
        <f t="shared" si="211"/>
        <v>56709215.030000001</v>
      </c>
      <c r="V296" s="15">
        <f t="shared" si="211"/>
        <v>2760068.4200000004</v>
      </c>
      <c r="W296" s="15">
        <f t="shared" si="211"/>
        <v>81967.199999999997</v>
      </c>
      <c r="X296" s="15">
        <f t="shared" si="211"/>
        <v>0</v>
      </c>
      <c r="Y296" s="15">
        <f t="shared" si="211"/>
        <v>79778667.700000003</v>
      </c>
      <c r="Z296" s="121">
        <f t="shared" si="195"/>
        <v>83.143887263301721</v>
      </c>
      <c r="AA296" s="15">
        <f t="shared" si="211"/>
        <v>487616806.62000006</v>
      </c>
      <c r="AB296" s="15">
        <f t="shared" ref="AB296" si="212">AB297</f>
        <v>522562977</v>
      </c>
      <c r="AC296" s="198"/>
    </row>
    <row r="297" spans="1:29" s="21" customFormat="1" ht="38.25" customHeight="1" x14ac:dyDescent="0.25">
      <c r="A297" s="17" t="s">
        <v>187</v>
      </c>
      <c r="B297" s="40"/>
      <c r="C297" s="40"/>
      <c r="D297" s="19" t="s">
        <v>657</v>
      </c>
      <c r="E297" s="20">
        <f>E310+E312+E313+E314+E315+E318+E319+E320+E322+E326+E328+E330+E332+E331+E334+E336+E340+E342+E345+E354+E355+E358+E367+E370+E372+E333+E348+E364+E361+E323+E325+E371+E369+E317+E373+E368+E365+E366+E347+E343+E350+E327+E359+E352+E353</f>
        <v>423290813</v>
      </c>
      <c r="F297" s="20">
        <f t="shared" ref="F297:AA297" si="213">F310+F312+F313+F314+F315+F318+F319+F320+F322+F326+F328+F330+F332+F331+F334+F336+F340+F342+F345+F354+F355+F358+F367+F370+F372+F333+F348+F364+F361+F323+F325+F371+F369+F317+F373+F368+F365+F366+F347+F343+F350+F327+F359+F352+F353</f>
        <v>277724976.18000001</v>
      </c>
      <c r="G297" s="20">
        <f t="shared" si="213"/>
        <v>16161700</v>
      </c>
      <c r="H297" s="20">
        <f t="shared" si="213"/>
        <v>25870673</v>
      </c>
      <c r="I297" s="20">
        <f t="shared" si="213"/>
        <v>145565836.81999999</v>
      </c>
      <c r="J297" s="20">
        <f t="shared" si="213"/>
        <v>405078070.49999994</v>
      </c>
      <c r="K297" s="20">
        <f t="shared" si="213"/>
        <v>16161594.16</v>
      </c>
      <c r="L297" s="20">
        <f t="shared" si="213"/>
        <v>20617092.91</v>
      </c>
      <c r="M297" s="187">
        <f t="shared" si="187"/>
        <v>95.697345196102788</v>
      </c>
      <c r="N297" s="20">
        <f t="shared" si="213"/>
        <v>99272164</v>
      </c>
      <c r="O297" s="20">
        <f t="shared" si="213"/>
        <v>76595467</v>
      </c>
      <c r="P297" s="20">
        <f t="shared" si="213"/>
        <v>1146776</v>
      </c>
      <c r="Q297" s="20">
        <f t="shared" si="213"/>
        <v>0</v>
      </c>
      <c r="R297" s="20">
        <f t="shared" si="213"/>
        <v>0</v>
      </c>
      <c r="S297" s="20">
        <f t="shared" si="213"/>
        <v>98125388</v>
      </c>
      <c r="T297" s="20">
        <f t="shared" si="213"/>
        <v>82538736.11999999</v>
      </c>
      <c r="U297" s="20">
        <f t="shared" si="213"/>
        <v>56709215.030000001</v>
      </c>
      <c r="V297" s="20">
        <f t="shared" si="213"/>
        <v>2760068.4200000004</v>
      </c>
      <c r="W297" s="20">
        <f t="shared" si="213"/>
        <v>81967.199999999997</v>
      </c>
      <c r="X297" s="20">
        <f t="shared" si="213"/>
        <v>0</v>
      </c>
      <c r="Y297" s="20">
        <f t="shared" si="213"/>
        <v>79778667.700000003</v>
      </c>
      <c r="Z297" s="187">
        <f t="shared" si="195"/>
        <v>83.143887263301721</v>
      </c>
      <c r="AA297" s="20">
        <f t="shared" si="213"/>
        <v>487616806.62000006</v>
      </c>
      <c r="AB297" s="20">
        <f t="shared" ref="AB297" si="214">AB310+AB312+AB313+AB314+AB315+AB318+AB319+AB320+AB322+AB326+AB328+AB330+AB332+AB331+AB334+AB336+AB340+AB342+AB345+AB354+AB355+AB358+AB367+AB370+AB372+AB333+AB348+AB364+AB361+AB323+AB325+AB371+AB369+AB317+AB373+AB368+AB365+AB366+AB347+AB343+AB350+AB327+AB359+AB352+AB353</f>
        <v>522562977</v>
      </c>
      <c r="AC297" s="198"/>
    </row>
    <row r="298" spans="1:29" s="21" customFormat="1" ht="117.75" hidden="1" customHeight="1" x14ac:dyDescent="0.25">
      <c r="A298" s="17"/>
      <c r="B298" s="40"/>
      <c r="C298" s="40"/>
      <c r="D298" s="19" t="s">
        <v>381</v>
      </c>
      <c r="E298" s="20">
        <f>E349</f>
        <v>0</v>
      </c>
      <c r="F298" s="20">
        <f t="shared" ref="F298:AA298" si="215">F349</f>
        <v>0</v>
      </c>
      <c r="G298" s="20">
        <f t="shared" si="215"/>
        <v>0</v>
      </c>
      <c r="H298" s="20">
        <f t="shared" si="215"/>
        <v>0</v>
      </c>
      <c r="I298" s="20">
        <f t="shared" si="215"/>
        <v>0</v>
      </c>
      <c r="J298" s="20">
        <f t="shared" si="215"/>
        <v>0</v>
      </c>
      <c r="K298" s="20">
        <f t="shared" si="215"/>
        <v>0</v>
      </c>
      <c r="L298" s="20">
        <f t="shared" si="215"/>
        <v>0</v>
      </c>
      <c r="M298" s="187" t="e">
        <f t="shared" si="187"/>
        <v>#DIV/0!</v>
      </c>
      <c r="N298" s="20">
        <f t="shared" si="215"/>
        <v>0</v>
      </c>
      <c r="O298" s="20">
        <f t="shared" si="215"/>
        <v>0</v>
      </c>
      <c r="P298" s="20">
        <f t="shared" si="215"/>
        <v>0</v>
      </c>
      <c r="Q298" s="20">
        <f t="shared" si="215"/>
        <v>0</v>
      </c>
      <c r="R298" s="20">
        <f t="shared" si="215"/>
        <v>0</v>
      </c>
      <c r="S298" s="20">
        <f t="shared" si="215"/>
        <v>0</v>
      </c>
      <c r="T298" s="20">
        <f t="shared" si="215"/>
        <v>0</v>
      </c>
      <c r="U298" s="20">
        <f t="shared" si="215"/>
        <v>0</v>
      </c>
      <c r="V298" s="20">
        <f t="shared" si="215"/>
        <v>0</v>
      </c>
      <c r="W298" s="20">
        <f t="shared" si="215"/>
        <v>0</v>
      </c>
      <c r="X298" s="20">
        <f t="shared" si="215"/>
        <v>0</v>
      </c>
      <c r="Y298" s="20">
        <f t="shared" si="215"/>
        <v>0</v>
      </c>
      <c r="Z298" s="187" t="e">
        <f t="shared" si="195"/>
        <v>#DIV/0!</v>
      </c>
      <c r="AA298" s="20">
        <f t="shared" si="215"/>
        <v>0</v>
      </c>
      <c r="AB298" s="20">
        <f t="shared" ref="AB298" si="216">AB349</f>
        <v>0</v>
      </c>
      <c r="AC298" s="198"/>
    </row>
    <row r="299" spans="1:29" s="21" customFormat="1" ht="84" hidden="1" customHeight="1" x14ac:dyDescent="0.25">
      <c r="A299" s="17"/>
      <c r="B299" s="40"/>
      <c r="C299" s="40"/>
      <c r="D299" s="19" t="s">
        <v>490</v>
      </c>
      <c r="E299" s="20">
        <f>E339</f>
        <v>0</v>
      </c>
      <c r="F299" s="20">
        <f t="shared" ref="F299:AA299" si="217">F339</f>
        <v>0</v>
      </c>
      <c r="G299" s="20">
        <f t="shared" si="217"/>
        <v>0</v>
      </c>
      <c r="H299" s="20">
        <f t="shared" si="217"/>
        <v>0</v>
      </c>
      <c r="I299" s="20">
        <f t="shared" si="217"/>
        <v>0</v>
      </c>
      <c r="J299" s="20">
        <f t="shared" si="217"/>
        <v>0</v>
      </c>
      <c r="K299" s="20">
        <f t="shared" si="217"/>
        <v>0</v>
      </c>
      <c r="L299" s="20">
        <f t="shared" si="217"/>
        <v>0</v>
      </c>
      <c r="M299" s="187" t="e">
        <f t="shared" si="187"/>
        <v>#DIV/0!</v>
      </c>
      <c r="N299" s="20">
        <f t="shared" si="217"/>
        <v>0</v>
      </c>
      <c r="O299" s="20">
        <f t="shared" si="217"/>
        <v>0</v>
      </c>
      <c r="P299" s="20">
        <f t="shared" si="217"/>
        <v>0</v>
      </c>
      <c r="Q299" s="20">
        <f t="shared" si="217"/>
        <v>0</v>
      </c>
      <c r="R299" s="20">
        <f t="shared" si="217"/>
        <v>0</v>
      </c>
      <c r="S299" s="20">
        <f t="shared" si="217"/>
        <v>0</v>
      </c>
      <c r="T299" s="20">
        <f t="shared" si="217"/>
        <v>0</v>
      </c>
      <c r="U299" s="20">
        <f t="shared" si="217"/>
        <v>0</v>
      </c>
      <c r="V299" s="20">
        <f t="shared" si="217"/>
        <v>0</v>
      </c>
      <c r="W299" s="20">
        <f t="shared" si="217"/>
        <v>0</v>
      </c>
      <c r="X299" s="20">
        <f t="shared" si="217"/>
        <v>0</v>
      </c>
      <c r="Y299" s="20">
        <f t="shared" si="217"/>
        <v>0</v>
      </c>
      <c r="Z299" s="187" t="e">
        <f t="shared" si="195"/>
        <v>#DIV/0!</v>
      </c>
      <c r="AA299" s="20">
        <f t="shared" si="217"/>
        <v>0</v>
      </c>
      <c r="AB299" s="20">
        <f t="shared" ref="AB299" si="218">AB339</f>
        <v>0</v>
      </c>
      <c r="AC299" s="198"/>
    </row>
    <row r="300" spans="1:29" s="21" customFormat="1" ht="61.5" hidden="1" customHeight="1" x14ac:dyDescent="0.25">
      <c r="A300" s="17"/>
      <c r="B300" s="40"/>
      <c r="C300" s="40"/>
      <c r="D300" s="19" t="s">
        <v>374</v>
      </c>
      <c r="E300" s="20">
        <f>E335</f>
        <v>0</v>
      </c>
      <c r="F300" s="20">
        <f t="shared" ref="F300:AA300" si="219">F335</f>
        <v>0</v>
      </c>
      <c r="G300" s="20">
        <f t="shared" si="219"/>
        <v>0</v>
      </c>
      <c r="H300" s="20">
        <f t="shared" si="219"/>
        <v>0</v>
      </c>
      <c r="I300" s="20">
        <f t="shared" si="219"/>
        <v>0</v>
      </c>
      <c r="J300" s="20">
        <f t="shared" si="219"/>
        <v>0</v>
      </c>
      <c r="K300" s="20">
        <f t="shared" si="219"/>
        <v>0</v>
      </c>
      <c r="L300" s="20">
        <f t="shared" si="219"/>
        <v>0</v>
      </c>
      <c r="M300" s="187" t="e">
        <f t="shared" si="187"/>
        <v>#DIV/0!</v>
      </c>
      <c r="N300" s="20">
        <f t="shared" si="219"/>
        <v>0</v>
      </c>
      <c r="O300" s="20">
        <f t="shared" si="219"/>
        <v>0</v>
      </c>
      <c r="P300" s="20">
        <f t="shared" si="219"/>
        <v>0</v>
      </c>
      <c r="Q300" s="20">
        <f t="shared" si="219"/>
        <v>0</v>
      </c>
      <c r="R300" s="20">
        <f t="shared" si="219"/>
        <v>0</v>
      </c>
      <c r="S300" s="20">
        <f t="shared" si="219"/>
        <v>0</v>
      </c>
      <c r="T300" s="20">
        <f t="shared" si="219"/>
        <v>0</v>
      </c>
      <c r="U300" s="20">
        <f t="shared" si="219"/>
        <v>0</v>
      </c>
      <c r="V300" s="20">
        <f t="shared" si="219"/>
        <v>0</v>
      </c>
      <c r="W300" s="20">
        <f t="shared" si="219"/>
        <v>0</v>
      </c>
      <c r="X300" s="20">
        <f t="shared" si="219"/>
        <v>0</v>
      </c>
      <c r="Y300" s="20">
        <f t="shared" si="219"/>
        <v>0</v>
      </c>
      <c r="Z300" s="187" t="e">
        <f t="shared" si="195"/>
        <v>#DIV/0!</v>
      </c>
      <c r="AA300" s="20">
        <f t="shared" si="219"/>
        <v>0</v>
      </c>
      <c r="AB300" s="20">
        <f t="shared" ref="AB300" si="220">AB335</f>
        <v>0</v>
      </c>
      <c r="AC300" s="198"/>
    </row>
    <row r="301" spans="1:29" s="21" customFormat="1" ht="141.75" hidden="1" customHeight="1" x14ac:dyDescent="0.25">
      <c r="A301" s="17"/>
      <c r="B301" s="40"/>
      <c r="C301" s="40"/>
      <c r="D301" s="52" t="s">
        <v>530</v>
      </c>
      <c r="E301" s="20">
        <f>E323</f>
        <v>0</v>
      </c>
      <c r="F301" s="20">
        <f t="shared" ref="F301:AA301" si="221">F323</f>
        <v>0</v>
      </c>
      <c r="G301" s="20">
        <f t="shared" si="221"/>
        <v>0</v>
      </c>
      <c r="H301" s="20">
        <f t="shared" si="221"/>
        <v>0</v>
      </c>
      <c r="I301" s="20">
        <f t="shared" si="221"/>
        <v>0</v>
      </c>
      <c r="J301" s="20">
        <f t="shared" si="221"/>
        <v>0</v>
      </c>
      <c r="K301" s="20">
        <f t="shared" si="221"/>
        <v>0</v>
      </c>
      <c r="L301" s="20">
        <f t="shared" si="221"/>
        <v>0</v>
      </c>
      <c r="M301" s="187" t="e">
        <f t="shared" si="187"/>
        <v>#DIV/0!</v>
      </c>
      <c r="N301" s="20">
        <f t="shared" si="221"/>
        <v>0</v>
      </c>
      <c r="O301" s="20">
        <f t="shared" si="221"/>
        <v>0</v>
      </c>
      <c r="P301" s="20">
        <f t="shared" si="221"/>
        <v>0</v>
      </c>
      <c r="Q301" s="20">
        <f t="shared" si="221"/>
        <v>0</v>
      </c>
      <c r="R301" s="20">
        <f t="shared" si="221"/>
        <v>0</v>
      </c>
      <c r="S301" s="20">
        <f t="shared" si="221"/>
        <v>0</v>
      </c>
      <c r="T301" s="20">
        <f t="shared" si="221"/>
        <v>0</v>
      </c>
      <c r="U301" s="20">
        <f t="shared" si="221"/>
        <v>0</v>
      </c>
      <c r="V301" s="20">
        <f t="shared" si="221"/>
        <v>0</v>
      </c>
      <c r="W301" s="20">
        <f t="shared" si="221"/>
        <v>0</v>
      </c>
      <c r="X301" s="20">
        <f t="shared" si="221"/>
        <v>0</v>
      </c>
      <c r="Y301" s="20">
        <f t="shared" si="221"/>
        <v>0</v>
      </c>
      <c r="Z301" s="187" t="e">
        <f t="shared" si="195"/>
        <v>#DIV/0!</v>
      </c>
      <c r="AA301" s="20">
        <f t="shared" si="221"/>
        <v>0</v>
      </c>
      <c r="AB301" s="20">
        <f t="shared" ref="AB301" si="222">AB323</f>
        <v>0</v>
      </c>
      <c r="AC301" s="198"/>
    </row>
    <row r="302" spans="1:29" s="21" customFormat="1" ht="15.75" hidden="1" customHeight="1" x14ac:dyDescent="0.25">
      <c r="A302" s="17"/>
      <c r="B302" s="40"/>
      <c r="C302" s="40"/>
      <c r="D302" s="19" t="s">
        <v>379</v>
      </c>
      <c r="E302" s="20">
        <f t="shared" ref="E302:AB302" si="223">E337+E341</f>
        <v>0</v>
      </c>
      <c r="F302" s="20">
        <f t="shared" ref="F302:AA302" si="224">F337+F341</f>
        <v>0</v>
      </c>
      <c r="G302" s="20">
        <f t="shared" si="224"/>
        <v>0</v>
      </c>
      <c r="H302" s="20">
        <f t="shared" si="224"/>
        <v>0</v>
      </c>
      <c r="I302" s="20">
        <f t="shared" si="224"/>
        <v>0</v>
      </c>
      <c r="J302" s="20">
        <f t="shared" si="224"/>
        <v>0</v>
      </c>
      <c r="K302" s="20">
        <f t="shared" si="224"/>
        <v>0</v>
      </c>
      <c r="L302" s="20">
        <f t="shared" si="224"/>
        <v>0</v>
      </c>
      <c r="M302" s="187" t="e">
        <f t="shared" si="187"/>
        <v>#DIV/0!</v>
      </c>
      <c r="N302" s="20">
        <f t="shared" si="224"/>
        <v>0</v>
      </c>
      <c r="O302" s="20">
        <f t="shared" si="224"/>
        <v>0</v>
      </c>
      <c r="P302" s="20">
        <f t="shared" si="224"/>
        <v>0</v>
      </c>
      <c r="Q302" s="20">
        <f t="shared" si="224"/>
        <v>0</v>
      </c>
      <c r="R302" s="20">
        <f t="shared" si="224"/>
        <v>0</v>
      </c>
      <c r="S302" s="20">
        <f t="shared" si="224"/>
        <v>0</v>
      </c>
      <c r="T302" s="20">
        <f t="shared" si="224"/>
        <v>0</v>
      </c>
      <c r="U302" s="20">
        <f t="shared" si="224"/>
        <v>0</v>
      </c>
      <c r="V302" s="20">
        <f t="shared" si="224"/>
        <v>0</v>
      </c>
      <c r="W302" s="20">
        <f t="shared" si="224"/>
        <v>0</v>
      </c>
      <c r="X302" s="20">
        <f t="shared" si="224"/>
        <v>0</v>
      </c>
      <c r="Y302" s="20">
        <f t="shared" si="224"/>
        <v>0</v>
      </c>
      <c r="Z302" s="187" t="e">
        <f t="shared" si="195"/>
        <v>#DIV/0!</v>
      </c>
      <c r="AA302" s="20">
        <f t="shared" si="224"/>
        <v>0</v>
      </c>
      <c r="AB302" s="20">
        <f t="shared" si="223"/>
        <v>0</v>
      </c>
      <c r="AC302" s="198"/>
    </row>
    <row r="303" spans="1:29" s="21" customFormat="1" ht="15.75" hidden="1" customHeight="1" x14ac:dyDescent="0.25">
      <c r="A303" s="17"/>
      <c r="B303" s="40"/>
      <c r="C303" s="40"/>
      <c r="D303" s="19" t="s">
        <v>399</v>
      </c>
      <c r="E303" s="20">
        <f>E357</f>
        <v>0</v>
      </c>
      <c r="F303" s="20">
        <f t="shared" ref="F303:AA303" si="225">F357</f>
        <v>0</v>
      </c>
      <c r="G303" s="20">
        <f t="shared" si="225"/>
        <v>0</v>
      </c>
      <c r="H303" s="20">
        <f t="shared" si="225"/>
        <v>0</v>
      </c>
      <c r="I303" s="20">
        <f t="shared" si="225"/>
        <v>0</v>
      </c>
      <c r="J303" s="20">
        <f t="shared" si="225"/>
        <v>0</v>
      </c>
      <c r="K303" s="20">
        <f t="shared" si="225"/>
        <v>0</v>
      </c>
      <c r="L303" s="20">
        <f t="shared" si="225"/>
        <v>0</v>
      </c>
      <c r="M303" s="187" t="e">
        <f t="shared" si="187"/>
        <v>#DIV/0!</v>
      </c>
      <c r="N303" s="20">
        <f t="shared" si="225"/>
        <v>0</v>
      </c>
      <c r="O303" s="20">
        <f t="shared" si="225"/>
        <v>0</v>
      </c>
      <c r="P303" s="20">
        <f t="shared" si="225"/>
        <v>0</v>
      </c>
      <c r="Q303" s="20">
        <f t="shared" si="225"/>
        <v>0</v>
      </c>
      <c r="R303" s="20">
        <f t="shared" si="225"/>
        <v>0</v>
      </c>
      <c r="S303" s="20">
        <f t="shared" si="225"/>
        <v>0</v>
      </c>
      <c r="T303" s="20">
        <f t="shared" si="225"/>
        <v>0</v>
      </c>
      <c r="U303" s="20">
        <f t="shared" si="225"/>
        <v>0</v>
      </c>
      <c r="V303" s="20">
        <f t="shared" si="225"/>
        <v>0</v>
      </c>
      <c r="W303" s="20">
        <f t="shared" si="225"/>
        <v>0</v>
      </c>
      <c r="X303" s="20">
        <f t="shared" si="225"/>
        <v>0</v>
      </c>
      <c r="Y303" s="20">
        <f t="shared" si="225"/>
        <v>0</v>
      </c>
      <c r="Z303" s="187" t="e">
        <f t="shared" si="195"/>
        <v>#DIV/0!</v>
      </c>
      <c r="AA303" s="20">
        <f t="shared" si="225"/>
        <v>0</v>
      </c>
      <c r="AB303" s="20">
        <f t="shared" ref="AB303" si="226">AB357</f>
        <v>0</v>
      </c>
      <c r="AC303" s="198"/>
    </row>
    <row r="304" spans="1:29" s="21" customFormat="1" ht="111.75" hidden="1" customHeight="1" x14ac:dyDescent="0.25">
      <c r="A304" s="17"/>
      <c r="B304" s="40"/>
      <c r="C304" s="40"/>
      <c r="D304" s="19" t="s">
        <v>618</v>
      </c>
      <c r="E304" s="20">
        <f>E329</f>
        <v>0</v>
      </c>
      <c r="F304" s="20">
        <f t="shared" ref="F304:AA304" si="227">F329</f>
        <v>0</v>
      </c>
      <c r="G304" s="20">
        <f t="shared" si="227"/>
        <v>0</v>
      </c>
      <c r="H304" s="20">
        <f t="shared" si="227"/>
        <v>0</v>
      </c>
      <c r="I304" s="20">
        <f t="shared" si="227"/>
        <v>0</v>
      </c>
      <c r="J304" s="20">
        <f t="shared" si="227"/>
        <v>0</v>
      </c>
      <c r="K304" s="20">
        <f t="shared" si="227"/>
        <v>0</v>
      </c>
      <c r="L304" s="20">
        <f t="shared" si="227"/>
        <v>0</v>
      </c>
      <c r="M304" s="187" t="e">
        <f t="shared" si="187"/>
        <v>#DIV/0!</v>
      </c>
      <c r="N304" s="20">
        <f t="shared" si="227"/>
        <v>0</v>
      </c>
      <c r="O304" s="20">
        <f t="shared" si="227"/>
        <v>0</v>
      </c>
      <c r="P304" s="20">
        <f t="shared" si="227"/>
        <v>0</v>
      </c>
      <c r="Q304" s="20">
        <f t="shared" si="227"/>
        <v>0</v>
      </c>
      <c r="R304" s="20">
        <f t="shared" si="227"/>
        <v>0</v>
      </c>
      <c r="S304" s="20">
        <f t="shared" si="227"/>
        <v>0</v>
      </c>
      <c r="T304" s="20">
        <f t="shared" si="227"/>
        <v>0</v>
      </c>
      <c r="U304" s="20">
        <f t="shared" si="227"/>
        <v>0</v>
      </c>
      <c r="V304" s="20">
        <f t="shared" si="227"/>
        <v>0</v>
      </c>
      <c r="W304" s="20">
        <f t="shared" si="227"/>
        <v>0</v>
      </c>
      <c r="X304" s="20">
        <f t="shared" si="227"/>
        <v>0</v>
      </c>
      <c r="Y304" s="20">
        <f t="shared" si="227"/>
        <v>0</v>
      </c>
      <c r="Z304" s="187" t="e">
        <f t="shared" si="195"/>
        <v>#DIV/0!</v>
      </c>
      <c r="AA304" s="20">
        <f t="shared" si="227"/>
        <v>0</v>
      </c>
      <c r="AB304" s="20">
        <f t="shared" ref="AB304" si="228">AB329</f>
        <v>0</v>
      </c>
      <c r="AC304" s="198"/>
    </row>
    <row r="305" spans="1:29" s="21" customFormat="1" ht="63" hidden="1" customHeight="1" x14ac:dyDescent="0.25">
      <c r="A305" s="17"/>
      <c r="B305" s="40"/>
      <c r="C305" s="40"/>
      <c r="D305" s="19" t="str">
        <f>D346</f>
        <v>субвенції з державного бюджету місцевим бюджетам на реалізацію проектів (об'єктів, заходів), спрямованих на ліквідацію наслідків збройної агресії</v>
      </c>
      <c r="E305" s="20">
        <f>E345</f>
        <v>0</v>
      </c>
      <c r="F305" s="20">
        <f t="shared" ref="F305:AA305" si="229">F345</f>
        <v>0</v>
      </c>
      <c r="G305" s="20">
        <f t="shared" si="229"/>
        <v>0</v>
      </c>
      <c r="H305" s="20">
        <f t="shared" si="229"/>
        <v>0</v>
      </c>
      <c r="I305" s="20">
        <f t="shared" si="229"/>
        <v>0</v>
      </c>
      <c r="J305" s="20">
        <f t="shared" si="229"/>
        <v>0</v>
      </c>
      <c r="K305" s="20">
        <f t="shared" si="229"/>
        <v>0</v>
      </c>
      <c r="L305" s="20">
        <f t="shared" si="229"/>
        <v>0</v>
      </c>
      <c r="M305" s="187" t="e">
        <f t="shared" si="187"/>
        <v>#DIV/0!</v>
      </c>
      <c r="N305" s="20">
        <f t="shared" si="229"/>
        <v>0</v>
      </c>
      <c r="O305" s="20">
        <f t="shared" si="229"/>
        <v>0</v>
      </c>
      <c r="P305" s="20">
        <f t="shared" si="229"/>
        <v>0</v>
      </c>
      <c r="Q305" s="20">
        <f t="shared" si="229"/>
        <v>0</v>
      </c>
      <c r="R305" s="20">
        <f t="shared" si="229"/>
        <v>0</v>
      </c>
      <c r="S305" s="20">
        <f t="shared" si="229"/>
        <v>0</v>
      </c>
      <c r="T305" s="20">
        <f t="shared" si="229"/>
        <v>0</v>
      </c>
      <c r="U305" s="20">
        <f t="shared" si="229"/>
        <v>0</v>
      </c>
      <c r="V305" s="20">
        <f t="shared" si="229"/>
        <v>0</v>
      </c>
      <c r="W305" s="20">
        <f t="shared" si="229"/>
        <v>0</v>
      </c>
      <c r="X305" s="20">
        <f t="shared" si="229"/>
        <v>0</v>
      </c>
      <c r="Y305" s="20">
        <f t="shared" si="229"/>
        <v>0</v>
      </c>
      <c r="Z305" s="187" t="e">
        <f t="shared" si="195"/>
        <v>#DIV/0!</v>
      </c>
      <c r="AA305" s="20">
        <f t="shared" si="229"/>
        <v>0</v>
      </c>
      <c r="AB305" s="20">
        <f t="shared" ref="AB305" si="230">AB345</f>
        <v>0</v>
      </c>
      <c r="AC305" s="198"/>
    </row>
    <row r="306" spans="1:29" s="21" customFormat="1" ht="123.75" customHeight="1" x14ac:dyDescent="0.25">
      <c r="A306" s="17"/>
      <c r="B306" s="40"/>
      <c r="C306" s="40"/>
      <c r="D306" s="19" t="s">
        <v>660</v>
      </c>
      <c r="E306" s="20">
        <f>E351</f>
        <v>0</v>
      </c>
      <c r="F306" s="20">
        <f t="shared" ref="F306:AA306" si="231">F351</f>
        <v>0</v>
      </c>
      <c r="G306" s="20">
        <f t="shared" si="231"/>
        <v>0</v>
      </c>
      <c r="H306" s="20">
        <f t="shared" si="231"/>
        <v>0</v>
      </c>
      <c r="I306" s="20">
        <f t="shared" si="231"/>
        <v>0</v>
      </c>
      <c r="J306" s="20">
        <f t="shared" si="231"/>
        <v>0</v>
      </c>
      <c r="K306" s="20">
        <f t="shared" si="231"/>
        <v>0</v>
      </c>
      <c r="L306" s="20">
        <f t="shared" si="231"/>
        <v>0</v>
      </c>
      <c r="M306" s="187"/>
      <c r="N306" s="20">
        <f t="shared" si="231"/>
        <v>15622974</v>
      </c>
      <c r="O306" s="20">
        <f t="shared" si="231"/>
        <v>0</v>
      </c>
      <c r="P306" s="20">
        <f t="shared" si="231"/>
        <v>0</v>
      </c>
      <c r="Q306" s="20">
        <f t="shared" si="231"/>
        <v>0</v>
      </c>
      <c r="R306" s="20">
        <f t="shared" si="231"/>
        <v>0</v>
      </c>
      <c r="S306" s="20">
        <f t="shared" si="231"/>
        <v>15622974</v>
      </c>
      <c r="T306" s="20">
        <f t="shared" si="231"/>
        <v>9058904.0999999996</v>
      </c>
      <c r="U306" s="20">
        <f t="shared" si="231"/>
        <v>0</v>
      </c>
      <c r="V306" s="20">
        <f t="shared" si="231"/>
        <v>0</v>
      </c>
      <c r="W306" s="20">
        <f t="shared" si="231"/>
        <v>0</v>
      </c>
      <c r="X306" s="20">
        <f t="shared" si="231"/>
        <v>0</v>
      </c>
      <c r="Y306" s="20">
        <f t="shared" si="231"/>
        <v>9058904.0999999996</v>
      </c>
      <c r="Z306" s="187">
        <f t="shared" si="195"/>
        <v>57.984504742822971</v>
      </c>
      <c r="AA306" s="20">
        <f t="shared" si="231"/>
        <v>9058904.0999999996</v>
      </c>
      <c r="AB306" s="20">
        <f t="shared" ref="AB306" si="232">AB351</f>
        <v>15622974</v>
      </c>
      <c r="AC306" s="198"/>
    </row>
    <row r="307" spans="1:29" s="21" customFormat="1" ht="110.25" customHeight="1" x14ac:dyDescent="0.25">
      <c r="A307" s="17"/>
      <c r="B307" s="40"/>
      <c r="C307" s="40"/>
      <c r="D307" s="19" t="str">
        <f>D363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307" s="20">
        <f>E363+E316+E321+E356+E311</f>
        <v>14101648</v>
      </c>
      <c r="F307" s="20">
        <f t="shared" ref="F307:AA307" si="233">F363+F316+F321+F356+F311</f>
        <v>1997621</v>
      </c>
      <c r="G307" s="20">
        <f t="shared" si="233"/>
        <v>262930</v>
      </c>
      <c r="H307" s="20">
        <f t="shared" si="233"/>
        <v>0</v>
      </c>
      <c r="I307" s="20">
        <f t="shared" si="233"/>
        <v>12104027</v>
      </c>
      <c r="J307" s="20">
        <f t="shared" si="233"/>
        <v>13879531.310000001</v>
      </c>
      <c r="K307" s="20">
        <f t="shared" si="233"/>
        <v>262930</v>
      </c>
      <c r="L307" s="20">
        <f t="shared" si="233"/>
        <v>0</v>
      </c>
      <c r="M307" s="187">
        <f t="shared" si="187"/>
        <v>98.424888424388413</v>
      </c>
      <c r="N307" s="20">
        <f t="shared" si="233"/>
        <v>2790870</v>
      </c>
      <c r="O307" s="20">
        <f t="shared" si="233"/>
        <v>2790870</v>
      </c>
      <c r="P307" s="20">
        <f t="shared" si="233"/>
        <v>0</v>
      </c>
      <c r="Q307" s="20">
        <f t="shared" si="233"/>
        <v>0</v>
      </c>
      <c r="R307" s="20">
        <f t="shared" si="233"/>
        <v>0</v>
      </c>
      <c r="S307" s="20">
        <f t="shared" si="233"/>
        <v>2790870</v>
      </c>
      <c r="T307" s="20">
        <f t="shared" si="233"/>
        <v>2730117.1799999997</v>
      </c>
      <c r="U307" s="20">
        <f t="shared" si="233"/>
        <v>2730117.1799999997</v>
      </c>
      <c r="V307" s="20">
        <f t="shared" si="233"/>
        <v>0</v>
      </c>
      <c r="W307" s="20">
        <f t="shared" si="233"/>
        <v>0</v>
      </c>
      <c r="X307" s="20">
        <f t="shared" si="233"/>
        <v>0</v>
      </c>
      <c r="Y307" s="20">
        <f t="shared" si="233"/>
        <v>2730117.1799999997</v>
      </c>
      <c r="Z307" s="187">
        <f t="shared" si="195"/>
        <v>97.823158369970642</v>
      </c>
      <c r="AA307" s="20">
        <f t="shared" si="233"/>
        <v>16609648.490000002</v>
      </c>
      <c r="AB307" s="20">
        <f t="shared" ref="AB307" si="234">AB363+AB316+AB321+AB356+AB311</f>
        <v>16892518</v>
      </c>
      <c r="AC307" s="198"/>
    </row>
    <row r="308" spans="1:29" s="21" customFormat="1" ht="31.9" customHeight="1" x14ac:dyDescent="0.25">
      <c r="A308" s="17"/>
      <c r="B308" s="40"/>
      <c r="C308" s="40"/>
      <c r="D308" s="19" t="str">
        <f>D362</f>
        <v>іншої субвенції з місцевого бюджету</v>
      </c>
      <c r="E308" s="20">
        <f>E362+E344</f>
        <v>0</v>
      </c>
      <c r="F308" s="20">
        <f t="shared" ref="F308:AA308" si="235">F362+F344</f>
        <v>0</v>
      </c>
      <c r="G308" s="20">
        <f t="shared" si="235"/>
        <v>0</v>
      </c>
      <c r="H308" s="20">
        <f t="shared" si="235"/>
        <v>0</v>
      </c>
      <c r="I308" s="20">
        <f t="shared" si="235"/>
        <v>0</v>
      </c>
      <c r="J308" s="20">
        <f t="shared" si="235"/>
        <v>0</v>
      </c>
      <c r="K308" s="20">
        <f t="shared" si="235"/>
        <v>0</v>
      </c>
      <c r="L308" s="20">
        <f t="shared" si="235"/>
        <v>0</v>
      </c>
      <c r="M308" s="187"/>
      <c r="N308" s="20">
        <f t="shared" si="235"/>
        <v>1128100</v>
      </c>
      <c r="O308" s="20">
        <f t="shared" si="235"/>
        <v>1128100</v>
      </c>
      <c r="P308" s="20">
        <f t="shared" si="235"/>
        <v>0</v>
      </c>
      <c r="Q308" s="20">
        <f t="shared" si="235"/>
        <v>0</v>
      </c>
      <c r="R308" s="20">
        <f t="shared" si="235"/>
        <v>0</v>
      </c>
      <c r="S308" s="20">
        <f t="shared" si="235"/>
        <v>1128100</v>
      </c>
      <c r="T308" s="20">
        <f t="shared" si="235"/>
        <v>934500</v>
      </c>
      <c r="U308" s="20">
        <f t="shared" si="235"/>
        <v>934500</v>
      </c>
      <c r="V308" s="20">
        <f t="shared" si="235"/>
        <v>0</v>
      </c>
      <c r="W308" s="20">
        <f t="shared" si="235"/>
        <v>0</v>
      </c>
      <c r="X308" s="20">
        <f t="shared" si="235"/>
        <v>0</v>
      </c>
      <c r="Y308" s="20">
        <f t="shared" si="235"/>
        <v>934500</v>
      </c>
      <c r="Z308" s="187">
        <f t="shared" si="195"/>
        <v>82.838400850988393</v>
      </c>
      <c r="AA308" s="20">
        <f t="shared" si="235"/>
        <v>934500</v>
      </c>
      <c r="AB308" s="20">
        <f t="shared" ref="AB308" si="236">AB362+AB344</f>
        <v>1128100</v>
      </c>
      <c r="AC308" s="198"/>
    </row>
    <row r="309" spans="1:29" s="21" customFormat="1" ht="22.9" customHeight="1" x14ac:dyDescent="0.25">
      <c r="A309" s="17"/>
      <c r="B309" s="40"/>
      <c r="C309" s="40"/>
      <c r="D309" s="19" t="str">
        <f>D360</f>
        <v>грантів (дарунків)</v>
      </c>
      <c r="E309" s="20">
        <f>E360</f>
        <v>0</v>
      </c>
      <c r="F309" s="20">
        <f t="shared" ref="F309:AA309" si="237">F360</f>
        <v>0</v>
      </c>
      <c r="G309" s="20">
        <f t="shared" si="237"/>
        <v>0</v>
      </c>
      <c r="H309" s="20">
        <f t="shared" si="237"/>
        <v>0</v>
      </c>
      <c r="I309" s="20">
        <f t="shared" si="237"/>
        <v>0</v>
      </c>
      <c r="J309" s="20">
        <f t="shared" si="237"/>
        <v>0</v>
      </c>
      <c r="K309" s="20">
        <f t="shared" si="237"/>
        <v>0</v>
      </c>
      <c r="L309" s="20">
        <f t="shared" si="237"/>
        <v>0</v>
      </c>
      <c r="M309" s="187"/>
      <c r="N309" s="20">
        <f t="shared" si="237"/>
        <v>5819323</v>
      </c>
      <c r="O309" s="20">
        <f t="shared" si="237"/>
        <v>0</v>
      </c>
      <c r="P309" s="20">
        <f t="shared" si="237"/>
        <v>362376</v>
      </c>
      <c r="Q309" s="20">
        <f t="shared" si="237"/>
        <v>0</v>
      </c>
      <c r="R309" s="20">
        <f t="shared" si="237"/>
        <v>0</v>
      </c>
      <c r="S309" s="20">
        <f t="shared" si="237"/>
        <v>5456947</v>
      </c>
      <c r="T309" s="20">
        <f t="shared" si="237"/>
        <v>5630593.0999999996</v>
      </c>
      <c r="U309" s="20">
        <f t="shared" si="237"/>
        <v>0</v>
      </c>
      <c r="V309" s="20">
        <f t="shared" si="237"/>
        <v>330601.09999999998</v>
      </c>
      <c r="W309" s="20">
        <f t="shared" si="237"/>
        <v>0</v>
      </c>
      <c r="X309" s="20">
        <f t="shared" si="237"/>
        <v>0</v>
      </c>
      <c r="Y309" s="20">
        <f t="shared" si="237"/>
        <v>5299992</v>
      </c>
      <c r="Z309" s="187">
        <f t="shared" si="195"/>
        <v>96.756840958991276</v>
      </c>
      <c r="AA309" s="20">
        <f t="shared" si="237"/>
        <v>5630593.0999999996</v>
      </c>
      <c r="AB309" s="20">
        <f t="shared" ref="AB309" si="238">AB360</f>
        <v>5819323</v>
      </c>
      <c r="AC309" s="198"/>
    </row>
    <row r="310" spans="1:29" s="26" customFormat="1" ht="47.25" x14ac:dyDescent="0.25">
      <c r="A310" s="22" t="s">
        <v>188</v>
      </c>
      <c r="B310" s="22" t="str">
        <f>'дод 5'!A21</f>
        <v>0160</v>
      </c>
      <c r="C310" s="22" t="str">
        <f>'дод 5'!B21</f>
        <v>0111</v>
      </c>
      <c r="D310" s="24" t="str">
        <f>'дод 5'!C21</f>
        <v>Керівництво і управління у відповідній сфері у містах (місті Києві), селищах, селах, територіальних громадах, у т.ч. за рахунок:</v>
      </c>
      <c r="E310" s="25">
        <f t="shared" ref="E310:E372" si="239">F310+I310</f>
        <v>20852300</v>
      </c>
      <c r="F310" s="25">
        <f>18028900+1494400+50000+1279000</f>
        <v>20852300</v>
      </c>
      <c r="G310" s="25">
        <f>13887400+1225900+1048400</f>
        <v>16161700</v>
      </c>
      <c r="H310" s="25">
        <v>453500</v>
      </c>
      <c r="I310" s="25"/>
      <c r="J310" s="25">
        <v>20752567.969999999</v>
      </c>
      <c r="K310" s="25">
        <v>16161594.16</v>
      </c>
      <c r="L310" s="25">
        <v>419870.53</v>
      </c>
      <c r="M310" s="181">
        <f t="shared" si="187"/>
        <v>99.52172168058199</v>
      </c>
      <c r="N310" s="25">
        <f>P310+S310</f>
        <v>0</v>
      </c>
      <c r="O310" s="25"/>
      <c r="P310" s="25"/>
      <c r="Q310" s="25"/>
      <c r="R310" s="25"/>
      <c r="S310" s="25"/>
      <c r="T310" s="15">
        <f t="shared" si="190"/>
        <v>0</v>
      </c>
      <c r="U310" s="25"/>
      <c r="V310" s="25"/>
      <c r="W310" s="25"/>
      <c r="X310" s="25"/>
      <c r="Y310" s="25"/>
      <c r="Z310" s="181"/>
      <c r="AA310" s="25">
        <f t="shared" si="191"/>
        <v>20752567.969999999</v>
      </c>
      <c r="AB310" s="25">
        <f t="shared" ref="AB310:AB373" si="240">E310+N310</f>
        <v>20852300</v>
      </c>
      <c r="AC310" s="198"/>
    </row>
    <row r="311" spans="1:29" s="31" customFormat="1" ht="103.9" customHeight="1" x14ac:dyDescent="0.25">
      <c r="A311" s="27"/>
      <c r="B311" s="27"/>
      <c r="C311" s="27"/>
      <c r="D311" s="29" t="str">
        <f>'дод 5'!C22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311" s="30">
        <f t="shared" ref="E311" si="241">F311+I311</f>
        <v>320752</v>
      </c>
      <c r="F311" s="30">
        <v>320752</v>
      </c>
      <c r="G311" s="30">
        <v>262930</v>
      </c>
      <c r="H311" s="30"/>
      <c r="I311" s="30"/>
      <c r="J311" s="30">
        <v>320752</v>
      </c>
      <c r="K311" s="30">
        <v>262930</v>
      </c>
      <c r="L311" s="30"/>
      <c r="M311" s="182">
        <f t="shared" si="187"/>
        <v>100</v>
      </c>
      <c r="N311" s="30">
        <f>P311+S311</f>
        <v>0</v>
      </c>
      <c r="O311" s="30"/>
      <c r="P311" s="30"/>
      <c r="Q311" s="30"/>
      <c r="R311" s="30"/>
      <c r="S311" s="30"/>
      <c r="T311" s="15">
        <f t="shared" si="190"/>
        <v>0</v>
      </c>
      <c r="U311" s="30"/>
      <c r="V311" s="30"/>
      <c r="W311" s="30"/>
      <c r="X311" s="30"/>
      <c r="Y311" s="30"/>
      <c r="Z311" s="182"/>
      <c r="AA311" s="30">
        <f t="shared" si="191"/>
        <v>320752</v>
      </c>
      <c r="AB311" s="30">
        <f t="shared" ref="AB311" si="242">E311+N311</f>
        <v>320752</v>
      </c>
      <c r="AC311" s="198">
        <v>14</v>
      </c>
    </row>
    <row r="312" spans="1:29" s="26" customFormat="1" ht="15.4" hidden="1" customHeight="1" x14ac:dyDescent="0.25">
      <c r="A312" s="22" t="s">
        <v>493</v>
      </c>
      <c r="B312" s="22" t="s">
        <v>43</v>
      </c>
      <c r="C312" s="22" t="s">
        <v>89</v>
      </c>
      <c r="D312" s="42" t="s">
        <v>234</v>
      </c>
      <c r="E312" s="25">
        <f t="shared" si="239"/>
        <v>0</v>
      </c>
      <c r="F312" s="25"/>
      <c r="G312" s="25"/>
      <c r="H312" s="25"/>
      <c r="I312" s="25"/>
      <c r="J312" s="25"/>
      <c r="K312" s="25"/>
      <c r="L312" s="25"/>
      <c r="M312" s="181" t="e">
        <f t="shared" si="187"/>
        <v>#DIV/0!</v>
      </c>
      <c r="N312" s="25">
        <f>P312+S312</f>
        <v>0</v>
      </c>
      <c r="O312" s="25"/>
      <c r="P312" s="25"/>
      <c r="Q312" s="25"/>
      <c r="R312" s="25"/>
      <c r="S312" s="25"/>
      <c r="T312" s="15">
        <f t="shared" si="190"/>
        <v>0</v>
      </c>
      <c r="U312" s="25"/>
      <c r="V312" s="25"/>
      <c r="W312" s="25"/>
      <c r="X312" s="25"/>
      <c r="Y312" s="25"/>
      <c r="Z312" s="181" t="e">
        <f t="shared" si="195"/>
        <v>#DIV/0!</v>
      </c>
      <c r="AA312" s="25">
        <f t="shared" si="191"/>
        <v>0</v>
      </c>
      <c r="AB312" s="25">
        <f t="shared" si="240"/>
        <v>0</v>
      </c>
      <c r="AC312" s="198"/>
    </row>
    <row r="313" spans="1:29" s="26" customFormat="1" ht="19.5" customHeight="1" x14ac:dyDescent="0.25">
      <c r="A313" s="22" t="s">
        <v>289</v>
      </c>
      <c r="B313" s="23" t="str">
        <f>'дод 5'!A177</f>
        <v>3210</v>
      </c>
      <c r="C313" s="23" t="str">
        <f>'дод 5'!B177</f>
        <v>1050</v>
      </c>
      <c r="D313" s="24" t="str">
        <f>'дод 5'!C177</f>
        <v>Організація та проведення громадських робіт</v>
      </c>
      <c r="E313" s="25">
        <f t="shared" si="239"/>
        <v>0</v>
      </c>
      <c r="F313" s="25">
        <f>100000-50000-50000</f>
        <v>0</v>
      </c>
      <c r="G313" s="25"/>
      <c r="H313" s="25"/>
      <c r="I313" s="25"/>
      <c r="J313" s="25"/>
      <c r="K313" s="25"/>
      <c r="L313" s="25"/>
      <c r="M313" s="181"/>
      <c r="N313" s="25">
        <f t="shared" ref="N313:N373" si="243">P313+S313</f>
        <v>0</v>
      </c>
      <c r="O313" s="25"/>
      <c r="P313" s="25"/>
      <c r="Q313" s="25"/>
      <c r="R313" s="25"/>
      <c r="S313" s="25"/>
      <c r="T313" s="15">
        <f t="shared" si="190"/>
        <v>100000</v>
      </c>
      <c r="U313" s="25"/>
      <c r="V313" s="25">
        <v>100000</v>
      </c>
      <c r="W313" s="25">
        <v>81967.199999999997</v>
      </c>
      <c r="X313" s="25"/>
      <c r="Y313" s="25"/>
      <c r="Z313" s="181"/>
      <c r="AA313" s="25">
        <f t="shared" si="191"/>
        <v>100000</v>
      </c>
      <c r="AB313" s="25">
        <f t="shared" si="240"/>
        <v>0</v>
      </c>
      <c r="AC313" s="198"/>
    </row>
    <row r="314" spans="1:29" s="26" customFormat="1" ht="24" hidden="1" customHeight="1" x14ac:dyDescent="0.25">
      <c r="A314" s="22" t="s">
        <v>189</v>
      </c>
      <c r="B314" s="23" t="str">
        <f>'дод 5'!A209</f>
        <v>6011</v>
      </c>
      <c r="C314" s="23" t="str">
        <f>'дод 5'!B209</f>
        <v>0610</v>
      </c>
      <c r="D314" s="24" t="str">
        <f>'дод 5'!C209</f>
        <v>Експлуатація та технічне обслуговування житлового фонду</v>
      </c>
      <c r="E314" s="25">
        <f t="shared" si="239"/>
        <v>0</v>
      </c>
      <c r="F314" s="25"/>
      <c r="G314" s="25"/>
      <c r="H314" s="25"/>
      <c r="I314" s="25"/>
      <c r="J314" s="25"/>
      <c r="K314" s="25"/>
      <c r="L314" s="25"/>
      <c r="M314" s="181" t="e">
        <f t="shared" si="187"/>
        <v>#DIV/0!</v>
      </c>
      <c r="N314" s="25">
        <f t="shared" si="243"/>
        <v>0</v>
      </c>
      <c r="O314" s="25"/>
      <c r="P314" s="25"/>
      <c r="Q314" s="25"/>
      <c r="R314" s="25"/>
      <c r="S314" s="25"/>
      <c r="T314" s="15">
        <f t="shared" si="190"/>
        <v>0</v>
      </c>
      <c r="U314" s="25"/>
      <c r="V314" s="25"/>
      <c r="W314" s="25"/>
      <c r="X314" s="25"/>
      <c r="Y314" s="25"/>
      <c r="Z314" s="181" t="e">
        <f t="shared" si="195"/>
        <v>#DIV/0!</v>
      </c>
      <c r="AA314" s="25">
        <f t="shared" si="191"/>
        <v>0</v>
      </c>
      <c r="AB314" s="25">
        <f t="shared" si="240"/>
        <v>0</v>
      </c>
      <c r="AC314" s="198"/>
    </row>
    <row r="315" spans="1:29" s="26" customFormat="1" ht="36.4" customHeight="1" x14ac:dyDescent="0.25">
      <c r="A315" s="22" t="s">
        <v>190</v>
      </c>
      <c r="B315" s="23" t="str">
        <f>'дод 5'!A210</f>
        <v>6013</v>
      </c>
      <c r="C315" s="23" t="str">
        <f>'дод 5'!B210</f>
        <v>0620</v>
      </c>
      <c r="D315" s="24" t="str">
        <f>'дод 5'!C210</f>
        <v>Забезпечення діяльності водопровідно-каналізаційного господарства,  у т.ч. за рахунок:</v>
      </c>
      <c r="E315" s="25">
        <f t="shared" si="239"/>
        <v>110757168</v>
      </c>
      <c r="F315" s="25">
        <f>685000+320000-50000-26000-40000-7000</f>
        <v>882000</v>
      </c>
      <c r="G315" s="25"/>
      <c r="H315" s="25"/>
      <c r="I315" s="25">
        <f>30000000+10000000+25000000+233800+3000000+9130+1068200+2000000+10000000+10000000-233800+18000000+797838</f>
        <v>109875168</v>
      </c>
      <c r="J315" s="25">
        <v>110622938.93000001</v>
      </c>
      <c r="K315" s="25"/>
      <c r="L315" s="25"/>
      <c r="M315" s="181">
        <f t="shared" si="187"/>
        <v>99.878807780639548</v>
      </c>
      <c r="N315" s="25">
        <f t="shared" si="243"/>
        <v>1290870</v>
      </c>
      <c r="O315" s="25">
        <v>1290870</v>
      </c>
      <c r="P315" s="25"/>
      <c r="Q315" s="25"/>
      <c r="R315" s="25"/>
      <c r="S315" s="25">
        <f>1290870</f>
        <v>1290870</v>
      </c>
      <c r="T315" s="15">
        <f t="shared" si="190"/>
        <v>1290869.96</v>
      </c>
      <c r="U315" s="25">
        <v>1290869.96</v>
      </c>
      <c r="V315" s="25"/>
      <c r="W315" s="25"/>
      <c r="X315" s="25"/>
      <c r="Y315" s="25">
        <v>1290869.96</v>
      </c>
      <c r="Z315" s="181">
        <f t="shared" si="195"/>
        <v>99.999996901314617</v>
      </c>
      <c r="AA315" s="25">
        <f t="shared" si="191"/>
        <v>111913808.89</v>
      </c>
      <c r="AB315" s="25">
        <f t="shared" si="240"/>
        <v>112048038</v>
      </c>
      <c r="AC315" s="198"/>
    </row>
    <row r="316" spans="1:29" s="26" customFormat="1" ht="110.25" x14ac:dyDescent="0.25">
      <c r="A316" s="22"/>
      <c r="B316" s="23"/>
      <c r="C316" s="23"/>
      <c r="D316" s="48" t="s">
        <v>618</v>
      </c>
      <c r="E316" s="30">
        <f t="shared" si="239"/>
        <v>11562545</v>
      </c>
      <c r="F316" s="30"/>
      <c r="G316" s="30"/>
      <c r="H316" s="30"/>
      <c r="I316" s="30">
        <f>3000000+9130+1068200+2000000+5485215</f>
        <v>11562545</v>
      </c>
      <c r="J316" s="30">
        <v>11562018.640000001</v>
      </c>
      <c r="K316" s="30"/>
      <c r="L316" s="30"/>
      <c r="M316" s="182">
        <f t="shared" si="187"/>
        <v>99.995447715014308</v>
      </c>
      <c r="N316" s="30">
        <f>P316+S316</f>
        <v>1290870</v>
      </c>
      <c r="O316" s="30">
        <v>1290870</v>
      </c>
      <c r="P316" s="30"/>
      <c r="Q316" s="30"/>
      <c r="R316" s="30"/>
      <c r="S316" s="30">
        <f>1290870</f>
        <v>1290870</v>
      </c>
      <c r="T316" s="15">
        <f t="shared" si="190"/>
        <v>1290869.96</v>
      </c>
      <c r="U316" s="30">
        <v>1290869.96</v>
      </c>
      <c r="V316" s="30"/>
      <c r="W316" s="30"/>
      <c r="X316" s="30"/>
      <c r="Y316" s="30">
        <v>1290869.96</v>
      </c>
      <c r="Z316" s="182">
        <f t="shared" si="195"/>
        <v>99.999996901314617</v>
      </c>
      <c r="AA316" s="30">
        <f t="shared" si="191"/>
        <v>12852888.600000001</v>
      </c>
      <c r="AB316" s="30">
        <f t="shared" si="240"/>
        <v>12853415</v>
      </c>
      <c r="AC316" s="198"/>
    </row>
    <row r="317" spans="1:29" s="26" customFormat="1" ht="22.5" hidden="1" customHeight="1" x14ac:dyDescent="0.25">
      <c r="A317" s="22" t="s">
        <v>567</v>
      </c>
      <c r="B317" s="23">
        <f>'дод 5'!A212</f>
        <v>6014</v>
      </c>
      <c r="C317" s="23" t="str">
        <f>'дод 5'!B212</f>
        <v>0620</v>
      </c>
      <c r="D317" s="36" t="str">
        <f>'дод 5'!C212</f>
        <v>Забезпечення збору та вивезення сміття і відходів</v>
      </c>
      <c r="E317" s="25">
        <f t="shared" ref="E317" si="244">F317+I317</f>
        <v>0</v>
      </c>
      <c r="F317" s="25"/>
      <c r="G317" s="25"/>
      <c r="H317" s="25"/>
      <c r="I317" s="25"/>
      <c r="J317" s="25"/>
      <c r="K317" s="25"/>
      <c r="L317" s="25"/>
      <c r="M317" s="181" t="e">
        <f t="shared" si="187"/>
        <v>#DIV/0!</v>
      </c>
      <c r="N317" s="25">
        <f t="shared" si="243"/>
        <v>0</v>
      </c>
      <c r="O317" s="25"/>
      <c r="P317" s="25"/>
      <c r="Q317" s="25"/>
      <c r="R317" s="25"/>
      <c r="S317" s="25"/>
      <c r="T317" s="15">
        <f t="shared" si="190"/>
        <v>0</v>
      </c>
      <c r="U317" s="25"/>
      <c r="V317" s="25"/>
      <c r="W317" s="25"/>
      <c r="X317" s="25"/>
      <c r="Y317" s="25"/>
      <c r="Z317" s="181" t="e">
        <f t="shared" si="195"/>
        <v>#DIV/0!</v>
      </c>
      <c r="AA317" s="25">
        <f t="shared" si="191"/>
        <v>0</v>
      </c>
      <c r="AB317" s="25">
        <f t="shared" ref="AB317" si="245">E317+N317</f>
        <v>0</v>
      </c>
      <c r="AC317" s="198"/>
    </row>
    <row r="318" spans="1:29" s="26" customFormat="1" ht="33" customHeight="1" x14ac:dyDescent="0.25">
      <c r="A318" s="22" t="s">
        <v>250</v>
      </c>
      <c r="B318" s="23" t="str">
        <f>'дод 5'!A213</f>
        <v>6015</v>
      </c>
      <c r="C318" s="23" t="str">
        <f>'дод 5'!B213</f>
        <v>0620</v>
      </c>
      <c r="D318" s="24" t="str">
        <f>'дод 5'!C213</f>
        <v>Забезпечення надійної та безперебійної експлуатації ліфтів</v>
      </c>
      <c r="E318" s="25">
        <f t="shared" si="239"/>
        <v>0</v>
      </c>
      <c r="F318" s="25"/>
      <c r="G318" s="25"/>
      <c r="H318" s="25"/>
      <c r="I318" s="25"/>
      <c r="J318" s="25"/>
      <c r="K318" s="25"/>
      <c r="L318" s="25"/>
      <c r="M318" s="181"/>
      <c r="N318" s="25">
        <f t="shared" si="243"/>
        <v>90000</v>
      </c>
      <c r="O318" s="25">
        <v>90000</v>
      </c>
      <c r="P318" s="25"/>
      <c r="Q318" s="25"/>
      <c r="R318" s="25"/>
      <c r="S318" s="110">
        <v>90000</v>
      </c>
      <c r="T318" s="15">
        <f t="shared" si="190"/>
        <v>88278.080000000002</v>
      </c>
      <c r="U318" s="149">
        <v>88278.080000000002</v>
      </c>
      <c r="V318" s="150"/>
      <c r="W318" s="150"/>
      <c r="X318" s="150"/>
      <c r="Y318" s="149">
        <v>88278.080000000002</v>
      </c>
      <c r="Z318" s="181">
        <f t="shared" si="195"/>
        <v>98.086755555555555</v>
      </c>
      <c r="AA318" s="25">
        <f t="shared" si="191"/>
        <v>88278.080000000002</v>
      </c>
      <c r="AB318" s="25">
        <f t="shared" si="240"/>
        <v>90000</v>
      </c>
      <c r="AC318" s="198"/>
    </row>
    <row r="319" spans="1:29" s="26" customFormat="1" ht="32.25" customHeight="1" x14ac:dyDescent="0.25">
      <c r="A319" s="22" t="s">
        <v>253</v>
      </c>
      <c r="B319" s="23" t="str">
        <f>'дод 5'!A214</f>
        <v>6017</v>
      </c>
      <c r="C319" s="23" t="str">
        <f>'дод 5'!B214</f>
        <v>0620</v>
      </c>
      <c r="D319" s="24" t="str">
        <f>'дод 5'!C214</f>
        <v>Інша діяльність, пов’язана з експлуатацією об’єктів житлово-комунального господарства</v>
      </c>
      <c r="E319" s="25">
        <f t="shared" si="239"/>
        <v>400000</v>
      </c>
      <c r="F319" s="25">
        <v>400000</v>
      </c>
      <c r="G319" s="25"/>
      <c r="H319" s="25"/>
      <c r="I319" s="25"/>
      <c r="J319" s="25">
        <v>398868.71</v>
      </c>
      <c r="K319" s="25"/>
      <c r="L319" s="25"/>
      <c r="M319" s="181">
        <f t="shared" si="187"/>
        <v>99.717177500000005</v>
      </c>
      <c r="N319" s="25">
        <f t="shared" si="243"/>
        <v>0</v>
      </c>
      <c r="O319" s="25"/>
      <c r="P319" s="25"/>
      <c r="Q319" s="25"/>
      <c r="R319" s="25"/>
      <c r="S319" s="25"/>
      <c r="T319" s="15">
        <f t="shared" si="190"/>
        <v>0</v>
      </c>
      <c r="U319" s="25"/>
      <c r="V319" s="25"/>
      <c r="W319" s="25"/>
      <c r="X319" s="25"/>
      <c r="Y319" s="25"/>
      <c r="Z319" s="181"/>
      <c r="AA319" s="25">
        <f t="shared" si="191"/>
        <v>398868.71</v>
      </c>
      <c r="AB319" s="25">
        <f t="shared" si="240"/>
        <v>400000</v>
      </c>
      <c r="AC319" s="198"/>
    </row>
    <row r="320" spans="1:29" s="26" customFormat="1" ht="63.75" customHeight="1" x14ac:dyDescent="0.25">
      <c r="A320" s="22" t="s">
        <v>191</v>
      </c>
      <c r="B320" s="23" t="str">
        <f>'дод 5'!A215</f>
        <v>6020</v>
      </c>
      <c r="C320" s="23" t="str">
        <f>'дод 5'!B215</f>
        <v>0620</v>
      </c>
      <c r="D320" s="24" t="str">
        <f>'дод 5'!C215</f>
        <v>Забезпечення функціонування підприємств, установ та організацій, що виробляють, виконують та/або надають житлово-комунальні послуги,  у т.ч. за рахунок:</v>
      </c>
      <c r="E320" s="25">
        <f t="shared" si="239"/>
        <v>9099186.620000001</v>
      </c>
      <c r="G320" s="25"/>
      <c r="H320" s="25"/>
      <c r="I320" s="25">
        <f>400000+200000+3400000+355000+3500000+1366704.62+541482-600000-64000</f>
        <v>9099186.620000001</v>
      </c>
      <c r="J320" s="25">
        <v>8627421.5199999996</v>
      </c>
      <c r="K320" s="25"/>
      <c r="L320" s="25"/>
      <c r="M320" s="181">
        <f t="shared" si="187"/>
        <v>94.81530471126878</v>
      </c>
      <c r="N320" s="25">
        <f t="shared" si="243"/>
        <v>4295760</v>
      </c>
      <c r="O320" s="25">
        <v>4295760</v>
      </c>
      <c r="P320" s="25"/>
      <c r="Q320" s="25"/>
      <c r="R320" s="25"/>
      <c r="S320" s="25">
        <v>4295760</v>
      </c>
      <c r="T320" s="15">
        <f t="shared" si="190"/>
        <v>790858.68</v>
      </c>
      <c r="U320" s="25">
        <v>790858.68</v>
      </c>
      <c r="V320" s="25"/>
      <c r="W320" s="25"/>
      <c r="X320" s="25"/>
      <c r="Y320" s="25">
        <v>790858.68</v>
      </c>
      <c r="Z320" s="181">
        <f t="shared" si="195"/>
        <v>18.410215654505841</v>
      </c>
      <c r="AA320" s="25">
        <f t="shared" si="191"/>
        <v>9418280.1999999993</v>
      </c>
      <c r="AB320" s="25">
        <f t="shared" si="240"/>
        <v>13394946.620000001</v>
      </c>
      <c r="AC320" s="198"/>
    </row>
    <row r="321" spans="1:29" s="26" customFormat="1" ht="110.25" x14ac:dyDescent="0.25">
      <c r="A321" s="22"/>
      <c r="B321" s="23"/>
      <c r="C321" s="23"/>
      <c r="D321" s="48" t="s">
        <v>618</v>
      </c>
      <c r="E321" s="30">
        <f t="shared" si="239"/>
        <v>541482</v>
      </c>
      <c r="F321" s="30"/>
      <c r="G321" s="30"/>
      <c r="H321" s="30"/>
      <c r="I321" s="30">
        <v>541482</v>
      </c>
      <c r="J321" s="30">
        <v>495778.41</v>
      </c>
      <c r="K321" s="30"/>
      <c r="L321" s="30"/>
      <c r="M321" s="182">
        <f t="shared" si="187"/>
        <v>91.559536605094905</v>
      </c>
      <c r="N321" s="30">
        <f>P321+S321</f>
        <v>0</v>
      </c>
      <c r="O321" s="30"/>
      <c r="P321" s="30"/>
      <c r="Q321" s="30"/>
      <c r="R321" s="30"/>
      <c r="S321" s="30"/>
      <c r="T321" s="15">
        <f t="shared" si="190"/>
        <v>0</v>
      </c>
      <c r="U321" s="30"/>
      <c r="V321" s="30"/>
      <c r="W321" s="30"/>
      <c r="X321" s="30"/>
      <c r="Y321" s="30"/>
      <c r="Z321" s="182"/>
      <c r="AA321" s="30">
        <f t="shared" si="191"/>
        <v>495778.41</v>
      </c>
      <c r="AB321" s="30">
        <f t="shared" si="240"/>
        <v>541482</v>
      </c>
      <c r="AC321" s="198"/>
    </row>
    <row r="322" spans="1:29" s="26" customFormat="1" ht="24.75" customHeight="1" x14ac:dyDescent="0.25">
      <c r="A322" s="22" t="s">
        <v>192</v>
      </c>
      <c r="B322" s="23" t="str">
        <f>'дод 5'!A217</f>
        <v>6030</v>
      </c>
      <c r="C322" s="23" t="str">
        <f>'дод 5'!B217</f>
        <v>0620</v>
      </c>
      <c r="D322" s="24" t="str">
        <f>'дод 5'!C217</f>
        <v>Організація благоустрою населених пунктів</v>
      </c>
      <c r="E322" s="25">
        <f t="shared" si="239"/>
        <v>234363493.19999999</v>
      </c>
      <c r="F322" s="25">
        <f>261435000-500000-1000000+3100000-20000000-14715000+5000000-200000-870000+10000000-95000+5000000-10000000+300000-2736337-66122.8+2000000+500000+597952.8-5600000-50000-133000+2333000+7000-44000</f>
        <v>234263493</v>
      </c>
      <c r="G322" s="25"/>
      <c r="H322" s="25">
        <f>43000000+380000-10000000-2736337-5000000-50000-133000-44000</f>
        <v>25416663</v>
      </c>
      <c r="I322" s="25">
        <f>200000+870000-150000-597952.8-122047-100000</f>
        <v>100000.19999999995</v>
      </c>
      <c r="J322" s="25">
        <v>224342178.05000001</v>
      </c>
      <c r="K322" s="25"/>
      <c r="L322" s="25">
        <v>20196717.5</v>
      </c>
      <c r="M322" s="181">
        <f t="shared" si="187"/>
        <v>95.724028937626372</v>
      </c>
      <c r="N322" s="25">
        <f t="shared" si="243"/>
        <v>362000</v>
      </c>
      <c r="O322" s="25">
        <f>200000+12000+150000</f>
        <v>362000</v>
      </c>
      <c r="P322" s="25"/>
      <c r="Q322" s="25"/>
      <c r="R322" s="25"/>
      <c r="S322" s="25">
        <f>200000+12000+150000</f>
        <v>362000</v>
      </c>
      <c r="T322" s="15">
        <f t="shared" si="190"/>
        <v>268116.56</v>
      </c>
      <c r="U322" s="25">
        <v>268116.56</v>
      </c>
      <c r="V322" s="25"/>
      <c r="W322" s="25"/>
      <c r="X322" s="25"/>
      <c r="Y322" s="25">
        <v>268116.56</v>
      </c>
      <c r="Z322" s="181">
        <f t="shared" si="195"/>
        <v>74.065348066298341</v>
      </c>
      <c r="AA322" s="25">
        <f t="shared" si="191"/>
        <v>224610294.61000001</v>
      </c>
      <c r="AB322" s="25">
        <f t="shared" si="240"/>
        <v>234725493.19999999</v>
      </c>
      <c r="AC322" s="198"/>
    </row>
    <row r="323" spans="1:29" s="26" customFormat="1" ht="99.75" hidden="1" customHeight="1" x14ac:dyDescent="0.25">
      <c r="A323" s="22" t="s">
        <v>527</v>
      </c>
      <c r="B323" s="23">
        <v>6083</v>
      </c>
      <c r="C323" s="22" t="s">
        <v>65</v>
      </c>
      <c r="D323" s="42" t="s">
        <v>414</v>
      </c>
      <c r="E323" s="25">
        <f t="shared" si="239"/>
        <v>0</v>
      </c>
      <c r="F323" s="25"/>
      <c r="G323" s="25"/>
      <c r="H323" s="25"/>
      <c r="I323" s="25"/>
      <c r="J323" s="25"/>
      <c r="K323" s="25"/>
      <c r="L323" s="25"/>
      <c r="M323" s="181" t="e">
        <f t="shared" si="187"/>
        <v>#DIV/0!</v>
      </c>
      <c r="N323" s="25">
        <f t="shared" si="243"/>
        <v>0</v>
      </c>
      <c r="O323" s="25"/>
      <c r="P323" s="25"/>
      <c r="Q323" s="25"/>
      <c r="R323" s="25"/>
      <c r="S323" s="25"/>
      <c r="T323" s="15">
        <f t="shared" si="190"/>
        <v>0</v>
      </c>
      <c r="U323" s="25"/>
      <c r="V323" s="25"/>
      <c r="W323" s="25"/>
      <c r="X323" s="25"/>
      <c r="Y323" s="25"/>
      <c r="Z323" s="181" t="e">
        <f t="shared" si="195"/>
        <v>#DIV/0!</v>
      </c>
      <c r="AA323" s="25">
        <f t="shared" si="191"/>
        <v>0</v>
      </c>
      <c r="AB323" s="25">
        <f t="shared" si="240"/>
        <v>0</v>
      </c>
      <c r="AC323" s="198"/>
    </row>
    <row r="324" spans="1:29" s="26" customFormat="1" ht="141.75" hidden="1" customHeight="1" x14ac:dyDescent="0.25">
      <c r="A324" s="27"/>
      <c r="B324" s="28"/>
      <c r="C324" s="27"/>
      <c r="D324" s="53" t="s">
        <v>530</v>
      </c>
      <c r="E324" s="25">
        <f t="shared" si="239"/>
        <v>0</v>
      </c>
      <c r="F324" s="30"/>
      <c r="G324" s="30"/>
      <c r="H324" s="30"/>
      <c r="I324" s="30"/>
      <c r="J324" s="30"/>
      <c r="K324" s="30"/>
      <c r="L324" s="30"/>
      <c r="M324" s="181" t="e">
        <f t="shared" si="187"/>
        <v>#DIV/0!</v>
      </c>
      <c r="N324" s="25">
        <f t="shared" si="243"/>
        <v>0</v>
      </c>
      <c r="O324" s="30"/>
      <c r="P324" s="30"/>
      <c r="Q324" s="30"/>
      <c r="R324" s="30"/>
      <c r="S324" s="30"/>
      <c r="T324" s="15">
        <f t="shared" si="190"/>
        <v>0</v>
      </c>
      <c r="U324" s="30"/>
      <c r="V324" s="30"/>
      <c r="W324" s="30"/>
      <c r="X324" s="30"/>
      <c r="Y324" s="30"/>
      <c r="Z324" s="181" t="e">
        <f t="shared" si="195"/>
        <v>#DIV/0!</v>
      </c>
      <c r="AA324" s="25">
        <f t="shared" si="191"/>
        <v>0</v>
      </c>
      <c r="AB324" s="25">
        <f t="shared" si="240"/>
        <v>0</v>
      </c>
      <c r="AC324" s="198"/>
    </row>
    <row r="325" spans="1:29" s="26" customFormat="1" ht="94.5" hidden="1" customHeight="1" x14ac:dyDescent="0.25">
      <c r="A325" s="22" t="s">
        <v>537</v>
      </c>
      <c r="B325" s="23">
        <v>6071</v>
      </c>
      <c r="C325" s="22" t="s">
        <v>299</v>
      </c>
      <c r="D325" s="24" t="str">
        <f>'дод 5'!C218</f>
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v>
      </c>
      <c r="E325" s="25">
        <f t="shared" si="239"/>
        <v>0</v>
      </c>
      <c r="G325" s="25"/>
      <c r="H325" s="25"/>
      <c r="I325" s="25"/>
      <c r="J325" s="25"/>
      <c r="K325" s="25"/>
      <c r="L325" s="25"/>
      <c r="M325" s="181" t="e">
        <f t="shared" si="187"/>
        <v>#DIV/0!</v>
      </c>
      <c r="N325" s="25">
        <f t="shared" si="243"/>
        <v>0</v>
      </c>
      <c r="O325" s="25"/>
      <c r="P325" s="25"/>
      <c r="Q325" s="25"/>
      <c r="R325" s="25"/>
      <c r="S325" s="25"/>
      <c r="T325" s="15">
        <f t="shared" si="190"/>
        <v>0</v>
      </c>
      <c r="U325" s="25"/>
      <c r="V325" s="25"/>
      <c r="W325" s="25"/>
      <c r="X325" s="25"/>
      <c r="Y325" s="25"/>
      <c r="Z325" s="181" t="e">
        <f t="shared" si="195"/>
        <v>#DIV/0!</v>
      </c>
      <c r="AA325" s="25">
        <f t="shared" si="191"/>
        <v>0</v>
      </c>
      <c r="AB325" s="25">
        <f t="shared" si="240"/>
        <v>0</v>
      </c>
      <c r="AC325" s="198"/>
    </row>
    <row r="326" spans="1:29" s="26" customFormat="1" ht="28.5" customHeight="1" x14ac:dyDescent="0.25">
      <c r="A326" s="22" t="s">
        <v>243</v>
      </c>
      <c r="B326" s="23" t="str">
        <f>'дод 5'!A222</f>
        <v>6090</v>
      </c>
      <c r="C326" s="23" t="str">
        <f>'дод 5'!B222</f>
        <v>0640</v>
      </c>
      <c r="D326" s="24" t="str">
        <f>'дод 5'!C222</f>
        <v>Інша діяльність у сфері житлово-комунального господарства</v>
      </c>
      <c r="E326" s="25">
        <f t="shared" si="239"/>
        <v>5593198.1799999997</v>
      </c>
      <c r="F326" s="25">
        <f>8549120-200000-920000-49000+1000000+300000-12000+35000+50000-1366704.62+370000-100000+92122.8+40000-2000000-500000-270000-250000-305390</f>
        <v>4463148.18</v>
      </c>
      <c r="G326" s="25"/>
      <c r="H326" s="25">
        <f>5000-4490</f>
        <v>510</v>
      </c>
      <c r="I326" s="25">
        <f>920000+270000-59950</f>
        <v>1130050</v>
      </c>
      <c r="J326" s="25">
        <v>3807551.52</v>
      </c>
      <c r="K326" s="25"/>
      <c r="L326" s="25">
        <v>504.88</v>
      </c>
      <c r="M326" s="181">
        <f t="shared" si="187"/>
        <v>68.074675658998373</v>
      </c>
      <c r="N326" s="25">
        <f>P326+S326</f>
        <v>0</v>
      </c>
      <c r="O326" s="25"/>
      <c r="P326" s="25"/>
      <c r="Q326" s="25"/>
      <c r="R326" s="25"/>
      <c r="S326" s="25"/>
      <c r="T326" s="15">
        <f t="shared" si="190"/>
        <v>9204348.3499999996</v>
      </c>
      <c r="U326" s="25"/>
      <c r="V326" s="25">
        <v>1663791.78</v>
      </c>
      <c r="W326" s="25"/>
      <c r="X326" s="25"/>
      <c r="Y326" s="25">
        <v>7540556.5700000003</v>
      </c>
      <c r="Z326" s="181"/>
      <c r="AA326" s="25">
        <f t="shared" si="191"/>
        <v>13011899.869999999</v>
      </c>
      <c r="AB326" s="25">
        <f t="shared" si="240"/>
        <v>5593198.1799999997</v>
      </c>
      <c r="AC326" s="198"/>
    </row>
    <row r="327" spans="1:29" s="26" customFormat="1" ht="28.5" hidden="1" customHeight="1" x14ac:dyDescent="0.25">
      <c r="A327" s="22" t="s">
        <v>693</v>
      </c>
      <c r="B327" s="23" t="str">
        <f>'дод 5'!A235</f>
        <v>7130</v>
      </c>
      <c r="C327" s="23" t="str">
        <f>'дод 5'!B235</f>
        <v>0421</v>
      </c>
      <c r="D327" s="36" t="str">
        <f>'дод 5'!C235</f>
        <v>Здійснення заходів із землеустрою</v>
      </c>
      <c r="E327" s="25">
        <f t="shared" ref="E327" si="246">F327+I327</f>
        <v>0</v>
      </c>
      <c r="F327" s="25">
        <f>100000-100000</f>
        <v>0</v>
      </c>
      <c r="G327" s="25"/>
      <c r="H327" s="25"/>
      <c r="I327" s="25">
        <f>100000-100000</f>
        <v>0</v>
      </c>
      <c r="J327" s="25"/>
      <c r="K327" s="25"/>
      <c r="L327" s="25"/>
      <c r="M327" s="181" t="e">
        <f t="shared" si="187"/>
        <v>#DIV/0!</v>
      </c>
      <c r="N327" s="25">
        <f t="shared" ref="N327" si="247">P327+S327</f>
        <v>0</v>
      </c>
      <c r="O327" s="25"/>
      <c r="P327" s="25"/>
      <c r="Q327" s="25"/>
      <c r="R327" s="25"/>
      <c r="S327" s="25"/>
      <c r="T327" s="15">
        <f t="shared" si="190"/>
        <v>0</v>
      </c>
      <c r="U327" s="25"/>
      <c r="V327" s="25"/>
      <c r="W327" s="25"/>
      <c r="X327" s="25"/>
      <c r="Y327" s="25"/>
      <c r="Z327" s="181" t="e">
        <f t="shared" si="195"/>
        <v>#DIV/0!</v>
      </c>
      <c r="AA327" s="25">
        <f t="shared" si="191"/>
        <v>0</v>
      </c>
      <c r="AB327" s="25">
        <f t="shared" ref="AB327" si="248">E327+N327</f>
        <v>0</v>
      </c>
      <c r="AC327" s="198"/>
    </row>
    <row r="328" spans="1:29" s="26" customFormat="1" ht="36.75" customHeight="1" x14ac:dyDescent="0.25">
      <c r="A328" s="22" t="s">
        <v>262</v>
      </c>
      <c r="B328" s="23" t="str">
        <f>'дод 5'!A242</f>
        <v>7310</v>
      </c>
      <c r="C328" s="23" t="str">
        <f>'дод 5'!B242</f>
        <v>0443</v>
      </c>
      <c r="D328" s="35" t="str">
        <f>'дод 5'!C242</f>
        <v>Будівництво1 об'єктів житлово-комунального господарства</v>
      </c>
      <c r="E328" s="25">
        <f t="shared" si="239"/>
        <v>0</v>
      </c>
      <c r="F328" s="25"/>
      <c r="G328" s="25"/>
      <c r="H328" s="25"/>
      <c r="I328" s="25"/>
      <c r="J328" s="25"/>
      <c r="K328" s="25"/>
      <c r="L328" s="25"/>
      <c r="M328" s="181"/>
      <c r="N328" s="25">
        <f t="shared" si="243"/>
        <v>25162175</v>
      </c>
      <c r="O328" s="25">
        <f>21637100-70000-10000000+49000+670000-518050+518050+10000000+3000000-35000-287436+250000-51489</f>
        <v>25162175</v>
      </c>
      <c r="P328" s="25"/>
      <c r="Q328" s="25"/>
      <c r="R328" s="25"/>
      <c r="S328" s="25">
        <f>21637100-70000-10000000+49000+670000-518050+518050+10000000+3000000-35000-287436+250000-51489</f>
        <v>25162175</v>
      </c>
      <c r="T328" s="15">
        <f t="shared" si="190"/>
        <v>20860268.32</v>
      </c>
      <c r="U328" s="25">
        <v>20860268.32</v>
      </c>
      <c r="V328" s="25"/>
      <c r="W328" s="25"/>
      <c r="X328" s="25"/>
      <c r="Y328" s="25">
        <v>20860268.32</v>
      </c>
      <c r="Z328" s="181">
        <f t="shared" si="195"/>
        <v>82.903279704556539</v>
      </c>
      <c r="AA328" s="25">
        <f t="shared" si="191"/>
        <v>20860268.32</v>
      </c>
      <c r="AB328" s="25">
        <f t="shared" si="240"/>
        <v>25162175</v>
      </c>
      <c r="AC328" s="198"/>
    </row>
    <row r="329" spans="1:29" s="31" customFormat="1" ht="92.25" hidden="1" customHeight="1" x14ac:dyDescent="0.25">
      <c r="A329" s="27"/>
      <c r="B329" s="28"/>
      <c r="C329" s="28"/>
      <c r="D329" s="44" t="s">
        <v>618</v>
      </c>
      <c r="E329" s="30">
        <f t="shared" si="239"/>
        <v>0</v>
      </c>
      <c r="F329" s="30"/>
      <c r="G329" s="30"/>
      <c r="H329" s="30"/>
      <c r="I329" s="30"/>
      <c r="J329" s="30"/>
      <c r="K329" s="30"/>
      <c r="L329" s="30"/>
      <c r="M329" s="182"/>
      <c r="N329" s="30">
        <f t="shared" si="243"/>
        <v>0</v>
      </c>
      <c r="O329" s="30"/>
      <c r="P329" s="30"/>
      <c r="Q329" s="30"/>
      <c r="R329" s="30"/>
      <c r="S329" s="30"/>
      <c r="T329" s="15">
        <f t="shared" si="190"/>
        <v>0</v>
      </c>
      <c r="U329" s="30"/>
      <c r="V329" s="30"/>
      <c r="W329" s="30"/>
      <c r="X329" s="30"/>
      <c r="Y329" s="30"/>
      <c r="Z329" s="182" t="e">
        <f t="shared" si="195"/>
        <v>#DIV/0!</v>
      </c>
      <c r="AA329" s="30">
        <f t="shared" si="191"/>
        <v>0</v>
      </c>
      <c r="AB329" s="30">
        <f t="shared" si="240"/>
        <v>0</v>
      </c>
      <c r="AC329" s="198"/>
    </row>
    <row r="330" spans="1:29" s="26" customFormat="1" ht="30.75" customHeight="1" x14ac:dyDescent="0.25">
      <c r="A330" s="22" t="s">
        <v>264</v>
      </c>
      <c r="B330" s="23" t="str">
        <f>'дод 5'!A252</f>
        <v>7330</v>
      </c>
      <c r="C330" s="23" t="str">
        <f>'дод 5'!B252</f>
        <v>0443</v>
      </c>
      <c r="D330" s="35" t="s">
        <v>709</v>
      </c>
      <c r="E330" s="25">
        <f t="shared" si="239"/>
        <v>0</v>
      </c>
      <c r="F330" s="25"/>
      <c r="G330" s="25"/>
      <c r="H330" s="25"/>
      <c r="I330" s="25"/>
      <c r="J330" s="25"/>
      <c r="K330" s="25"/>
      <c r="L330" s="25"/>
      <c r="M330" s="181"/>
      <c r="N330" s="25">
        <f>P330+S330</f>
        <v>17656663</v>
      </c>
      <c r="O330" s="25">
        <f>10000000+1400000+4500000+300000+2000000-300000+300000-527952-15385</f>
        <v>17656663</v>
      </c>
      <c r="P330" s="25"/>
      <c r="Q330" s="25"/>
      <c r="R330" s="25"/>
      <c r="S330" s="25">
        <f>10000000+1400000+4500000+300000+2000000-300000+300000-527952-15385</f>
        <v>17656663</v>
      </c>
      <c r="T330" s="15">
        <f t="shared" si="190"/>
        <v>10792623.65</v>
      </c>
      <c r="U330" s="25">
        <v>10792623.65</v>
      </c>
      <c r="V330" s="25"/>
      <c r="W330" s="25"/>
      <c r="X330" s="25"/>
      <c r="Y330" s="25">
        <v>10792623.65</v>
      </c>
      <c r="Z330" s="181">
        <f t="shared" si="195"/>
        <v>61.124934252865337</v>
      </c>
      <c r="AA330" s="25">
        <f t="shared" si="191"/>
        <v>10792623.65</v>
      </c>
      <c r="AB330" s="25">
        <f t="shared" si="240"/>
        <v>17656663</v>
      </c>
      <c r="AC330" s="198"/>
    </row>
    <row r="331" spans="1:29" s="26" customFormat="1" ht="33" customHeight="1" x14ac:dyDescent="0.25">
      <c r="A331" s="22" t="s">
        <v>193</v>
      </c>
      <c r="B331" s="23">
        <v>7340</v>
      </c>
      <c r="C331" s="23" t="str">
        <f>'дод 5'!B251</f>
        <v>0443</v>
      </c>
      <c r="D331" s="24" t="str">
        <f>'дод 5'!C254</f>
        <v>Проектування, реставрація та охорона пам'яток архітектури</v>
      </c>
      <c r="E331" s="25">
        <f t="shared" ref="E331:E344" si="249">F331+I331</f>
        <v>0</v>
      </c>
      <c r="F331" s="25"/>
      <c r="G331" s="25"/>
      <c r="H331" s="25"/>
      <c r="I331" s="25"/>
      <c r="J331" s="25"/>
      <c r="K331" s="25"/>
      <c r="L331" s="25"/>
      <c r="M331" s="181"/>
      <c r="N331" s="25">
        <f>P331+S331</f>
        <v>1000000</v>
      </c>
      <c r="O331" s="25">
        <v>1000000</v>
      </c>
      <c r="P331" s="25"/>
      <c r="Q331" s="25"/>
      <c r="R331" s="25"/>
      <c r="S331" s="25">
        <v>1000000</v>
      </c>
      <c r="T331" s="15">
        <f t="shared" si="190"/>
        <v>782300.99</v>
      </c>
      <c r="U331" s="25">
        <v>782300.99</v>
      </c>
      <c r="V331" s="25"/>
      <c r="W331" s="25"/>
      <c r="X331" s="25"/>
      <c r="Y331" s="25">
        <v>782300.99</v>
      </c>
      <c r="Z331" s="181">
        <f t="shared" si="195"/>
        <v>78.230098999999996</v>
      </c>
      <c r="AA331" s="25">
        <f t="shared" si="191"/>
        <v>782300.99</v>
      </c>
      <c r="AB331" s="25">
        <f t="shared" ref="AB331:AB344" si="250">E331+N331</f>
        <v>1000000</v>
      </c>
      <c r="AC331" s="198"/>
    </row>
    <row r="332" spans="1:29" s="26" customFormat="1" ht="49.5" hidden="1" customHeight="1" x14ac:dyDescent="0.25">
      <c r="A332" s="22" t="s">
        <v>356</v>
      </c>
      <c r="B332" s="23">
        <f>'дод 5'!A256</f>
        <v>7361</v>
      </c>
      <c r="C332" s="23" t="str">
        <f>'дод 5'!B256</f>
        <v>0490</v>
      </c>
      <c r="D332" s="24" t="str">
        <f>'дод 5'!C256</f>
        <v>Співфінансування інвестиційних проектів, що реалізуються за рахунок коштів державного фонду регіонального розвитку</v>
      </c>
      <c r="E332" s="25">
        <f t="shared" si="249"/>
        <v>0</v>
      </c>
      <c r="F332" s="25"/>
      <c r="G332" s="25"/>
      <c r="H332" s="25"/>
      <c r="I332" s="25"/>
      <c r="J332" s="25"/>
      <c r="K332" s="25"/>
      <c r="L332" s="25"/>
      <c r="M332" s="181" t="e">
        <f t="shared" si="187"/>
        <v>#DIV/0!</v>
      </c>
      <c r="N332" s="25">
        <f t="shared" ref="N332:N349" si="251">P332+S332</f>
        <v>0</v>
      </c>
      <c r="O332" s="25"/>
      <c r="P332" s="25"/>
      <c r="Q332" s="25"/>
      <c r="R332" s="25"/>
      <c r="S332" s="25"/>
      <c r="T332" s="15">
        <f t="shared" si="190"/>
        <v>0</v>
      </c>
      <c r="U332" s="25"/>
      <c r="V332" s="25"/>
      <c r="W332" s="25"/>
      <c r="X332" s="25"/>
      <c r="Y332" s="25"/>
      <c r="Z332" s="181" t="e">
        <f t="shared" si="195"/>
        <v>#DIV/0!</v>
      </c>
      <c r="AA332" s="25">
        <f t="shared" si="191"/>
        <v>0</v>
      </c>
      <c r="AB332" s="25">
        <f t="shared" si="250"/>
        <v>0</v>
      </c>
      <c r="AC332" s="198"/>
    </row>
    <row r="333" spans="1:29" s="26" customFormat="1" ht="30" hidden="1" customHeight="1" x14ac:dyDescent="0.25">
      <c r="A333" s="22">
        <v>1217362</v>
      </c>
      <c r="B333" s="23">
        <f>'дод 5'!A257</f>
        <v>7362</v>
      </c>
      <c r="C333" s="23" t="str">
        <f>'дод 5'!B257</f>
        <v>0490</v>
      </c>
      <c r="D333" s="24" t="str">
        <f>'дод 5'!C257</f>
        <v>Виконання інвестиційних проектів в рамках підтримки розвитку об'єднаних територіальних громад</v>
      </c>
      <c r="E333" s="25">
        <f t="shared" si="249"/>
        <v>0</v>
      </c>
      <c r="F333" s="25"/>
      <c r="G333" s="25"/>
      <c r="H333" s="25"/>
      <c r="I333" s="25"/>
      <c r="J333" s="25"/>
      <c r="K333" s="25"/>
      <c r="L333" s="25"/>
      <c r="M333" s="181" t="e">
        <f t="shared" si="187"/>
        <v>#DIV/0!</v>
      </c>
      <c r="N333" s="25">
        <f t="shared" si="251"/>
        <v>0</v>
      </c>
      <c r="O333" s="25"/>
      <c r="P333" s="25"/>
      <c r="Q333" s="25"/>
      <c r="R333" s="25"/>
      <c r="S333" s="25"/>
      <c r="T333" s="15">
        <f t="shared" si="190"/>
        <v>0</v>
      </c>
      <c r="U333" s="25"/>
      <c r="V333" s="25"/>
      <c r="W333" s="25"/>
      <c r="X333" s="25"/>
      <c r="Y333" s="25"/>
      <c r="Z333" s="181" t="e">
        <f t="shared" si="195"/>
        <v>#DIV/0!</v>
      </c>
      <c r="AA333" s="25">
        <f t="shared" si="191"/>
        <v>0</v>
      </c>
      <c r="AB333" s="25">
        <f t="shared" si="250"/>
        <v>0</v>
      </c>
      <c r="AC333" s="198"/>
    </row>
    <row r="334" spans="1:29" s="26" customFormat="1" ht="56.25" hidden="1" customHeight="1" x14ac:dyDescent="0.25">
      <c r="A334" s="22" t="s">
        <v>354</v>
      </c>
      <c r="B334" s="23">
        <v>7363</v>
      </c>
      <c r="C334" s="45" t="s">
        <v>78</v>
      </c>
      <c r="D334" s="24" t="s">
        <v>552</v>
      </c>
      <c r="E334" s="25">
        <f t="shared" si="249"/>
        <v>0</v>
      </c>
      <c r="F334" s="25"/>
      <c r="G334" s="25"/>
      <c r="H334" s="25"/>
      <c r="I334" s="25"/>
      <c r="J334" s="25"/>
      <c r="K334" s="25"/>
      <c r="L334" s="25"/>
      <c r="M334" s="181" t="e">
        <f t="shared" si="187"/>
        <v>#DIV/0!</v>
      </c>
      <c r="N334" s="25">
        <f t="shared" si="251"/>
        <v>0</v>
      </c>
      <c r="O334" s="25"/>
      <c r="P334" s="25"/>
      <c r="Q334" s="25"/>
      <c r="R334" s="25"/>
      <c r="S334" s="25"/>
      <c r="T334" s="15">
        <f t="shared" si="190"/>
        <v>0</v>
      </c>
      <c r="U334" s="25"/>
      <c r="V334" s="25"/>
      <c r="W334" s="25"/>
      <c r="X334" s="25"/>
      <c r="Y334" s="25"/>
      <c r="Z334" s="181" t="e">
        <f t="shared" si="195"/>
        <v>#DIV/0!</v>
      </c>
      <c r="AA334" s="25">
        <f t="shared" si="191"/>
        <v>0</v>
      </c>
      <c r="AB334" s="25">
        <f t="shared" si="250"/>
        <v>0</v>
      </c>
      <c r="AC334" s="198"/>
    </row>
    <row r="335" spans="1:29" s="31" customFormat="1" ht="50.25" hidden="1" customHeight="1" x14ac:dyDescent="0.25">
      <c r="A335" s="27"/>
      <c r="B335" s="28"/>
      <c r="C335" s="28"/>
      <c r="D335" s="29" t="s">
        <v>374</v>
      </c>
      <c r="E335" s="25">
        <f t="shared" si="249"/>
        <v>0</v>
      </c>
      <c r="F335" s="30"/>
      <c r="G335" s="30"/>
      <c r="H335" s="30"/>
      <c r="I335" s="30"/>
      <c r="J335" s="30"/>
      <c r="K335" s="30"/>
      <c r="L335" s="30"/>
      <c r="M335" s="181" t="e">
        <f t="shared" si="187"/>
        <v>#DIV/0!</v>
      </c>
      <c r="N335" s="25">
        <f t="shared" si="251"/>
        <v>0</v>
      </c>
      <c r="O335" s="30"/>
      <c r="P335" s="30"/>
      <c r="Q335" s="30"/>
      <c r="R335" s="30"/>
      <c r="S335" s="30"/>
      <c r="T335" s="15">
        <f t="shared" si="190"/>
        <v>0</v>
      </c>
      <c r="U335" s="30"/>
      <c r="V335" s="30"/>
      <c r="W335" s="30"/>
      <c r="X335" s="30"/>
      <c r="Y335" s="30"/>
      <c r="Z335" s="181" t="e">
        <f t="shared" si="195"/>
        <v>#DIV/0!</v>
      </c>
      <c r="AA335" s="25">
        <f t="shared" si="191"/>
        <v>0</v>
      </c>
      <c r="AB335" s="25">
        <f t="shared" si="250"/>
        <v>0</v>
      </c>
      <c r="AC335" s="198"/>
    </row>
    <row r="336" spans="1:29" s="31" customFormat="1" ht="31.5" hidden="1" customHeight="1" x14ac:dyDescent="0.25">
      <c r="A336" s="22" t="s">
        <v>520</v>
      </c>
      <c r="B336" s="23">
        <v>7368</v>
      </c>
      <c r="C336" s="45" t="s">
        <v>78</v>
      </c>
      <c r="D336" s="24" t="s">
        <v>521</v>
      </c>
      <c r="E336" s="25">
        <f t="shared" si="249"/>
        <v>0</v>
      </c>
      <c r="F336" s="30"/>
      <c r="G336" s="30"/>
      <c r="H336" s="30"/>
      <c r="I336" s="30"/>
      <c r="J336" s="30"/>
      <c r="K336" s="30"/>
      <c r="L336" s="30"/>
      <c r="M336" s="181" t="e">
        <f t="shared" si="187"/>
        <v>#DIV/0!</v>
      </c>
      <c r="N336" s="25">
        <f t="shared" si="251"/>
        <v>0</v>
      </c>
      <c r="O336" s="25"/>
      <c r="P336" s="25"/>
      <c r="Q336" s="25"/>
      <c r="R336" s="25"/>
      <c r="S336" s="25"/>
      <c r="T336" s="15">
        <f t="shared" si="190"/>
        <v>0</v>
      </c>
      <c r="U336" s="25"/>
      <c r="V336" s="25"/>
      <c r="W336" s="25"/>
      <c r="X336" s="25"/>
      <c r="Y336" s="25"/>
      <c r="Z336" s="181" t="e">
        <f t="shared" si="195"/>
        <v>#DIV/0!</v>
      </c>
      <c r="AA336" s="25">
        <f t="shared" si="191"/>
        <v>0</v>
      </c>
      <c r="AB336" s="25">
        <f t="shared" si="250"/>
        <v>0</v>
      </c>
      <c r="AC336" s="198"/>
    </row>
    <row r="337" spans="1:29" s="31" customFormat="1" ht="15.75" hidden="1" customHeight="1" x14ac:dyDescent="0.25">
      <c r="A337" s="27"/>
      <c r="B337" s="28"/>
      <c r="C337" s="28"/>
      <c r="D337" s="29" t="s">
        <v>379</v>
      </c>
      <c r="E337" s="25">
        <f t="shared" si="249"/>
        <v>0</v>
      </c>
      <c r="F337" s="30"/>
      <c r="G337" s="30"/>
      <c r="H337" s="30"/>
      <c r="I337" s="30"/>
      <c r="J337" s="30"/>
      <c r="K337" s="30"/>
      <c r="L337" s="30"/>
      <c r="M337" s="181" t="e">
        <f t="shared" si="187"/>
        <v>#DIV/0!</v>
      </c>
      <c r="N337" s="25">
        <f t="shared" si="251"/>
        <v>0</v>
      </c>
      <c r="O337" s="30"/>
      <c r="P337" s="30"/>
      <c r="Q337" s="30"/>
      <c r="R337" s="30"/>
      <c r="S337" s="30"/>
      <c r="T337" s="15">
        <f t="shared" si="190"/>
        <v>0</v>
      </c>
      <c r="U337" s="30"/>
      <c r="V337" s="30"/>
      <c r="W337" s="30"/>
      <c r="X337" s="30"/>
      <c r="Y337" s="30"/>
      <c r="Z337" s="181" t="e">
        <f t="shared" si="195"/>
        <v>#DIV/0!</v>
      </c>
      <c r="AA337" s="25">
        <f t="shared" si="191"/>
        <v>0</v>
      </c>
      <c r="AB337" s="25">
        <f t="shared" si="250"/>
        <v>0</v>
      </c>
      <c r="AC337" s="198"/>
    </row>
    <row r="338" spans="1:29" s="31" customFormat="1" ht="110.25" hidden="1" customHeight="1" x14ac:dyDescent="0.25">
      <c r="A338" s="27"/>
      <c r="B338" s="28"/>
      <c r="C338" s="28"/>
      <c r="D338" s="29" t="s">
        <v>381</v>
      </c>
      <c r="E338" s="25">
        <f t="shared" si="249"/>
        <v>0</v>
      </c>
      <c r="F338" s="30"/>
      <c r="G338" s="30"/>
      <c r="H338" s="30"/>
      <c r="I338" s="30"/>
      <c r="J338" s="30"/>
      <c r="K338" s="30"/>
      <c r="L338" s="30"/>
      <c r="M338" s="181" t="e">
        <f t="shared" ref="M338:M388" si="252">J338/E338*100</f>
        <v>#DIV/0!</v>
      </c>
      <c r="N338" s="25">
        <f t="shared" si="251"/>
        <v>0</v>
      </c>
      <c r="O338" s="30"/>
      <c r="P338" s="30"/>
      <c r="Q338" s="30"/>
      <c r="R338" s="30"/>
      <c r="S338" s="30"/>
      <c r="T338" s="15">
        <f t="shared" ref="T338:T401" si="253">V338+Y338</f>
        <v>0</v>
      </c>
      <c r="U338" s="30"/>
      <c r="V338" s="30"/>
      <c r="W338" s="30"/>
      <c r="X338" s="30"/>
      <c r="Y338" s="30"/>
      <c r="Z338" s="181" t="e">
        <f t="shared" ref="Z338:Z401" si="254">T338/N338*100</f>
        <v>#DIV/0!</v>
      </c>
      <c r="AA338" s="25">
        <f t="shared" ref="AA338:AA401" si="255">J338+T338</f>
        <v>0</v>
      </c>
      <c r="AB338" s="25">
        <f t="shared" si="250"/>
        <v>0</v>
      </c>
      <c r="AC338" s="198"/>
    </row>
    <row r="339" spans="1:29" s="31" customFormat="1" ht="87" hidden="1" customHeight="1" x14ac:dyDescent="0.25">
      <c r="A339" s="27"/>
      <c r="B339" s="28"/>
      <c r="C339" s="27"/>
      <c r="D339" s="29" t="s">
        <v>490</v>
      </c>
      <c r="E339" s="25">
        <f t="shared" si="249"/>
        <v>0</v>
      </c>
      <c r="F339" s="30"/>
      <c r="G339" s="30"/>
      <c r="H339" s="30"/>
      <c r="I339" s="30"/>
      <c r="J339" s="30"/>
      <c r="K339" s="30"/>
      <c r="L339" s="30"/>
      <c r="M339" s="181" t="e">
        <f t="shared" si="252"/>
        <v>#DIV/0!</v>
      </c>
      <c r="N339" s="25">
        <f t="shared" si="251"/>
        <v>0</v>
      </c>
      <c r="O339" s="30"/>
      <c r="P339" s="30"/>
      <c r="Q339" s="30"/>
      <c r="R339" s="30"/>
      <c r="S339" s="30"/>
      <c r="T339" s="15">
        <f t="shared" si="253"/>
        <v>0</v>
      </c>
      <c r="U339" s="30"/>
      <c r="V339" s="30"/>
      <c r="W339" s="30"/>
      <c r="X339" s="30"/>
      <c r="Y339" s="30"/>
      <c r="Z339" s="181" t="e">
        <f t="shared" si="254"/>
        <v>#DIV/0!</v>
      </c>
      <c r="AA339" s="25">
        <f t="shared" si="255"/>
        <v>0</v>
      </c>
      <c r="AB339" s="25">
        <f t="shared" si="250"/>
        <v>0</v>
      </c>
      <c r="AC339" s="198"/>
    </row>
    <row r="340" spans="1:29" s="31" customFormat="1" ht="63.75" hidden="1" customHeight="1" x14ac:dyDescent="0.25">
      <c r="A340" s="22" t="s">
        <v>518</v>
      </c>
      <c r="B340" s="23">
        <v>7463</v>
      </c>
      <c r="C340" s="22" t="s">
        <v>384</v>
      </c>
      <c r="D340" s="36" t="s">
        <v>519</v>
      </c>
      <c r="E340" s="25">
        <f t="shared" si="249"/>
        <v>0</v>
      </c>
      <c r="F340" s="25"/>
      <c r="G340" s="30"/>
      <c r="H340" s="30"/>
      <c r="I340" s="30"/>
      <c r="J340" s="30"/>
      <c r="K340" s="30"/>
      <c r="L340" s="30"/>
      <c r="M340" s="181" t="e">
        <f t="shared" si="252"/>
        <v>#DIV/0!</v>
      </c>
      <c r="N340" s="25">
        <f t="shared" si="251"/>
        <v>0</v>
      </c>
      <c r="O340" s="30"/>
      <c r="P340" s="30"/>
      <c r="Q340" s="30"/>
      <c r="R340" s="30"/>
      <c r="S340" s="30"/>
      <c r="T340" s="15">
        <f t="shared" si="253"/>
        <v>0</v>
      </c>
      <c r="U340" s="30"/>
      <c r="V340" s="30"/>
      <c r="W340" s="30"/>
      <c r="X340" s="30"/>
      <c r="Y340" s="30"/>
      <c r="Z340" s="181" t="e">
        <f t="shared" si="254"/>
        <v>#DIV/0!</v>
      </c>
      <c r="AA340" s="25">
        <f t="shared" si="255"/>
        <v>0</v>
      </c>
      <c r="AB340" s="25">
        <f t="shared" si="250"/>
        <v>0</v>
      </c>
      <c r="AC340" s="198"/>
    </row>
    <row r="341" spans="1:29" s="31" customFormat="1" ht="15.75" hidden="1" customHeight="1" x14ac:dyDescent="0.25">
      <c r="A341" s="27"/>
      <c r="B341" s="28"/>
      <c r="C341" s="27"/>
      <c r="D341" s="29" t="s">
        <v>379</v>
      </c>
      <c r="E341" s="25">
        <f t="shared" si="249"/>
        <v>0</v>
      </c>
      <c r="F341" s="30"/>
      <c r="G341" s="30"/>
      <c r="H341" s="30"/>
      <c r="I341" s="30"/>
      <c r="J341" s="30"/>
      <c r="K341" s="30"/>
      <c r="L341" s="30"/>
      <c r="M341" s="181" t="e">
        <f t="shared" si="252"/>
        <v>#DIV/0!</v>
      </c>
      <c r="N341" s="25">
        <f t="shared" si="251"/>
        <v>0</v>
      </c>
      <c r="O341" s="30"/>
      <c r="P341" s="30"/>
      <c r="Q341" s="30"/>
      <c r="R341" s="30"/>
      <c r="S341" s="30"/>
      <c r="T341" s="15">
        <f t="shared" si="253"/>
        <v>0</v>
      </c>
      <c r="U341" s="30"/>
      <c r="V341" s="30"/>
      <c r="W341" s="30"/>
      <c r="X341" s="30"/>
      <c r="Y341" s="30"/>
      <c r="Z341" s="181" t="e">
        <f t="shared" si="254"/>
        <v>#DIV/0!</v>
      </c>
      <c r="AA341" s="25">
        <f t="shared" si="255"/>
        <v>0</v>
      </c>
      <c r="AB341" s="25">
        <f t="shared" si="250"/>
        <v>0</v>
      </c>
      <c r="AC341" s="198"/>
    </row>
    <row r="342" spans="1:29" s="31" customFormat="1" ht="31.5" hidden="1" customHeight="1" x14ac:dyDescent="0.25">
      <c r="A342" s="22" t="s">
        <v>405</v>
      </c>
      <c r="B342" s="23">
        <v>7530</v>
      </c>
      <c r="C342" s="22" t="s">
        <v>228</v>
      </c>
      <c r="D342" s="42" t="s">
        <v>226</v>
      </c>
      <c r="E342" s="25">
        <f t="shared" si="249"/>
        <v>0</v>
      </c>
      <c r="F342" s="25"/>
      <c r="G342" s="30"/>
      <c r="H342" s="30"/>
      <c r="I342" s="30"/>
      <c r="J342" s="30"/>
      <c r="K342" s="30"/>
      <c r="L342" s="30"/>
      <c r="M342" s="181" t="e">
        <f t="shared" si="252"/>
        <v>#DIV/0!</v>
      </c>
      <c r="N342" s="25">
        <f t="shared" si="251"/>
        <v>0</v>
      </c>
      <c r="O342" s="25"/>
      <c r="P342" s="25"/>
      <c r="Q342" s="25"/>
      <c r="R342" s="25"/>
      <c r="S342" s="25"/>
      <c r="T342" s="15">
        <f t="shared" si="253"/>
        <v>0</v>
      </c>
      <c r="U342" s="25"/>
      <c r="V342" s="25"/>
      <c r="W342" s="25"/>
      <c r="X342" s="25"/>
      <c r="Y342" s="25"/>
      <c r="Z342" s="181" t="e">
        <f t="shared" si="254"/>
        <v>#DIV/0!</v>
      </c>
      <c r="AA342" s="25">
        <f t="shared" si="255"/>
        <v>0</v>
      </c>
      <c r="AB342" s="25">
        <f t="shared" si="250"/>
        <v>0</v>
      </c>
      <c r="AC342" s="198"/>
    </row>
    <row r="343" spans="1:29" s="31" customFormat="1" ht="60.4" customHeight="1" x14ac:dyDescent="0.25">
      <c r="A343" s="22" t="s">
        <v>644</v>
      </c>
      <c r="B343" s="23">
        <v>7375</v>
      </c>
      <c r="C343" s="22" t="s">
        <v>78</v>
      </c>
      <c r="D343" s="42" t="s">
        <v>737</v>
      </c>
      <c r="E343" s="25">
        <f t="shared" si="249"/>
        <v>1800000</v>
      </c>
      <c r="F343" s="25">
        <f>7000000-1200000-2000000-2000000</f>
        <v>1800000</v>
      </c>
      <c r="G343" s="30"/>
      <c r="H343" s="30"/>
      <c r="I343" s="30"/>
      <c r="J343" s="30">
        <v>532007.93999999994</v>
      </c>
      <c r="K343" s="30"/>
      <c r="L343" s="30"/>
      <c r="M343" s="181">
        <f t="shared" si="252"/>
        <v>29.555996666666662</v>
      </c>
      <c r="N343" s="25">
        <f t="shared" si="251"/>
        <v>2700000</v>
      </c>
      <c r="O343" s="25">
        <f>1500000+1200000</f>
        <v>2700000</v>
      </c>
      <c r="P343" s="25"/>
      <c r="Q343" s="25"/>
      <c r="R343" s="25"/>
      <c r="S343" s="25">
        <f>1500000+1200000</f>
        <v>2700000</v>
      </c>
      <c r="T343" s="15">
        <f t="shared" si="253"/>
        <v>1376268.92</v>
      </c>
      <c r="U343" s="25">
        <v>1376268.92</v>
      </c>
      <c r="V343" s="25"/>
      <c r="W343" s="25"/>
      <c r="X343" s="25"/>
      <c r="Y343" s="25">
        <v>1376268.92</v>
      </c>
      <c r="Z343" s="181">
        <f t="shared" si="254"/>
        <v>50.972922962962961</v>
      </c>
      <c r="AA343" s="25">
        <f t="shared" si="255"/>
        <v>1908276.8599999999</v>
      </c>
      <c r="AB343" s="25">
        <f t="shared" si="250"/>
        <v>4500000</v>
      </c>
      <c r="AC343" s="198"/>
    </row>
    <row r="344" spans="1:29" s="31" customFormat="1" ht="15.75" hidden="1" customHeight="1" x14ac:dyDescent="0.25">
      <c r="A344" s="27"/>
      <c r="B344" s="28"/>
      <c r="C344" s="27"/>
      <c r="D344" s="43" t="s">
        <v>379</v>
      </c>
      <c r="E344" s="30">
        <f t="shared" si="249"/>
        <v>0</v>
      </c>
      <c r="F344" s="30"/>
      <c r="G344" s="30"/>
      <c r="H344" s="30"/>
      <c r="I344" s="30"/>
      <c r="J344" s="30"/>
      <c r="K344" s="30"/>
      <c r="L344" s="30"/>
      <c r="M344" s="182" t="e">
        <f t="shared" si="252"/>
        <v>#DIV/0!</v>
      </c>
      <c r="N344" s="30">
        <f t="shared" si="251"/>
        <v>0</v>
      </c>
      <c r="O344" s="30"/>
      <c r="P344" s="30"/>
      <c r="Q344" s="30"/>
      <c r="R344" s="30"/>
      <c r="S344" s="30"/>
      <c r="T344" s="15">
        <f t="shared" si="253"/>
        <v>0</v>
      </c>
      <c r="U344" s="30"/>
      <c r="V344" s="30"/>
      <c r="W344" s="30"/>
      <c r="X344" s="30"/>
      <c r="Y344" s="30"/>
      <c r="Z344" s="182" t="e">
        <f t="shared" si="254"/>
        <v>#DIV/0!</v>
      </c>
      <c r="AA344" s="30">
        <f t="shared" si="255"/>
        <v>0</v>
      </c>
      <c r="AB344" s="30">
        <f t="shared" si="250"/>
        <v>0</v>
      </c>
      <c r="AC344" s="198"/>
    </row>
    <row r="345" spans="1:29" s="31" customFormat="1" ht="49.5" hidden="1" customHeight="1" x14ac:dyDescent="0.25">
      <c r="A345" s="22" t="s">
        <v>620</v>
      </c>
      <c r="B345" s="23">
        <v>7383</v>
      </c>
      <c r="C345" s="22" t="s">
        <v>78</v>
      </c>
      <c r="D345" s="24" t="str">
        <f>'дод 5'!C265</f>
        <v>Реалізація проектів (об'єктів, заходів) за рахунок коштів фонду ліквідації наслідків збройної агресії, у т. ч. за рахунок:</v>
      </c>
      <c r="E345" s="25">
        <f>F345+I345</f>
        <v>0</v>
      </c>
      <c r="F345" s="25"/>
      <c r="G345" s="30"/>
      <c r="H345" s="30"/>
      <c r="I345" s="30"/>
      <c r="J345" s="30"/>
      <c r="K345" s="30"/>
      <c r="L345" s="30"/>
      <c r="M345" s="181" t="e">
        <f t="shared" si="252"/>
        <v>#DIV/0!</v>
      </c>
      <c r="N345" s="25">
        <f t="shared" si="251"/>
        <v>0</v>
      </c>
      <c r="O345" s="25"/>
      <c r="P345" s="25"/>
      <c r="Q345" s="25"/>
      <c r="R345" s="25"/>
      <c r="S345" s="25"/>
      <c r="T345" s="15">
        <f t="shared" si="253"/>
        <v>0</v>
      </c>
      <c r="U345" s="25"/>
      <c r="V345" s="25"/>
      <c r="W345" s="25"/>
      <c r="X345" s="25"/>
      <c r="Y345" s="25"/>
      <c r="Z345" s="181" t="e">
        <f t="shared" si="254"/>
        <v>#DIV/0!</v>
      </c>
      <c r="AA345" s="25">
        <f t="shared" si="255"/>
        <v>0</v>
      </c>
      <c r="AB345" s="25">
        <f t="shared" si="240"/>
        <v>0</v>
      </c>
      <c r="AC345" s="198"/>
    </row>
    <row r="346" spans="1:29" s="31" customFormat="1" ht="65.25" hidden="1" customHeight="1" x14ac:dyDescent="0.25">
      <c r="A346" s="22"/>
      <c r="B346" s="23"/>
      <c r="C346" s="22"/>
      <c r="D346" s="29" t="str">
        <f>'дод 5'!C266</f>
        <v>субвенції з державного бюджету місцевим бюджетам на реалізацію проектів (об'єктів, заходів), спрямованих на ліквідацію наслідків збройної агресії</v>
      </c>
      <c r="E346" s="25">
        <f t="shared" ref="E346:E351" si="256">F346+I346</f>
        <v>0</v>
      </c>
      <c r="F346" s="25"/>
      <c r="G346" s="30"/>
      <c r="H346" s="30"/>
      <c r="I346" s="30"/>
      <c r="J346" s="30"/>
      <c r="K346" s="30"/>
      <c r="L346" s="30"/>
      <c r="M346" s="181" t="e">
        <f t="shared" si="252"/>
        <v>#DIV/0!</v>
      </c>
      <c r="N346" s="25">
        <f t="shared" si="251"/>
        <v>0</v>
      </c>
      <c r="O346" s="25"/>
      <c r="P346" s="25"/>
      <c r="Q346" s="25"/>
      <c r="R346" s="25"/>
      <c r="S346" s="25"/>
      <c r="T346" s="15">
        <f t="shared" si="253"/>
        <v>0</v>
      </c>
      <c r="U346" s="25"/>
      <c r="V346" s="25"/>
      <c r="W346" s="25"/>
      <c r="X346" s="25"/>
      <c r="Y346" s="25"/>
      <c r="Z346" s="181" t="e">
        <f t="shared" si="254"/>
        <v>#DIV/0!</v>
      </c>
      <c r="AA346" s="25">
        <f t="shared" si="255"/>
        <v>0</v>
      </c>
      <c r="AB346" s="30">
        <f>E346+N346</f>
        <v>0</v>
      </c>
      <c r="AC346" s="198"/>
    </row>
    <row r="347" spans="1:29" s="31" customFormat="1" ht="65.25" hidden="1" customHeight="1" x14ac:dyDescent="0.25">
      <c r="A347" s="22" t="s">
        <v>638</v>
      </c>
      <c r="B347" s="23" t="str">
        <f>'дод 5'!A279</f>
        <v>7461</v>
      </c>
      <c r="C347" s="23" t="str">
        <f>'дод 5'!B279</f>
        <v>0456</v>
      </c>
      <c r="D347" s="36" t="str">
        <f>'дод 5'!C279</f>
        <v>Утримання та розвиток автомобільних доріг та дорожньої інфраструктури за рахунок коштів місцевого бюджету</v>
      </c>
      <c r="E347" s="25">
        <f t="shared" si="256"/>
        <v>0</v>
      </c>
      <c r="F347" s="25"/>
      <c r="G347" s="30"/>
      <c r="H347" s="30"/>
      <c r="I347" s="30"/>
      <c r="J347" s="30"/>
      <c r="K347" s="30"/>
      <c r="L347" s="30"/>
      <c r="M347" s="181" t="e">
        <f t="shared" si="252"/>
        <v>#DIV/0!</v>
      </c>
      <c r="N347" s="25">
        <f t="shared" si="251"/>
        <v>0</v>
      </c>
      <c r="O347" s="25"/>
      <c r="P347" s="25"/>
      <c r="Q347" s="25"/>
      <c r="R347" s="25"/>
      <c r="S347" s="25"/>
      <c r="T347" s="15">
        <f t="shared" si="253"/>
        <v>0</v>
      </c>
      <c r="U347" s="25"/>
      <c r="V347" s="25"/>
      <c r="W347" s="25"/>
      <c r="X347" s="25"/>
      <c r="Y347" s="25"/>
      <c r="Z347" s="181" t="e">
        <f t="shared" si="254"/>
        <v>#DIV/0!</v>
      </c>
      <c r="AA347" s="25">
        <f t="shared" si="255"/>
        <v>0</v>
      </c>
      <c r="AB347" s="25">
        <f>E347+N347</f>
        <v>0</v>
      </c>
      <c r="AC347" s="198"/>
    </row>
    <row r="348" spans="1:29" s="26" customFormat="1" ht="47.25" hidden="1" customHeight="1" x14ac:dyDescent="0.25">
      <c r="A348" s="22" t="s">
        <v>360</v>
      </c>
      <c r="B348" s="23" t="str">
        <f>'дод 5'!A280</f>
        <v>7462</v>
      </c>
      <c r="C348" s="23" t="str">
        <f>'дод 5'!B280</f>
        <v>0456</v>
      </c>
      <c r="D348" s="36" t="str">
        <f>'дод 5'!C280</f>
        <v>Утримання та розвиток автомобільних доріг та дорожньої інфраструктури за рахунок субвенції з державного бюджету, у т.ч. за рахунок:</v>
      </c>
      <c r="E348" s="25">
        <f t="shared" si="256"/>
        <v>0</v>
      </c>
      <c r="F348" s="25"/>
      <c r="G348" s="25"/>
      <c r="H348" s="25"/>
      <c r="I348" s="25"/>
      <c r="J348" s="25"/>
      <c r="K348" s="25"/>
      <c r="L348" s="25"/>
      <c r="M348" s="181" t="e">
        <f t="shared" si="252"/>
        <v>#DIV/0!</v>
      </c>
      <c r="N348" s="25">
        <f t="shared" si="251"/>
        <v>0</v>
      </c>
      <c r="O348" s="25"/>
      <c r="P348" s="25"/>
      <c r="Q348" s="25"/>
      <c r="R348" s="25"/>
      <c r="S348" s="25"/>
      <c r="T348" s="15">
        <f t="shared" si="253"/>
        <v>0</v>
      </c>
      <c r="U348" s="25"/>
      <c r="V348" s="25"/>
      <c r="W348" s="25"/>
      <c r="X348" s="25"/>
      <c r="Y348" s="25"/>
      <c r="Z348" s="181" t="e">
        <f t="shared" si="254"/>
        <v>#DIV/0!</v>
      </c>
      <c r="AA348" s="25">
        <f t="shared" si="255"/>
        <v>0</v>
      </c>
      <c r="AB348" s="25">
        <f>E348+N348</f>
        <v>0</v>
      </c>
      <c r="AC348" s="198"/>
    </row>
    <row r="349" spans="1:29" s="26" customFormat="1" ht="111" hidden="1" customHeight="1" x14ac:dyDescent="0.25">
      <c r="A349" s="22"/>
      <c r="B349" s="23"/>
      <c r="C349" s="22"/>
      <c r="D349" s="43" t="s">
        <v>641</v>
      </c>
      <c r="E349" s="25">
        <f t="shared" si="256"/>
        <v>0</v>
      </c>
      <c r="F349" s="25"/>
      <c r="G349" s="25"/>
      <c r="H349" s="25"/>
      <c r="I349" s="25"/>
      <c r="J349" s="25"/>
      <c r="K349" s="25"/>
      <c r="L349" s="25"/>
      <c r="M349" s="181" t="e">
        <f t="shared" si="252"/>
        <v>#DIV/0!</v>
      </c>
      <c r="N349" s="25">
        <f t="shared" si="251"/>
        <v>0</v>
      </c>
      <c r="O349" s="30"/>
      <c r="P349" s="30"/>
      <c r="Q349" s="30"/>
      <c r="R349" s="30"/>
      <c r="S349" s="30"/>
      <c r="T349" s="15">
        <f t="shared" si="253"/>
        <v>0</v>
      </c>
      <c r="U349" s="30"/>
      <c r="V349" s="30"/>
      <c r="W349" s="30"/>
      <c r="X349" s="30"/>
      <c r="Y349" s="30"/>
      <c r="Z349" s="181" t="e">
        <f t="shared" si="254"/>
        <v>#DIV/0!</v>
      </c>
      <c r="AA349" s="25">
        <f t="shared" si="255"/>
        <v>0</v>
      </c>
      <c r="AB349" s="30">
        <f>E349+N349</f>
        <v>0</v>
      </c>
      <c r="AC349" s="198"/>
    </row>
    <row r="350" spans="1:29" s="26" customFormat="1" ht="94.15" customHeight="1" x14ac:dyDescent="0.25">
      <c r="A350" s="22" t="s">
        <v>658</v>
      </c>
      <c r="B350" s="23">
        <v>7384</v>
      </c>
      <c r="C350" s="22" t="s">
        <v>78</v>
      </c>
      <c r="D350" s="33" t="s">
        <v>656</v>
      </c>
      <c r="E350" s="25">
        <f t="shared" si="256"/>
        <v>0</v>
      </c>
      <c r="F350" s="25">
        <v>0</v>
      </c>
      <c r="G350" s="25">
        <v>0</v>
      </c>
      <c r="H350" s="25">
        <v>0</v>
      </c>
      <c r="I350" s="25"/>
      <c r="J350" s="25"/>
      <c r="K350" s="25"/>
      <c r="L350" s="25"/>
      <c r="M350" s="181"/>
      <c r="N350" s="25">
        <f t="shared" ref="N350:N351" si="257">P350+S350</f>
        <v>15622974</v>
      </c>
      <c r="O350" s="25"/>
      <c r="P350" s="30"/>
      <c r="Q350" s="30"/>
      <c r="R350" s="30"/>
      <c r="S350" s="25">
        <v>15622974</v>
      </c>
      <c r="T350" s="15">
        <f t="shared" si="253"/>
        <v>9058904.0999999996</v>
      </c>
      <c r="U350" s="25"/>
      <c r="V350" s="25"/>
      <c r="W350" s="25"/>
      <c r="X350" s="25"/>
      <c r="Y350" s="25">
        <v>9058904.0999999996</v>
      </c>
      <c r="Z350" s="181">
        <f t="shared" si="254"/>
        <v>57.984504742822971</v>
      </c>
      <c r="AA350" s="25">
        <f t="shared" si="255"/>
        <v>9058904.0999999996</v>
      </c>
      <c r="AB350" s="25">
        <f t="shared" ref="AB350:AB351" si="258">E350+N350</f>
        <v>15622974</v>
      </c>
      <c r="AC350" s="198"/>
    </row>
    <row r="351" spans="1:29" s="26" customFormat="1" ht="111" customHeight="1" x14ac:dyDescent="0.25">
      <c r="A351" s="27"/>
      <c r="B351" s="28"/>
      <c r="C351" s="27"/>
      <c r="D351" s="44" t="s">
        <v>660</v>
      </c>
      <c r="E351" s="30">
        <f t="shared" si="256"/>
        <v>0</v>
      </c>
      <c r="F351" s="30">
        <v>0</v>
      </c>
      <c r="G351" s="30">
        <v>0</v>
      </c>
      <c r="H351" s="30">
        <v>0</v>
      </c>
      <c r="I351" s="30"/>
      <c r="J351" s="30"/>
      <c r="K351" s="30"/>
      <c r="L351" s="30"/>
      <c r="M351" s="182"/>
      <c r="N351" s="30">
        <f t="shared" si="257"/>
        <v>15622974</v>
      </c>
      <c r="O351" s="30"/>
      <c r="P351" s="30"/>
      <c r="Q351" s="30"/>
      <c r="R351" s="30"/>
      <c r="S351" s="30">
        <v>15622974</v>
      </c>
      <c r="T351" s="15">
        <f t="shared" si="253"/>
        <v>9058904.0999999996</v>
      </c>
      <c r="U351" s="30"/>
      <c r="V351" s="30"/>
      <c r="W351" s="30"/>
      <c r="X351" s="30"/>
      <c r="Y351" s="30">
        <v>9058904.0999999996</v>
      </c>
      <c r="Z351" s="182">
        <f t="shared" si="254"/>
        <v>57.984504742822971</v>
      </c>
      <c r="AA351" s="30">
        <f t="shared" si="255"/>
        <v>9058904.0999999996</v>
      </c>
      <c r="AB351" s="30">
        <f t="shared" si="258"/>
        <v>15622974</v>
      </c>
      <c r="AC351" s="198"/>
    </row>
    <row r="352" spans="1:29" s="26" customFormat="1" ht="42" customHeight="1" x14ac:dyDescent="0.25">
      <c r="A352" s="22" t="s">
        <v>720</v>
      </c>
      <c r="B352" s="23" t="str">
        <f>'дод 5'!A273</f>
        <v>7412</v>
      </c>
      <c r="C352" s="23" t="str">
        <f>'дод 5'!B273</f>
        <v>0451</v>
      </c>
      <c r="D352" s="36" t="str">
        <f>'дод 5'!C273</f>
        <v>Регулювання цін на послуги місцевого автотранспорту</v>
      </c>
      <c r="E352" s="25">
        <f t="shared" ref="E352:E353" si="259">F352+I352</f>
        <v>8284656</v>
      </c>
      <c r="F352" s="25">
        <v>0</v>
      </c>
      <c r="G352" s="25">
        <v>0</v>
      </c>
      <c r="H352" s="25">
        <v>0</v>
      </c>
      <c r="I352" s="25">
        <f>6484656+1800000</f>
        <v>8284656</v>
      </c>
      <c r="J352" s="25">
        <v>8261468</v>
      </c>
      <c r="K352" s="25"/>
      <c r="L352" s="25"/>
      <c r="M352" s="181">
        <f t="shared" si="252"/>
        <v>99.720109078759577</v>
      </c>
      <c r="N352" s="25">
        <f t="shared" ref="N352:N353" si="260">P352+S352</f>
        <v>0</v>
      </c>
      <c r="O352" s="25"/>
      <c r="P352" s="30"/>
      <c r="Q352" s="30"/>
      <c r="R352" s="30"/>
      <c r="S352" s="25">
        <v>0</v>
      </c>
      <c r="T352" s="15">
        <f t="shared" si="253"/>
        <v>0</v>
      </c>
      <c r="U352" s="25"/>
      <c r="V352" s="25"/>
      <c r="W352" s="25"/>
      <c r="X352" s="25"/>
      <c r="Y352" s="25"/>
      <c r="Z352" s="181"/>
      <c r="AA352" s="25">
        <f t="shared" si="255"/>
        <v>8261468</v>
      </c>
      <c r="AB352" s="25">
        <f t="shared" ref="AB352:AB353" si="261">E352+N352</f>
        <v>8284656</v>
      </c>
      <c r="AC352" s="198"/>
    </row>
    <row r="353" spans="1:29" s="26" customFormat="1" ht="42" customHeight="1" x14ac:dyDescent="0.25">
      <c r="A353" s="22" t="s">
        <v>721</v>
      </c>
      <c r="B353" s="23">
        <f>'дод 5'!A275</f>
        <v>7422</v>
      </c>
      <c r="C353" s="23" t="str">
        <f>'дод 5'!B275</f>
        <v>0453</v>
      </c>
      <c r="D353" s="36" t="str">
        <f>'дод 5'!C275</f>
        <v>Регулювання цін на послуги місцевого наземного електротранспорту</v>
      </c>
      <c r="E353" s="25">
        <f t="shared" si="259"/>
        <v>15876776</v>
      </c>
      <c r="F353" s="25">
        <v>0</v>
      </c>
      <c r="G353" s="25">
        <v>0</v>
      </c>
      <c r="H353" s="25">
        <v>0</v>
      </c>
      <c r="I353" s="25">
        <f>18076776-2200000</f>
        <v>15876776</v>
      </c>
      <c r="J353" s="25">
        <v>15876776</v>
      </c>
      <c r="K353" s="25"/>
      <c r="L353" s="25"/>
      <c r="M353" s="181">
        <f t="shared" si="252"/>
        <v>100</v>
      </c>
      <c r="N353" s="25">
        <f t="shared" si="260"/>
        <v>0</v>
      </c>
      <c r="O353" s="25"/>
      <c r="P353" s="30"/>
      <c r="Q353" s="30"/>
      <c r="R353" s="30"/>
      <c r="S353" s="25">
        <v>0</v>
      </c>
      <c r="T353" s="15">
        <f t="shared" si="253"/>
        <v>0</v>
      </c>
      <c r="U353" s="25"/>
      <c r="V353" s="25"/>
      <c r="W353" s="25"/>
      <c r="X353" s="25"/>
      <c r="Y353" s="25"/>
      <c r="Z353" s="181"/>
      <c r="AA353" s="25">
        <f t="shared" si="255"/>
        <v>15876776</v>
      </c>
      <c r="AB353" s="25">
        <f t="shared" si="261"/>
        <v>15876776</v>
      </c>
      <c r="AC353" s="198"/>
    </row>
    <row r="354" spans="1:29" s="26" customFormat="1" ht="20.25" customHeight="1" x14ac:dyDescent="0.25">
      <c r="A354" s="22" t="s">
        <v>194</v>
      </c>
      <c r="B354" s="23" t="str">
        <f>'дод 5'!A290</f>
        <v>7640</v>
      </c>
      <c r="C354" s="22" t="str">
        <f>'дод 5'!B290</f>
        <v>0470</v>
      </c>
      <c r="D354" s="24" t="s">
        <v>402</v>
      </c>
      <c r="E354" s="25">
        <f t="shared" si="239"/>
        <v>1300000</v>
      </c>
      <c r="F354" s="25">
        <v>100000</v>
      </c>
      <c r="G354" s="25"/>
      <c r="H354" s="25"/>
      <c r="I354" s="25">
        <f>2300000-100000-1000000</f>
        <v>1200000</v>
      </c>
      <c r="J354" s="25">
        <v>797415.87</v>
      </c>
      <c r="K354" s="25"/>
      <c r="L354" s="25"/>
      <c r="M354" s="181">
        <f t="shared" si="252"/>
        <v>61.339682307692314</v>
      </c>
      <c r="N354" s="25">
        <f t="shared" si="243"/>
        <v>0</v>
      </c>
      <c r="O354" s="25"/>
      <c r="P354" s="25"/>
      <c r="Q354" s="25"/>
      <c r="R354" s="25"/>
      <c r="S354" s="25"/>
      <c r="T354" s="15">
        <f t="shared" si="253"/>
        <v>0</v>
      </c>
      <c r="U354" s="25"/>
      <c r="V354" s="25"/>
      <c r="W354" s="25"/>
      <c r="X354" s="25"/>
      <c r="Y354" s="25"/>
      <c r="Z354" s="181"/>
      <c r="AA354" s="25">
        <f t="shared" si="255"/>
        <v>797415.87</v>
      </c>
      <c r="AB354" s="25">
        <f t="shared" si="240"/>
        <v>1300000</v>
      </c>
      <c r="AC354" s="198"/>
    </row>
    <row r="355" spans="1:29" s="26" customFormat="1" ht="43.9" customHeight="1" x14ac:dyDescent="0.25">
      <c r="A355" s="22" t="s">
        <v>317</v>
      </c>
      <c r="B355" s="23" t="str">
        <f>'дод 5'!A296</f>
        <v>7670</v>
      </c>
      <c r="C355" s="22" t="str">
        <f>'дод 5'!B296</f>
        <v>0490</v>
      </c>
      <c r="D355" s="24" t="str">
        <f>'дод 5'!C296</f>
        <v>Внески до статутного капіталу суб'єктів господарювання,  у т.ч. за рахунок:</v>
      </c>
      <c r="E355" s="25">
        <f>F355+I355</f>
        <v>0</v>
      </c>
      <c r="F355" s="25"/>
      <c r="G355" s="25"/>
      <c r="H355" s="25"/>
      <c r="I355" s="25"/>
      <c r="J355" s="25"/>
      <c r="K355" s="25"/>
      <c r="L355" s="25"/>
      <c r="M355" s="181"/>
      <c r="N355" s="25">
        <f>P355+S355</f>
        <v>6788599</v>
      </c>
      <c r="O355" s="25">
        <f>2000000+1024337+1712000+200000+1580400+771900+233800+64000-753500-44338</f>
        <v>6788599</v>
      </c>
      <c r="P355" s="25"/>
      <c r="Q355" s="25"/>
      <c r="R355" s="25"/>
      <c r="S355" s="25">
        <f>2000000+1024337+1712000+200000+1580400+771900+233800+64000-753500-44338</f>
        <v>6788599</v>
      </c>
      <c r="T355" s="15">
        <f t="shared" si="253"/>
        <v>6692562.8700000001</v>
      </c>
      <c r="U355" s="25">
        <v>6692562.8700000001</v>
      </c>
      <c r="V355" s="25"/>
      <c r="W355" s="25"/>
      <c r="X355" s="25"/>
      <c r="Y355" s="25">
        <v>6692562.8700000001</v>
      </c>
      <c r="Z355" s="181">
        <f t="shared" si="254"/>
        <v>98.585332113444906</v>
      </c>
      <c r="AA355" s="25">
        <f t="shared" si="255"/>
        <v>6692562.8700000001</v>
      </c>
      <c r="AB355" s="25">
        <f>E355+N355</f>
        <v>6788599</v>
      </c>
      <c r="AC355" s="198"/>
    </row>
    <row r="356" spans="1:29" s="26" customFormat="1" ht="101.25" customHeight="1" x14ac:dyDescent="0.25">
      <c r="A356" s="22"/>
      <c r="B356" s="23"/>
      <c r="C356" s="22"/>
      <c r="D356" s="48" t="s">
        <v>618</v>
      </c>
      <c r="E356" s="30">
        <f t="shared" ref="E356" si="262">F356+I356</f>
        <v>0</v>
      </c>
      <c r="F356" s="30"/>
      <c r="G356" s="30"/>
      <c r="H356" s="30"/>
      <c r="I356" s="30"/>
      <c r="J356" s="30"/>
      <c r="K356" s="30"/>
      <c r="L356" s="30"/>
      <c r="M356" s="182"/>
      <c r="N356" s="30">
        <f>P356+S356</f>
        <v>371900</v>
      </c>
      <c r="O356" s="30">
        <f>200000+171900</f>
        <v>371900</v>
      </c>
      <c r="P356" s="30"/>
      <c r="Q356" s="30"/>
      <c r="R356" s="30"/>
      <c r="S356" s="30">
        <f>200000+171900</f>
        <v>371900</v>
      </c>
      <c r="T356" s="15">
        <f t="shared" si="253"/>
        <v>335747.22</v>
      </c>
      <c r="U356" s="30">
        <v>335747.22</v>
      </c>
      <c r="V356" s="30"/>
      <c r="W356" s="30"/>
      <c r="X356" s="30"/>
      <c r="Y356" s="30">
        <v>335747.22</v>
      </c>
      <c r="Z356" s="182">
        <f t="shared" si="254"/>
        <v>90.278897553105665</v>
      </c>
      <c r="AA356" s="30">
        <f t="shared" si="255"/>
        <v>335747.22</v>
      </c>
      <c r="AB356" s="30">
        <f t="shared" ref="AB356" si="263">E356+N356</f>
        <v>371900</v>
      </c>
      <c r="AC356" s="198">
        <v>15</v>
      </c>
    </row>
    <row r="357" spans="1:29" s="31" customFormat="1" ht="18.75" hidden="1" customHeight="1" x14ac:dyDescent="0.25">
      <c r="A357" s="27"/>
      <c r="B357" s="28"/>
      <c r="C357" s="28"/>
      <c r="D357" s="29" t="s">
        <v>399</v>
      </c>
      <c r="E357" s="30">
        <f t="shared" si="239"/>
        <v>0</v>
      </c>
      <c r="F357" s="30"/>
      <c r="G357" s="30"/>
      <c r="H357" s="30"/>
      <c r="I357" s="30"/>
      <c r="J357" s="30"/>
      <c r="K357" s="30"/>
      <c r="L357" s="30"/>
      <c r="M357" s="182" t="e">
        <f t="shared" si="252"/>
        <v>#DIV/0!</v>
      </c>
      <c r="N357" s="30">
        <f t="shared" si="243"/>
        <v>0</v>
      </c>
      <c r="O357" s="30"/>
      <c r="P357" s="30"/>
      <c r="Q357" s="30"/>
      <c r="R357" s="30"/>
      <c r="S357" s="30"/>
      <c r="T357" s="15">
        <f t="shared" si="253"/>
        <v>0</v>
      </c>
      <c r="U357" s="30"/>
      <c r="V357" s="30"/>
      <c r="W357" s="30"/>
      <c r="X357" s="30"/>
      <c r="Y357" s="30"/>
      <c r="Z357" s="182" t="e">
        <f t="shared" si="254"/>
        <v>#DIV/0!</v>
      </c>
      <c r="AA357" s="30">
        <f t="shared" si="255"/>
        <v>0</v>
      </c>
      <c r="AB357" s="30">
        <f t="shared" si="240"/>
        <v>0</v>
      </c>
      <c r="AC357" s="198"/>
    </row>
    <row r="358" spans="1:29" s="26" customFormat="1" ht="112.5" customHeight="1" x14ac:dyDescent="0.25">
      <c r="A358" s="22" t="s">
        <v>287</v>
      </c>
      <c r="B358" s="23">
        <v>7691</v>
      </c>
      <c r="C358" s="23" t="s">
        <v>78</v>
      </c>
      <c r="D358" s="24" t="str">
        <f>'дод 5'!C300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358" s="25">
        <f t="shared" si="239"/>
        <v>0</v>
      </c>
      <c r="F358" s="25"/>
      <c r="G358" s="25"/>
      <c r="H358" s="25"/>
      <c r="I358" s="25"/>
      <c r="J358" s="25"/>
      <c r="K358" s="25"/>
      <c r="L358" s="25"/>
      <c r="M358" s="181"/>
      <c r="N358" s="25">
        <f t="shared" si="243"/>
        <v>60000</v>
      </c>
      <c r="O358" s="25"/>
      <c r="P358" s="25">
        <v>60000</v>
      </c>
      <c r="Q358" s="25"/>
      <c r="R358" s="25"/>
      <c r="S358" s="25"/>
      <c r="T358" s="15">
        <f t="shared" si="253"/>
        <v>0</v>
      </c>
      <c r="U358" s="25"/>
      <c r="V358" s="25"/>
      <c r="W358" s="25"/>
      <c r="X358" s="25"/>
      <c r="Y358" s="25"/>
      <c r="Z358" s="181">
        <f t="shared" si="254"/>
        <v>0</v>
      </c>
      <c r="AA358" s="25">
        <f t="shared" si="255"/>
        <v>0</v>
      </c>
      <c r="AB358" s="25">
        <f t="shared" si="240"/>
        <v>60000</v>
      </c>
      <c r="AC358" s="198"/>
    </row>
    <row r="359" spans="1:29" s="26" customFormat="1" ht="63" x14ac:dyDescent="0.25">
      <c r="A359" s="22" t="s">
        <v>711</v>
      </c>
      <c r="B359" s="23">
        <f>'дод 5'!A303</f>
        <v>7700</v>
      </c>
      <c r="C359" s="23" t="str">
        <f>'дод 5'!B303</f>
        <v>0133</v>
      </c>
      <c r="D359" s="36" t="str">
        <f>'дод 5'!C303</f>
        <v>Реалізація програм допомоги і грантів Європейського Союзу, урядів іноземних держав, міжнародних організацій, донорських установ, у т.ч. за рахунок:</v>
      </c>
      <c r="E359" s="25">
        <f t="shared" ref="E359:E360" si="264">F359+I359</f>
        <v>0</v>
      </c>
      <c r="F359" s="25"/>
      <c r="G359" s="25"/>
      <c r="H359" s="25"/>
      <c r="I359" s="25"/>
      <c r="J359" s="25"/>
      <c r="K359" s="25"/>
      <c r="L359" s="25"/>
      <c r="M359" s="181"/>
      <c r="N359" s="25">
        <f t="shared" ref="N359:N360" si="265">P359+S359</f>
        <v>5819323</v>
      </c>
      <c r="O359" s="25"/>
      <c r="P359" s="25">
        <v>362376</v>
      </c>
      <c r="Q359" s="25"/>
      <c r="R359" s="25"/>
      <c r="S359" s="25">
        <v>5456947</v>
      </c>
      <c r="T359" s="15">
        <f t="shared" si="253"/>
        <v>5630593.0999999996</v>
      </c>
      <c r="U359" s="25"/>
      <c r="V359" s="25">
        <v>330601.09999999998</v>
      </c>
      <c r="W359" s="25"/>
      <c r="X359" s="25"/>
      <c r="Y359" s="25">
        <v>5299992</v>
      </c>
      <c r="Z359" s="181">
        <f t="shared" si="254"/>
        <v>96.756840958991276</v>
      </c>
      <c r="AA359" s="25">
        <f t="shared" si="255"/>
        <v>5630593.0999999996</v>
      </c>
      <c r="AB359" s="25">
        <f t="shared" ref="AB359:AB360" si="266">E359+N359</f>
        <v>5819323</v>
      </c>
      <c r="AC359" s="198"/>
    </row>
    <row r="360" spans="1:29" s="31" customFormat="1" ht="23.25" customHeight="1" x14ac:dyDescent="0.25">
      <c r="A360" s="27"/>
      <c r="B360" s="28"/>
      <c r="C360" s="28"/>
      <c r="D360" s="29" t="str">
        <f>'дод 5'!C304</f>
        <v>грантів (дарунків)</v>
      </c>
      <c r="E360" s="30">
        <f t="shared" si="264"/>
        <v>0</v>
      </c>
      <c r="F360" s="30"/>
      <c r="G360" s="30"/>
      <c r="H360" s="30"/>
      <c r="I360" s="30"/>
      <c r="J360" s="30"/>
      <c r="K360" s="30"/>
      <c r="L360" s="30"/>
      <c r="M360" s="182"/>
      <c r="N360" s="30">
        <f t="shared" si="265"/>
        <v>5819323</v>
      </c>
      <c r="O360" s="30"/>
      <c r="P360" s="30">
        <v>362376</v>
      </c>
      <c r="Q360" s="30"/>
      <c r="R360" s="30"/>
      <c r="S360" s="30">
        <v>5456947</v>
      </c>
      <c r="T360" s="15">
        <f t="shared" si="253"/>
        <v>5630593.0999999996</v>
      </c>
      <c r="U360" s="30"/>
      <c r="V360" s="30">
        <v>330601.09999999998</v>
      </c>
      <c r="W360" s="30"/>
      <c r="X360" s="30"/>
      <c r="Y360" s="30">
        <v>5299992</v>
      </c>
      <c r="Z360" s="182">
        <f t="shared" si="254"/>
        <v>96.756840958991276</v>
      </c>
      <c r="AA360" s="30">
        <f t="shared" si="255"/>
        <v>5630593.0999999996</v>
      </c>
      <c r="AB360" s="30">
        <f t="shared" si="266"/>
        <v>5819323</v>
      </c>
      <c r="AC360" s="198"/>
    </row>
    <row r="361" spans="1:29" s="26" customFormat="1" ht="39" customHeight="1" x14ac:dyDescent="0.25">
      <c r="A361" s="22" t="s">
        <v>366</v>
      </c>
      <c r="B361" s="23" t="str">
        <f>'дод 5'!A314</f>
        <v>8110</v>
      </c>
      <c r="C361" s="23" t="str">
        <f>'дод 5'!B314</f>
        <v>0320</v>
      </c>
      <c r="D361" s="36" t="str">
        <f>'дод 5'!C314</f>
        <v>Заходи із запобігання та ліквідації надзвичайних ситуацій та наслідків стихійного лиха, у т.ч. за рахунок:</v>
      </c>
      <c r="E361" s="25">
        <f t="shared" ref="E361:E371" si="267">F361+I361</f>
        <v>7756235</v>
      </c>
      <c r="F361" s="25">
        <f>7000000-300000+400000-3500000+304152+280000+100000+1196869+100000+2000000-520000-304786+1000000</f>
        <v>7756235</v>
      </c>
      <c r="G361" s="25"/>
      <c r="H361" s="25"/>
      <c r="I361" s="25"/>
      <c r="J361" s="25">
        <v>4651874.59</v>
      </c>
      <c r="K361" s="25"/>
      <c r="L361" s="25"/>
      <c r="M361" s="181">
        <f t="shared" si="252"/>
        <v>59.975936649676029</v>
      </c>
      <c r="N361" s="25">
        <f>P361+S361</f>
        <v>6276200</v>
      </c>
      <c r="O361" s="25">
        <f>3500000+1128100+1128100+520000</f>
        <v>6276200</v>
      </c>
      <c r="P361" s="25"/>
      <c r="Q361" s="25"/>
      <c r="R361" s="25"/>
      <c r="S361" s="25">
        <f>3500000+1128100+1128100+520000</f>
        <v>6276200</v>
      </c>
      <c r="T361" s="15">
        <f t="shared" si="253"/>
        <v>3963867</v>
      </c>
      <c r="U361" s="25">
        <v>2793867</v>
      </c>
      <c r="V361" s="25"/>
      <c r="W361" s="25"/>
      <c r="X361" s="25"/>
      <c r="Y361" s="25">
        <v>3963867</v>
      </c>
      <c r="Z361" s="181">
        <f t="shared" si="254"/>
        <v>63.157117364010077</v>
      </c>
      <c r="AA361" s="25">
        <f t="shared" si="255"/>
        <v>8615741.5899999999</v>
      </c>
      <c r="AB361" s="25">
        <f t="shared" ref="AB361:AB366" si="268">E361+N361</f>
        <v>14032435</v>
      </c>
      <c r="AC361" s="198"/>
    </row>
    <row r="362" spans="1:29" s="31" customFormat="1" ht="22.15" customHeight="1" x14ac:dyDescent="0.25">
      <c r="A362" s="27"/>
      <c r="B362" s="28"/>
      <c r="C362" s="28"/>
      <c r="D362" s="43" t="s">
        <v>379</v>
      </c>
      <c r="E362" s="30">
        <f t="shared" ref="E362" si="269">F362+I362</f>
        <v>0</v>
      </c>
      <c r="F362" s="30">
        <v>0</v>
      </c>
      <c r="G362" s="30"/>
      <c r="H362" s="30"/>
      <c r="I362" s="30"/>
      <c r="J362" s="30"/>
      <c r="K362" s="30"/>
      <c r="L362" s="30"/>
      <c r="M362" s="182"/>
      <c r="N362" s="30">
        <f>P362+S362</f>
        <v>1128100</v>
      </c>
      <c r="O362" s="30">
        <v>1128100</v>
      </c>
      <c r="P362" s="30"/>
      <c r="Q362" s="30"/>
      <c r="R362" s="30"/>
      <c r="S362" s="30">
        <v>1128100</v>
      </c>
      <c r="T362" s="15">
        <f t="shared" si="253"/>
        <v>934500</v>
      </c>
      <c r="U362" s="30">
        <v>934500</v>
      </c>
      <c r="V362" s="30"/>
      <c r="W362" s="30"/>
      <c r="X362" s="30"/>
      <c r="Y362" s="30">
        <v>934500</v>
      </c>
      <c r="Z362" s="182">
        <f t="shared" si="254"/>
        <v>82.838400850988393</v>
      </c>
      <c r="AA362" s="30">
        <f t="shared" si="255"/>
        <v>934500</v>
      </c>
      <c r="AB362" s="30">
        <f t="shared" ref="AB362" si="270">E362+N362</f>
        <v>1128100</v>
      </c>
      <c r="AC362" s="198"/>
    </row>
    <row r="363" spans="1:29" s="31" customFormat="1" ht="109.5" customHeight="1" x14ac:dyDescent="0.25">
      <c r="A363" s="27"/>
      <c r="B363" s="28"/>
      <c r="C363" s="28"/>
      <c r="D363" s="43" t="str">
        <f>'дод 5'!C316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363" s="30">
        <f t="shared" si="267"/>
        <v>1676869</v>
      </c>
      <c r="F363" s="30">
        <f>280000+100000+1196869+100000</f>
        <v>1676869</v>
      </c>
      <c r="G363" s="30"/>
      <c r="H363" s="30"/>
      <c r="I363" s="30"/>
      <c r="J363" s="30">
        <v>1500982.26</v>
      </c>
      <c r="K363" s="30"/>
      <c r="L363" s="30"/>
      <c r="M363" s="182">
        <f t="shared" si="252"/>
        <v>89.511002946562911</v>
      </c>
      <c r="N363" s="30">
        <f>P363+S363</f>
        <v>1128100</v>
      </c>
      <c r="O363" s="30">
        <v>1128100</v>
      </c>
      <c r="P363" s="30"/>
      <c r="Q363" s="30"/>
      <c r="R363" s="30"/>
      <c r="S363" s="30">
        <v>1128100</v>
      </c>
      <c r="T363" s="15">
        <f t="shared" si="253"/>
        <v>1103500</v>
      </c>
      <c r="U363" s="30">
        <v>1103500</v>
      </c>
      <c r="V363" s="30"/>
      <c r="W363" s="30"/>
      <c r="X363" s="30"/>
      <c r="Y363" s="30">
        <v>1103500</v>
      </c>
      <c r="Z363" s="182">
        <f t="shared" si="254"/>
        <v>97.819342256892114</v>
      </c>
      <c r="AA363" s="30">
        <f t="shared" si="255"/>
        <v>2604482.2599999998</v>
      </c>
      <c r="AB363" s="30">
        <f t="shared" si="268"/>
        <v>2804969</v>
      </c>
      <c r="AC363" s="198"/>
    </row>
    <row r="364" spans="1:29" s="26" customFormat="1" ht="15.75" hidden="1" customHeight="1" x14ac:dyDescent="0.25">
      <c r="A364" s="22" t="s">
        <v>365</v>
      </c>
      <c r="B364" s="23" t="str">
        <f>'дод 5'!A321</f>
        <v>8230</v>
      </c>
      <c r="C364" s="23" t="str">
        <f>'дод 5'!B321</f>
        <v>0380</v>
      </c>
      <c r="D364" s="36" t="str">
        <f>'дод 5'!C321</f>
        <v>Інші заходи громадського порядку та безпеки</v>
      </c>
      <c r="E364" s="25">
        <f t="shared" si="267"/>
        <v>0</v>
      </c>
      <c r="F364" s="25"/>
      <c r="G364" s="25"/>
      <c r="H364" s="25"/>
      <c r="I364" s="25"/>
      <c r="J364" s="25"/>
      <c r="K364" s="25"/>
      <c r="L364" s="25"/>
      <c r="M364" s="181" t="e">
        <f t="shared" si="252"/>
        <v>#DIV/0!</v>
      </c>
      <c r="N364" s="25">
        <f t="shared" ref="N364:N367" si="271">P364+S364</f>
        <v>0</v>
      </c>
      <c r="O364" s="25"/>
      <c r="P364" s="25"/>
      <c r="Q364" s="25"/>
      <c r="R364" s="25"/>
      <c r="S364" s="25"/>
      <c r="T364" s="15">
        <f t="shared" si="253"/>
        <v>0</v>
      </c>
      <c r="U364" s="25"/>
      <c r="V364" s="25"/>
      <c r="W364" s="25"/>
      <c r="X364" s="25"/>
      <c r="Y364" s="25"/>
      <c r="Z364" s="181" t="e">
        <f t="shared" si="254"/>
        <v>#DIV/0!</v>
      </c>
      <c r="AA364" s="25">
        <f t="shared" si="255"/>
        <v>0</v>
      </c>
      <c r="AB364" s="25">
        <f t="shared" si="268"/>
        <v>0</v>
      </c>
      <c r="AC364" s="198"/>
    </row>
    <row r="365" spans="1:29" s="26" customFormat="1" ht="27" customHeight="1" x14ac:dyDescent="0.25">
      <c r="A365" s="22" t="s">
        <v>612</v>
      </c>
      <c r="B365" s="23">
        <v>8240</v>
      </c>
      <c r="C365" s="23" t="str">
        <f>'дод 5'!B322</f>
        <v>0380</v>
      </c>
      <c r="D365" s="36" t="s">
        <v>566</v>
      </c>
      <c r="E365" s="25">
        <f>F365+I365</f>
        <v>3181000</v>
      </c>
      <c r="F365" s="25">
        <f>2000000+2700000-1519000</f>
        <v>3181000</v>
      </c>
      <c r="G365" s="25"/>
      <c r="H365" s="25"/>
      <c r="I365" s="25"/>
      <c r="J365" s="25">
        <v>2380201.4</v>
      </c>
      <c r="K365" s="25"/>
      <c r="L365" s="25"/>
      <c r="M365" s="181">
        <f t="shared" si="252"/>
        <v>74.825570575290783</v>
      </c>
      <c r="N365" s="25">
        <f>P365+S365</f>
        <v>0</v>
      </c>
      <c r="O365" s="25"/>
      <c r="P365" s="25"/>
      <c r="Q365" s="25"/>
      <c r="R365" s="25"/>
      <c r="S365" s="25"/>
      <c r="T365" s="15">
        <f t="shared" si="253"/>
        <v>0</v>
      </c>
      <c r="U365" s="25"/>
      <c r="V365" s="25"/>
      <c r="W365" s="25"/>
      <c r="X365" s="25"/>
      <c r="Y365" s="25"/>
      <c r="Z365" s="181"/>
      <c r="AA365" s="25">
        <f t="shared" si="255"/>
        <v>2380201.4</v>
      </c>
      <c r="AB365" s="25">
        <f t="shared" si="268"/>
        <v>3181000</v>
      </c>
      <c r="AC365" s="198"/>
    </row>
    <row r="366" spans="1:29" s="26" customFormat="1" ht="27" hidden="1" customHeight="1" x14ac:dyDescent="0.25">
      <c r="A366" s="22" t="s">
        <v>613</v>
      </c>
      <c r="B366" s="23">
        <v>8312</v>
      </c>
      <c r="C366" s="22" t="s">
        <v>614</v>
      </c>
      <c r="D366" s="36" t="s">
        <v>615</v>
      </c>
      <c r="E366" s="25">
        <f>F366+I366</f>
        <v>0</v>
      </c>
      <c r="F366" s="25"/>
      <c r="G366" s="25"/>
      <c r="H366" s="25"/>
      <c r="I366" s="25"/>
      <c r="J366" s="25"/>
      <c r="K366" s="25"/>
      <c r="L366" s="25"/>
      <c r="M366" s="181" t="e">
        <f t="shared" si="252"/>
        <v>#DIV/0!</v>
      </c>
      <c r="N366" s="25">
        <f>P366+S366</f>
        <v>0</v>
      </c>
      <c r="O366" s="25"/>
      <c r="P366" s="25"/>
      <c r="Q366" s="25"/>
      <c r="R366" s="25"/>
      <c r="S366" s="25"/>
      <c r="T366" s="15">
        <f t="shared" si="253"/>
        <v>0</v>
      </c>
      <c r="U366" s="25"/>
      <c r="V366" s="25"/>
      <c r="W366" s="25"/>
      <c r="X366" s="25"/>
      <c r="Y366" s="25"/>
      <c r="Z366" s="181" t="e">
        <f t="shared" si="254"/>
        <v>#DIV/0!</v>
      </c>
      <c r="AA366" s="25">
        <f t="shared" si="255"/>
        <v>0</v>
      </c>
      <c r="AB366" s="25">
        <f t="shared" si="268"/>
        <v>0</v>
      </c>
      <c r="AC366" s="198"/>
    </row>
    <row r="367" spans="1:29" s="26" customFormat="1" ht="31.5" customHeight="1" x14ac:dyDescent="0.25">
      <c r="A367" s="22" t="s">
        <v>195</v>
      </c>
      <c r="B367" s="23" t="str">
        <f>'дод 5'!A327</f>
        <v>8340</v>
      </c>
      <c r="C367" s="23" t="str">
        <f>'дод 5'!B327</f>
        <v>0540</v>
      </c>
      <c r="D367" s="24" t="str">
        <f>'дод 5'!C327</f>
        <v>Природоохоронні заходи за рахунок цільових фондів</v>
      </c>
      <c r="E367" s="25">
        <f t="shared" si="267"/>
        <v>0</v>
      </c>
      <c r="F367" s="25"/>
      <c r="G367" s="25"/>
      <c r="H367" s="25"/>
      <c r="I367" s="25"/>
      <c r="J367" s="25"/>
      <c r="K367" s="25"/>
      <c r="L367" s="25"/>
      <c r="M367" s="181"/>
      <c r="N367" s="25">
        <f t="shared" si="271"/>
        <v>1174400</v>
      </c>
      <c r="O367" s="25"/>
      <c r="P367" s="25">
        <v>724400</v>
      </c>
      <c r="Q367" s="25"/>
      <c r="R367" s="25"/>
      <c r="S367" s="25">
        <v>450000</v>
      </c>
      <c r="T367" s="15">
        <f t="shared" si="253"/>
        <v>665675.54</v>
      </c>
      <c r="U367" s="25"/>
      <c r="V367" s="25">
        <v>665675.54</v>
      </c>
      <c r="W367" s="25"/>
      <c r="X367" s="25"/>
      <c r="Y367" s="25"/>
      <c r="Z367" s="181">
        <f t="shared" si="254"/>
        <v>56.682181539509536</v>
      </c>
      <c r="AA367" s="25">
        <f t="shared" si="255"/>
        <v>665675.54</v>
      </c>
      <c r="AB367" s="25">
        <f t="shared" si="240"/>
        <v>1174400</v>
      </c>
      <c r="AC367" s="198"/>
    </row>
    <row r="368" spans="1:29" s="26" customFormat="1" ht="68.25" hidden="1" customHeight="1" x14ac:dyDescent="0.25">
      <c r="A368" s="22" t="s">
        <v>571</v>
      </c>
      <c r="B368" s="45">
        <v>8741</v>
      </c>
      <c r="C368" s="45">
        <v>610</v>
      </c>
      <c r="D368" s="33" t="s">
        <v>572</v>
      </c>
      <c r="E368" s="25">
        <f t="shared" si="267"/>
        <v>0</v>
      </c>
      <c r="F368" s="25"/>
      <c r="G368" s="25"/>
      <c r="H368" s="25"/>
      <c r="I368" s="25"/>
      <c r="J368" s="25"/>
      <c r="K368" s="25"/>
      <c r="L368" s="25"/>
      <c r="M368" s="181" t="e">
        <f t="shared" si="252"/>
        <v>#DIV/0!</v>
      </c>
      <c r="N368" s="25">
        <f t="shared" si="243"/>
        <v>0</v>
      </c>
      <c r="O368" s="25"/>
      <c r="P368" s="25"/>
      <c r="Q368" s="25"/>
      <c r="R368" s="25"/>
      <c r="S368" s="25"/>
      <c r="T368" s="15">
        <f t="shared" si="253"/>
        <v>0</v>
      </c>
      <c r="U368" s="25"/>
      <c r="V368" s="25"/>
      <c r="W368" s="25"/>
      <c r="X368" s="25"/>
      <c r="Y368" s="25"/>
      <c r="Z368" s="181" t="e">
        <f t="shared" si="254"/>
        <v>#DIV/0!</v>
      </c>
      <c r="AA368" s="25">
        <f t="shared" si="255"/>
        <v>0</v>
      </c>
      <c r="AB368" s="25">
        <f t="shared" si="240"/>
        <v>0</v>
      </c>
      <c r="AC368" s="198"/>
    </row>
    <row r="369" spans="1:29" s="26" customFormat="1" ht="38.25" hidden="1" customHeight="1" x14ac:dyDescent="0.25">
      <c r="A369" s="22" t="s">
        <v>564</v>
      </c>
      <c r="B369" s="23">
        <v>8775</v>
      </c>
      <c r="C369" s="22" t="s">
        <v>89</v>
      </c>
      <c r="D369" s="24" t="s">
        <v>561</v>
      </c>
      <c r="E369" s="25">
        <f t="shared" si="267"/>
        <v>0</v>
      </c>
      <c r="F369" s="25"/>
      <c r="G369" s="25"/>
      <c r="H369" s="25"/>
      <c r="I369" s="25"/>
      <c r="J369" s="25"/>
      <c r="K369" s="25"/>
      <c r="L369" s="25"/>
      <c r="M369" s="181" t="e">
        <f t="shared" si="252"/>
        <v>#DIV/0!</v>
      </c>
      <c r="N369" s="25">
        <f t="shared" si="243"/>
        <v>0</v>
      </c>
      <c r="O369" s="25"/>
      <c r="P369" s="25"/>
      <c r="Q369" s="25"/>
      <c r="R369" s="25"/>
      <c r="S369" s="25"/>
      <c r="T369" s="15">
        <f t="shared" si="253"/>
        <v>0</v>
      </c>
      <c r="U369" s="25"/>
      <c r="V369" s="25"/>
      <c r="W369" s="25"/>
      <c r="X369" s="25"/>
      <c r="Y369" s="25"/>
      <c r="Z369" s="181" t="e">
        <f t="shared" si="254"/>
        <v>#DIV/0!</v>
      </c>
      <c r="AA369" s="25">
        <f t="shared" si="255"/>
        <v>0</v>
      </c>
      <c r="AB369" s="25">
        <f t="shared" si="240"/>
        <v>0</v>
      </c>
      <c r="AC369" s="198"/>
    </row>
    <row r="370" spans="1:29" s="26" customFormat="1" ht="78.75" hidden="1" customHeight="1" x14ac:dyDescent="0.25">
      <c r="A370" s="22" t="s">
        <v>515</v>
      </c>
      <c r="B370" s="23">
        <v>9730</v>
      </c>
      <c r="C370" s="22" t="s">
        <v>43</v>
      </c>
      <c r="D370" s="24" t="s">
        <v>516</v>
      </c>
      <c r="E370" s="25">
        <f t="shared" si="267"/>
        <v>0</v>
      </c>
      <c r="F370" s="25"/>
      <c r="G370" s="25"/>
      <c r="H370" s="25"/>
      <c r="I370" s="25"/>
      <c r="J370" s="25"/>
      <c r="K370" s="25"/>
      <c r="L370" s="25"/>
      <c r="M370" s="181" t="e">
        <f t="shared" si="252"/>
        <v>#DIV/0!</v>
      </c>
      <c r="N370" s="25">
        <f t="shared" si="243"/>
        <v>0</v>
      </c>
      <c r="O370" s="25"/>
      <c r="P370" s="25"/>
      <c r="Q370" s="25"/>
      <c r="R370" s="25"/>
      <c r="S370" s="25"/>
      <c r="T370" s="15">
        <f t="shared" si="253"/>
        <v>0</v>
      </c>
      <c r="U370" s="25"/>
      <c r="V370" s="25"/>
      <c r="W370" s="25"/>
      <c r="X370" s="25"/>
      <c r="Y370" s="25"/>
      <c r="Z370" s="181" t="e">
        <f t="shared" si="254"/>
        <v>#DIV/0!</v>
      </c>
      <c r="AA370" s="25">
        <f t="shared" si="255"/>
        <v>0</v>
      </c>
      <c r="AB370" s="25">
        <f t="shared" si="240"/>
        <v>0</v>
      </c>
      <c r="AC370" s="198"/>
    </row>
    <row r="371" spans="1:29" s="26" customFormat="1" ht="36" hidden="1" customHeight="1" x14ac:dyDescent="0.25">
      <c r="A371" s="22" t="s">
        <v>554</v>
      </c>
      <c r="B371" s="23">
        <v>9750</v>
      </c>
      <c r="C371" s="22" t="s">
        <v>43</v>
      </c>
      <c r="D371" s="24" t="s">
        <v>481</v>
      </c>
      <c r="E371" s="25">
        <f t="shared" si="267"/>
        <v>0</v>
      </c>
      <c r="F371" s="25"/>
      <c r="G371" s="25"/>
      <c r="H371" s="25"/>
      <c r="I371" s="25"/>
      <c r="J371" s="25"/>
      <c r="K371" s="25"/>
      <c r="L371" s="25"/>
      <c r="M371" s="181" t="e">
        <f t="shared" si="252"/>
        <v>#DIV/0!</v>
      </c>
      <c r="N371" s="25">
        <f t="shared" ref="N371" si="272">P371+S371</f>
        <v>0</v>
      </c>
      <c r="O371" s="25"/>
      <c r="P371" s="25"/>
      <c r="Q371" s="25"/>
      <c r="R371" s="25"/>
      <c r="S371" s="25"/>
      <c r="T371" s="15">
        <f t="shared" si="253"/>
        <v>0</v>
      </c>
      <c r="U371" s="25"/>
      <c r="V371" s="25"/>
      <c r="W371" s="25"/>
      <c r="X371" s="25"/>
      <c r="Y371" s="25"/>
      <c r="Z371" s="181" t="e">
        <f t="shared" si="254"/>
        <v>#DIV/0!</v>
      </c>
      <c r="AA371" s="25">
        <f t="shared" si="255"/>
        <v>0</v>
      </c>
      <c r="AB371" s="25">
        <f t="shared" si="240"/>
        <v>0</v>
      </c>
      <c r="AC371" s="198"/>
    </row>
    <row r="372" spans="1:29" s="26" customFormat="1" ht="26.25" customHeight="1" x14ac:dyDescent="0.25">
      <c r="A372" s="22" t="s">
        <v>196</v>
      </c>
      <c r="B372" s="23" t="str">
        <f>'дод 5'!A346</f>
        <v>9770</v>
      </c>
      <c r="C372" s="23" t="str">
        <f>'дод 5'!B346</f>
        <v>0180</v>
      </c>
      <c r="D372" s="24" t="str">
        <f>'дод 5'!C346</f>
        <v>Інші субвенції з місцевого бюджету</v>
      </c>
      <c r="E372" s="25">
        <f t="shared" si="239"/>
        <v>4026800</v>
      </c>
      <c r="F372" s="25">
        <v>4026800</v>
      </c>
      <c r="G372" s="25"/>
      <c r="H372" s="25"/>
      <c r="I372" s="25"/>
      <c r="J372" s="25">
        <v>4026800</v>
      </c>
      <c r="K372" s="25"/>
      <c r="L372" s="25"/>
      <c r="M372" s="181">
        <f t="shared" si="252"/>
        <v>100</v>
      </c>
      <c r="N372" s="25">
        <f t="shared" si="243"/>
        <v>10973200</v>
      </c>
      <c r="O372" s="25">
        <v>10973200</v>
      </c>
      <c r="P372" s="25"/>
      <c r="Q372" s="25"/>
      <c r="R372" s="25"/>
      <c r="S372" s="25">
        <v>10973200</v>
      </c>
      <c r="T372" s="15">
        <f t="shared" si="253"/>
        <v>10973200</v>
      </c>
      <c r="U372" s="25">
        <v>10973200</v>
      </c>
      <c r="V372" s="25"/>
      <c r="W372" s="25"/>
      <c r="X372" s="25"/>
      <c r="Y372" s="25">
        <v>10973200</v>
      </c>
      <c r="Z372" s="181">
        <f t="shared" si="254"/>
        <v>100</v>
      </c>
      <c r="AA372" s="25">
        <f t="shared" si="255"/>
        <v>15000000</v>
      </c>
      <c r="AB372" s="25">
        <f t="shared" si="240"/>
        <v>15000000</v>
      </c>
      <c r="AC372" s="198"/>
    </row>
    <row r="373" spans="1:29" s="26" customFormat="1" ht="52.5" hidden="1" customHeight="1" x14ac:dyDescent="0.25">
      <c r="A373" s="22" t="s">
        <v>570</v>
      </c>
      <c r="B373" s="23">
        <f>'дод 5'!A347</f>
        <v>9800</v>
      </c>
      <c r="C373" s="23" t="str">
        <f>'дод 5'!B347</f>
        <v>0180</v>
      </c>
      <c r="D373" s="36" t="str">
        <f>'дод 5'!C347</f>
        <v xml:space="preserve">Субвенція з місцевого бюджету державному бюджету на виконання програм соціально-економічного розвитку регіонів </v>
      </c>
      <c r="E373" s="25">
        <f>F373</f>
        <v>0</v>
      </c>
      <c r="F373" s="25"/>
      <c r="G373" s="25"/>
      <c r="H373" s="25"/>
      <c r="I373" s="25"/>
      <c r="J373" s="25"/>
      <c r="K373" s="25"/>
      <c r="L373" s="25"/>
      <c r="M373" s="181" t="e">
        <f t="shared" si="252"/>
        <v>#DIV/0!</v>
      </c>
      <c r="N373" s="25">
        <f t="shared" si="243"/>
        <v>0</v>
      </c>
      <c r="O373" s="25"/>
      <c r="P373" s="25"/>
      <c r="Q373" s="25"/>
      <c r="R373" s="25"/>
      <c r="S373" s="25"/>
      <c r="T373" s="15">
        <f t="shared" si="253"/>
        <v>0</v>
      </c>
      <c r="U373" s="25"/>
      <c r="V373" s="25"/>
      <c r="W373" s="25"/>
      <c r="X373" s="25"/>
      <c r="Y373" s="25"/>
      <c r="Z373" s="181" t="e">
        <f t="shared" si="254"/>
        <v>#DIV/0!</v>
      </c>
      <c r="AA373" s="25">
        <f t="shared" si="255"/>
        <v>0</v>
      </c>
      <c r="AB373" s="25">
        <f t="shared" si="240"/>
        <v>0</v>
      </c>
      <c r="AC373" s="198"/>
    </row>
    <row r="374" spans="1:29" s="16" customFormat="1" ht="33.75" hidden="1" customHeight="1" x14ac:dyDescent="0.25">
      <c r="A374" s="37" t="s">
        <v>26</v>
      </c>
      <c r="B374" s="38"/>
      <c r="C374" s="38"/>
      <c r="D374" s="39" t="s">
        <v>33</v>
      </c>
      <c r="E374" s="15">
        <f>E375</f>
        <v>0</v>
      </c>
      <c r="F374" s="15">
        <f t="shared" ref="F374:N377" si="273">F375</f>
        <v>0</v>
      </c>
      <c r="G374" s="15">
        <f t="shared" si="273"/>
        <v>0</v>
      </c>
      <c r="H374" s="15">
        <f t="shared" si="273"/>
        <v>0</v>
      </c>
      <c r="I374" s="15">
        <f t="shared" si="273"/>
        <v>0</v>
      </c>
      <c r="J374" s="15"/>
      <c r="K374" s="15"/>
      <c r="L374" s="15"/>
      <c r="M374" s="121" t="e">
        <f t="shared" si="252"/>
        <v>#DIV/0!</v>
      </c>
      <c r="N374" s="15">
        <f t="shared" si="273"/>
        <v>0</v>
      </c>
      <c r="O374" s="15">
        <f t="shared" ref="O374:O377" si="274">O375</f>
        <v>0</v>
      </c>
      <c r="P374" s="15">
        <f t="shared" ref="P374:P377" si="275">P375</f>
        <v>0</v>
      </c>
      <c r="Q374" s="15">
        <f t="shared" ref="Q374:Q377" si="276">Q375</f>
        <v>0</v>
      </c>
      <c r="R374" s="15">
        <f t="shared" ref="R374:R377" si="277">R375</f>
        <v>0</v>
      </c>
      <c r="S374" s="15">
        <f t="shared" ref="S374:AB377" si="278">S375</f>
        <v>0</v>
      </c>
      <c r="T374" s="15">
        <f t="shared" si="253"/>
        <v>0</v>
      </c>
      <c r="U374" s="15"/>
      <c r="V374" s="15"/>
      <c r="W374" s="15"/>
      <c r="X374" s="15"/>
      <c r="Y374" s="15"/>
      <c r="Z374" s="121" t="e">
        <f t="shared" si="254"/>
        <v>#DIV/0!</v>
      </c>
      <c r="AA374" s="15">
        <f t="shared" si="255"/>
        <v>0</v>
      </c>
      <c r="AB374" s="15">
        <f t="shared" si="278"/>
        <v>0</v>
      </c>
      <c r="AC374" s="198"/>
    </row>
    <row r="375" spans="1:29" s="21" customFormat="1" ht="36.75" hidden="1" customHeight="1" x14ac:dyDescent="0.25">
      <c r="A375" s="17" t="s">
        <v>113</v>
      </c>
      <c r="B375" s="40"/>
      <c r="C375" s="40"/>
      <c r="D375" s="19" t="s">
        <v>33</v>
      </c>
      <c r="E375" s="20">
        <f>E376</f>
        <v>0</v>
      </c>
      <c r="F375" s="20">
        <f t="shared" si="273"/>
        <v>0</v>
      </c>
      <c r="G375" s="20">
        <f t="shared" si="273"/>
        <v>0</v>
      </c>
      <c r="H375" s="20">
        <f t="shared" si="273"/>
        <v>0</v>
      </c>
      <c r="I375" s="20">
        <f t="shared" si="273"/>
        <v>0</v>
      </c>
      <c r="J375" s="20"/>
      <c r="K375" s="20"/>
      <c r="L375" s="20"/>
      <c r="M375" s="187" t="e">
        <f t="shared" si="252"/>
        <v>#DIV/0!</v>
      </c>
      <c r="N375" s="20">
        <f t="shared" si="273"/>
        <v>0</v>
      </c>
      <c r="O375" s="20">
        <f t="shared" si="274"/>
        <v>0</v>
      </c>
      <c r="P375" s="20">
        <f t="shared" si="275"/>
        <v>0</v>
      </c>
      <c r="Q375" s="20">
        <f t="shared" si="276"/>
        <v>0</v>
      </c>
      <c r="R375" s="20">
        <f t="shared" si="277"/>
        <v>0</v>
      </c>
      <c r="S375" s="20">
        <f t="shared" si="278"/>
        <v>0</v>
      </c>
      <c r="T375" s="15">
        <f t="shared" si="253"/>
        <v>0</v>
      </c>
      <c r="U375" s="20"/>
      <c r="V375" s="20"/>
      <c r="W375" s="20"/>
      <c r="X375" s="20"/>
      <c r="Y375" s="20"/>
      <c r="Z375" s="187" t="e">
        <f t="shared" si="254"/>
        <v>#DIV/0!</v>
      </c>
      <c r="AA375" s="20">
        <f t="shared" si="255"/>
        <v>0</v>
      </c>
      <c r="AB375" s="20">
        <f t="shared" si="278"/>
        <v>0</v>
      </c>
      <c r="AC375" s="198"/>
    </row>
    <row r="376" spans="1:29" s="26" customFormat="1" ht="51.75" hidden="1" customHeight="1" x14ac:dyDescent="0.25">
      <c r="A376" s="22" t="s">
        <v>0</v>
      </c>
      <c r="B376" s="23" t="str">
        <f>'дод 5'!A21</f>
        <v>0160</v>
      </c>
      <c r="C376" s="23" t="str">
        <f>'дод 5'!B21</f>
        <v>0111</v>
      </c>
      <c r="D376" s="24" t="str">
        <f>'дод 5'!C21</f>
        <v>Керівництво і управління у відповідній сфері у містах (місті Києві), селищах, селах, територіальних громадах, у т.ч. за рахунок:</v>
      </c>
      <c r="E376" s="25">
        <f>F376+I376</f>
        <v>0</v>
      </c>
      <c r="F376" s="25"/>
      <c r="G376" s="25"/>
      <c r="H376" s="25"/>
      <c r="I376" s="25"/>
      <c r="J376" s="25"/>
      <c r="K376" s="25"/>
      <c r="L376" s="25"/>
      <c r="M376" s="181" t="e">
        <f t="shared" si="252"/>
        <v>#DIV/0!</v>
      </c>
      <c r="N376" s="25">
        <f>P376+S376</f>
        <v>0</v>
      </c>
      <c r="O376" s="25"/>
      <c r="P376" s="25"/>
      <c r="Q376" s="25"/>
      <c r="R376" s="25"/>
      <c r="S376" s="25"/>
      <c r="T376" s="15">
        <f t="shared" si="253"/>
        <v>0</v>
      </c>
      <c r="U376" s="25"/>
      <c r="V376" s="25"/>
      <c r="W376" s="25"/>
      <c r="X376" s="25"/>
      <c r="Y376" s="25"/>
      <c r="Z376" s="181" t="e">
        <f t="shared" si="254"/>
        <v>#DIV/0!</v>
      </c>
      <c r="AA376" s="25">
        <f t="shared" si="255"/>
        <v>0</v>
      </c>
      <c r="AB376" s="25">
        <f>E376+N376</f>
        <v>0</v>
      </c>
      <c r="AC376" s="198"/>
    </row>
    <row r="377" spans="1:29" s="16" customFormat="1" ht="33.75" hidden="1" customHeight="1" x14ac:dyDescent="0.25">
      <c r="A377" s="37" t="s">
        <v>26</v>
      </c>
      <c r="B377" s="38"/>
      <c r="C377" s="38"/>
      <c r="D377" s="39" t="s">
        <v>579</v>
      </c>
      <c r="E377" s="15">
        <f>E378</f>
        <v>0</v>
      </c>
      <c r="F377" s="15">
        <f t="shared" si="273"/>
        <v>0</v>
      </c>
      <c r="G377" s="15">
        <f t="shared" si="273"/>
        <v>0</v>
      </c>
      <c r="H377" s="15">
        <f t="shared" si="273"/>
        <v>0</v>
      </c>
      <c r="I377" s="15">
        <f t="shared" si="273"/>
        <v>0</v>
      </c>
      <c r="J377" s="15"/>
      <c r="K377" s="15"/>
      <c r="L377" s="15"/>
      <c r="M377" s="121" t="e">
        <f t="shared" si="252"/>
        <v>#DIV/0!</v>
      </c>
      <c r="N377" s="15">
        <f t="shared" si="273"/>
        <v>0</v>
      </c>
      <c r="O377" s="15">
        <f t="shared" si="274"/>
        <v>0</v>
      </c>
      <c r="P377" s="15">
        <f t="shared" si="275"/>
        <v>0</v>
      </c>
      <c r="Q377" s="15">
        <f t="shared" si="276"/>
        <v>0</v>
      </c>
      <c r="R377" s="15">
        <f t="shared" si="277"/>
        <v>0</v>
      </c>
      <c r="S377" s="15">
        <f t="shared" si="278"/>
        <v>0</v>
      </c>
      <c r="T377" s="15">
        <f t="shared" si="253"/>
        <v>0</v>
      </c>
      <c r="U377" s="15"/>
      <c r="V377" s="15"/>
      <c r="W377" s="15"/>
      <c r="X377" s="15"/>
      <c r="Y377" s="15"/>
      <c r="Z377" s="121" t="e">
        <f t="shared" si="254"/>
        <v>#DIV/0!</v>
      </c>
      <c r="AA377" s="15">
        <f t="shared" si="255"/>
        <v>0</v>
      </c>
      <c r="AB377" s="15">
        <f t="shared" si="278"/>
        <v>0</v>
      </c>
      <c r="AC377" s="198"/>
    </row>
    <row r="378" spans="1:29" s="21" customFormat="1" ht="36.75" hidden="1" customHeight="1" x14ac:dyDescent="0.25">
      <c r="A378" s="17" t="s">
        <v>113</v>
      </c>
      <c r="B378" s="40"/>
      <c r="C378" s="40"/>
      <c r="D378" s="19" t="s">
        <v>579</v>
      </c>
      <c r="E378" s="20">
        <f>E379+E380</f>
        <v>0</v>
      </c>
      <c r="F378" s="20">
        <f t="shared" ref="F378:AB378" si="279">F379+F380</f>
        <v>0</v>
      </c>
      <c r="G378" s="20">
        <f t="shared" si="279"/>
        <v>0</v>
      </c>
      <c r="H378" s="20">
        <f t="shared" si="279"/>
        <v>0</v>
      </c>
      <c r="I378" s="20">
        <f t="shared" si="279"/>
        <v>0</v>
      </c>
      <c r="J378" s="20"/>
      <c r="K378" s="20"/>
      <c r="L378" s="20"/>
      <c r="M378" s="187" t="e">
        <f t="shared" si="252"/>
        <v>#DIV/0!</v>
      </c>
      <c r="N378" s="20">
        <f t="shared" si="279"/>
        <v>0</v>
      </c>
      <c r="O378" s="20">
        <f t="shared" si="279"/>
        <v>0</v>
      </c>
      <c r="P378" s="20">
        <f t="shared" si="279"/>
        <v>0</v>
      </c>
      <c r="Q378" s="20">
        <f t="shared" si="279"/>
        <v>0</v>
      </c>
      <c r="R378" s="20">
        <f t="shared" si="279"/>
        <v>0</v>
      </c>
      <c r="S378" s="20">
        <f t="shared" si="279"/>
        <v>0</v>
      </c>
      <c r="T378" s="15">
        <f t="shared" si="253"/>
        <v>0</v>
      </c>
      <c r="U378" s="20"/>
      <c r="V378" s="20"/>
      <c r="W378" s="20"/>
      <c r="X378" s="20"/>
      <c r="Y378" s="20"/>
      <c r="Z378" s="187" t="e">
        <f t="shared" si="254"/>
        <v>#DIV/0!</v>
      </c>
      <c r="AA378" s="20">
        <f t="shared" si="255"/>
        <v>0</v>
      </c>
      <c r="AB378" s="20">
        <f t="shared" si="279"/>
        <v>0</v>
      </c>
      <c r="AC378" s="198"/>
    </row>
    <row r="379" spans="1:29" s="26" customFormat="1" ht="51.75" hidden="1" customHeight="1" x14ac:dyDescent="0.25">
      <c r="A379" s="22" t="s">
        <v>0</v>
      </c>
      <c r="B379" s="23" t="str">
        <f>'дод 5'!A21</f>
        <v>0160</v>
      </c>
      <c r="C379" s="23" t="str">
        <f>'дод 5'!B21</f>
        <v>0111</v>
      </c>
      <c r="D379" s="24" t="str">
        <f>'дод 5'!C21</f>
        <v>Керівництво і управління у відповідній сфері у містах (місті Києві), селищах, селах, територіальних громадах, у т.ч. за рахунок:</v>
      </c>
      <c r="E379" s="25">
        <f>F379+I379</f>
        <v>0</v>
      </c>
      <c r="F379" s="25">
        <f>10047900-10047900</f>
        <v>0</v>
      </c>
      <c r="G379" s="25">
        <f>7966500-7966500</f>
        <v>0</v>
      </c>
      <c r="H379" s="25">
        <f>122300-122300</f>
        <v>0</v>
      </c>
      <c r="I379" s="25"/>
      <c r="J379" s="25"/>
      <c r="K379" s="25"/>
      <c r="L379" s="25"/>
      <c r="M379" s="181" t="e">
        <f t="shared" si="252"/>
        <v>#DIV/0!</v>
      </c>
      <c r="N379" s="25">
        <f>P379+S379</f>
        <v>0</v>
      </c>
      <c r="O379" s="25">
        <f>8000-8000</f>
        <v>0</v>
      </c>
      <c r="P379" s="25"/>
      <c r="Q379" s="25"/>
      <c r="R379" s="25"/>
      <c r="S379" s="25">
        <f>8000-8000</f>
        <v>0</v>
      </c>
      <c r="T379" s="15">
        <f t="shared" si="253"/>
        <v>0</v>
      </c>
      <c r="U379" s="25"/>
      <c r="V379" s="25"/>
      <c r="W379" s="25"/>
      <c r="X379" s="25"/>
      <c r="Y379" s="25"/>
      <c r="Z379" s="181" t="e">
        <f t="shared" si="254"/>
        <v>#DIV/0!</v>
      </c>
      <c r="AA379" s="25">
        <f t="shared" si="255"/>
        <v>0</v>
      </c>
      <c r="AB379" s="25">
        <f>E379+N379</f>
        <v>0</v>
      </c>
      <c r="AC379" s="198"/>
    </row>
    <row r="380" spans="1:29" s="26" customFormat="1" ht="40.5" hidden="1" customHeight="1" x14ac:dyDescent="0.25">
      <c r="A380" s="22" t="s">
        <v>594</v>
      </c>
      <c r="B380" s="23" t="str">
        <f>'дод 5'!A289</f>
        <v>7610</v>
      </c>
      <c r="C380" s="23" t="str">
        <f>'дод 5'!B289</f>
        <v>0411</v>
      </c>
      <c r="D380" s="36" t="str">
        <f>'дод 5'!C289</f>
        <v>Сприяння розвитку малого та середнього підприємництва</v>
      </c>
      <c r="E380" s="25">
        <f>F380+I380</f>
        <v>0</v>
      </c>
      <c r="F380" s="25">
        <f>270000-50000-220000</f>
        <v>0</v>
      </c>
      <c r="G380" s="25"/>
      <c r="H380" s="25"/>
      <c r="I380" s="25">
        <f>250000+50000-300000</f>
        <v>0</v>
      </c>
      <c r="J380" s="25"/>
      <c r="K380" s="25"/>
      <c r="L380" s="25"/>
      <c r="M380" s="181" t="e">
        <f t="shared" si="252"/>
        <v>#DIV/0!</v>
      </c>
      <c r="N380" s="25">
        <f>P380+S380</f>
        <v>0</v>
      </c>
      <c r="O380" s="25">
        <f>8000-8000</f>
        <v>0</v>
      </c>
      <c r="P380" s="25"/>
      <c r="Q380" s="25"/>
      <c r="R380" s="25"/>
      <c r="S380" s="25">
        <f>8000-8000</f>
        <v>0</v>
      </c>
      <c r="T380" s="15">
        <f t="shared" si="253"/>
        <v>0</v>
      </c>
      <c r="U380" s="25"/>
      <c r="V380" s="25"/>
      <c r="W380" s="25"/>
      <c r="X380" s="25"/>
      <c r="Y380" s="25"/>
      <c r="Z380" s="181" t="e">
        <f t="shared" si="254"/>
        <v>#DIV/0!</v>
      </c>
      <c r="AA380" s="25">
        <f t="shared" si="255"/>
        <v>0</v>
      </c>
      <c r="AB380" s="25">
        <f>E380+N380</f>
        <v>0</v>
      </c>
      <c r="AC380" s="198"/>
    </row>
    <row r="381" spans="1:29" s="16" customFormat="1" ht="47.25" customHeight="1" x14ac:dyDescent="0.25">
      <c r="A381" s="37" t="s">
        <v>27</v>
      </c>
      <c r="B381" s="38"/>
      <c r="C381" s="38"/>
      <c r="D381" s="39" t="s">
        <v>32</v>
      </c>
      <c r="E381" s="15">
        <f>E382</f>
        <v>7097110</v>
      </c>
      <c r="F381" s="15">
        <f t="shared" ref="F381:AA381" si="280">F382</f>
        <v>7097110</v>
      </c>
      <c r="G381" s="15">
        <f t="shared" si="280"/>
        <v>5255979</v>
      </c>
      <c r="H381" s="15">
        <f t="shared" si="280"/>
        <v>0</v>
      </c>
      <c r="I381" s="15">
        <f t="shared" si="280"/>
        <v>0</v>
      </c>
      <c r="J381" s="15">
        <f t="shared" si="280"/>
        <v>6247418.2300000004</v>
      </c>
      <c r="K381" s="15">
        <f t="shared" si="280"/>
        <v>5203477.2</v>
      </c>
      <c r="L381" s="15">
        <f t="shared" si="280"/>
        <v>0</v>
      </c>
      <c r="M381" s="121">
        <f t="shared" si="252"/>
        <v>88.027637024084456</v>
      </c>
      <c r="N381" s="15">
        <f t="shared" si="280"/>
        <v>314109840.49000001</v>
      </c>
      <c r="O381" s="15">
        <f t="shared" si="280"/>
        <v>312461235.64999998</v>
      </c>
      <c r="P381" s="15">
        <f t="shared" si="280"/>
        <v>369000</v>
      </c>
      <c r="Q381" s="15">
        <f t="shared" si="280"/>
        <v>0</v>
      </c>
      <c r="R381" s="15">
        <f t="shared" si="280"/>
        <v>208200</v>
      </c>
      <c r="S381" s="15">
        <f t="shared" si="280"/>
        <v>313740840.49000001</v>
      </c>
      <c r="T381" s="15">
        <f t="shared" si="280"/>
        <v>173612238.94999999</v>
      </c>
      <c r="U381" s="15">
        <f t="shared" si="280"/>
        <v>171246586.72</v>
      </c>
      <c r="V381" s="15">
        <f t="shared" si="280"/>
        <v>1279365.22</v>
      </c>
      <c r="W381" s="15">
        <f t="shared" si="280"/>
        <v>702727.43</v>
      </c>
      <c r="X381" s="15">
        <f t="shared" si="280"/>
        <v>160446.82</v>
      </c>
      <c r="Y381" s="15">
        <f t="shared" si="280"/>
        <v>172332873.73000002</v>
      </c>
      <c r="Z381" s="121">
        <f t="shared" si="254"/>
        <v>55.271187518089583</v>
      </c>
      <c r="AA381" s="15">
        <f t="shared" si="280"/>
        <v>179859657.18000001</v>
      </c>
      <c r="AB381" s="15">
        <f t="shared" ref="AB381" si="281">AB382</f>
        <v>321206950.49000001</v>
      </c>
      <c r="AC381" s="198"/>
    </row>
    <row r="382" spans="1:29" s="21" customFormat="1" ht="47.25" x14ac:dyDescent="0.25">
      <c r="A382" s="17" t="s">
        <v>28</v>
      </c>
      <c r="B382" s="40"/>
      <c r="C382" s="40"/>
      <c r="D382" s="19" t="s">
        <v>400</v>
      </c>
      <c r="E382" s="20">
        <f>SUM(E388+E389+E390+E391+E392+E393+E397+E398+E399+E401+E403+E405+E407+E408+E409+E411+E412+E404+E415+E416+E394+E395)</f>
        <v>7097110</v>
      </c>
      <c r="F382" s="20">
        <f t="shared" ref="F382:AA382" si="282">SUM(F388+F389+F390+F391+F392+F393+F397+F398+F399+F401+F403+F405+F407+F408+F409+F411+F412+F404+F415+F416+F394+F395)</f>
        <v>7097110</v>
      </c>
      <c r="G382" s="20">
        <f t="shared" si="282"/>
        <v>5255979</v>
      </c>
      <c r="H382" s="20">
        <f t="shared" si="282"/>
        <v>0</v>
      </c>
      <c r="I382" s="20">
        <f t="shared" si="282"/>
        <v>0</v>
      </c>
      <c r="J382" s="20">
        <f t="shared" si="282"/>
        <v>6247418.2300000004</v>
      </c>
      <c r="K382" s="20">
        <f t="shared" si="282"/>
        <v>5203477.2</v>
      </c>
      <c r="L382" s="20">
        <f t="shared" si="282"/>
        <v>0</v>
      </c>
      <c r="M382" s="187">
        <f t="shared" si="252"/>
        <v>88.027637024084456</v>
      </c>
      <c r="N382" s="20">
        <f t="shared" si="282"/>
        <v>314109840.49000001</v>
      </c>
      <c r="O382" s="20">
        <f t="shared" si="282"/>
        <v>312461235.64999998</v>
      </c>
      <c r="P382" s="20">
        <f t="shared" si="282"/>
        <v>369000</v>
      </c>
      <c r="Q382" s="20">
        <f t="shared" si="282"/>
        <v>0</v>
      </c>
      <c r="R382" s="20">
        <f t="shared" si="282"/>
        <v>208200</v>
      </c>
      <c r="S382" s="20">
        <f t="shared" si="282"/>
        <v>313740840.49000001</v>
      </c>
      <c r="T382" s="20">
        <f t="shared" si="282"/>
        <v>173612238.94999999</v>
      </c>
      <c r="U382" s="20">
        <f t="shared" si="282"/>
        <v>171246586.72</v>
      </c>
      <c r="V382" s="20">
        <f t="shared" si="282"/>
        <v>1279365.22</v>
      </c>
      <c r="W382" s="20">
        <f t="shared" si="282"/>
        <v>702727.43</v>
      </c>
      <c r="X382" s="20">
        <f t="shared" si="282"/>
        <v>160446.82</v>
      </c>
      <c r="Y382" s="20">
        <f t="shared" si="282"/>
        <v>172332873.73000002</v>
      </c>
      <c r="Z382" s="187">
        <f t="shared" si="254"/>
        <v>55.271187518089583</v>
      </c>
      <c r="AA382" s="20">
        <f t="shared" si="282"/>
        <v>179859657.18000001</v>
      </c>
      <c r="AB382" s="20">
        <f t="shared" ref="AB382" si="283">SUM(AB388+AB389+AB390+AB391+AB392+AB393+AB397+AB398+AB399+AB401+AB403+AB405+AB407+AB408+AB409+AB411+AB412+AB404+AB415+AB416+AB394+AB395)</f>
        <v>321206950.49000001</v>
      </c>
      <c r="AC382" s="198"/>
    </row>
    <row r="383" spans="1:29" s="21" customFormat="1" ht="63" hidden="1" customHeight="1" x14ac:dyDescent="0.25">
      <c r="A383" s="17"/>
      <c r="B383" s="40"/>
      <c r="C383" s="40"/>
      <c r="D383" s="19" t="s">
        <v>574</v>
      </c>
      <c r="E383" s="20">
        <f>E410</f>
        <v>0</v>
      </c>
      <c r="F383" s="20">
        <f t="shared" ref="F383:AA383" si="284">F410</f>
        <v>0</v>
      </c>
      <c r="G383" s="20">
        <f t="shared" si="284"/>
        <v>0</v>
      </c>
      <c r="H383" s="20">
        <f t="shared" si="284"/>
        <v>0</v>
      </c>
      <c r="I383" s="20">
        <f t="shared" si="284"/>
        <v>0</v>
      </c>
      <c r="J383" s="20">
        <f t="shared" si="284"/>
        <v>0</v>
      </c>
      <c r="K383" s="20">
        <f t="shared" si="284"/>
        <v>0</v>
      </c>
      <c r="L383" s="20">
        <f t="shared" si="284"/>
        <v>0</v>
      </c>
      <c r="M383" s="187" t="e">
        <f t="shared" si="252"/>
        <v>#DIV/0!</v>
      </c>
      <c r="N383" s="20">
        <f t="shared" si="284"/>
        <v>0</v>
      </c>
      <c r="O383" s="20">
        <f t="shared" si="284"/>
        <v>0</v>
      </c>
      <c r="P383" s="20">
        <f t="shared" si="284"/>
        <v>0</v>
      </c>
      <c r="Q383" s="20">
        <f t="shared" si="284"/>
        <v>0</v>
      </c>
      <c r="R383" s="20">
        <f t="shared" si="284"/>
        <v>0</v>
      </c>
      <c r="S383" s="20">
        <f t="shared" si="284"/>
        <v>0</v>
      </c>
      <c r="T383" s="20">
        <f t="shared" si="284"/>
        <v>0</v>
      </c>
      <c r="U383" s="20">
        <f t="shared" si="284"/>
        <v>0</v>
      </c>
      <c r="V383" s="20">
        <f t="shared" si="284"/>
        <v>0</v>
      </c>
      <c r="W383" s="20">
        <f t="shared" si="284"/>
        <v>0</v>
      </c>
      <c r="X383" s="20">
        <f t="shared" si="284"/>
        <v>0</v>
      </c>
      <c r="Y383" s="20">
        <f t="shared" si="284"/>
        <v>0</v>
      </c>
      <c r="Z383" s="187" t="e">
        <f t="shared" si="254"/>
        <v>#DIV/0!</v>
      </c>
      <c r="AA383" s="20">
        <f t="shared" si="284"/>
        <v>0</v>
      </c>
      <c r="AB383" s="20">
        <f>AB410</f>
        <v>0</v>
      </c>
      <c r="AC383" s="198"/>
    </row>
    <row r="384" spans="1:29" s="21" customFormat="1" ht="53.25" customHeight="1" x14ac:dyDescent="0.25">
      <c r="A384" s="17"/>
      <c r="B384" s="40"/>
      <c r="C384" s="40"/>
      <c r="D384" s="19" t="s">
        <v>680</v>
      </c>
      <c r="E384" s="20">
        <f>E396</f>
        <v>0</v>
      </c>
      <c r="F384" s="20">
        <f t="shared" ref="F384:AA384" si="285">F396</f>
        <v>0</v>
      </c>
      <c r="G384" s="20">
        <f t="shared" si="285"/>
        <v>0</v>
      </c>
      <c r="H384" s="20">
        <f t="shared" si="285"/>
        <v>0</v>
      </c>
      <c r="I384" s="20">
        <f t="shared" si="285"/>
        <v>0</v>
      </c>
      <c r="J384" s="20">
        <f t="shared" si="285"/>
        <v>0</v>
      </c>
      <c r="K384" s="20">
        <f t="shared" si="285"/>
        <v>0</v>
      </c>
      <c r="L384" s="20">
        <f t="shared" si="285"/>
        <v>0</v>
      </c>
      <c r="M384" s="187"/>
      <c r="N384" s="20">
        <f t="shared" si="285"/>
        <v>73585211</v>
      </c>
      <c r="O384" s="20">
        <f t="shared" si="285"/>
        <v>73585211</v>
      </c>
      <c r="P384" s="20">
        <f t="shared" si="285"/>
        <v>0</v>
      </c>
      <c r="Q384" s="20">
        <f t="shared" si="285"/>
        <v>0</v>
      </c>
      <c r="R384" s="20">
        <f t="shared" si="285"/>
        <v>0</v>
      </c>
      <c r="S384" s="20">
        <f t="shared" si="285"/>
        <v>73585211</v>
      </c>
      <c r="T384" s="20">
        <f t="shared" si="285"/>
        <v>65775761</v>
      </c>
      <c r="U384" s="20">
        <f t="shared" si="285"/>
        <v>65775761</v>
      </c>
      <c r="V384" s="20">
        <f t="shared" si="285"/>
        <v>0</v>
      </c>
      <c r="W384" s="20">
        <f t="shared" si="285"/>
        <v>0</v>
      </c>
      <c r="X384" s="20">
        <f t="shared" si="285"/>
        <v>0</v>
      </c>
      <c r="Y384" s="20">
        <f t="shared" si="285"/>
        <v>65775761</v>
      </c>
      <c r="Z384" s="187">
        <f t="shared" si="254"/>
        <v>89.387201729978045</v>
      </c>
      <c r="AA384" s="20">
        <f t="shared" si="285"/>
        <v>65775761</v>
      </c>
      <c r="AB384" s="20">
        <f t="shared" ref="AB384" si="286">AB396</f>
        <v>73585211</v>
      </c>
      <c r="AC384" s="198"/>
    </row>
    <row r="385" spans="1:29" s="21" customFormat="1" ht="105" customHeight="1" x14ac:dyDescent="0.25">
      <c r="A385" s="17"/>
      <c r="B385" s="40"/>
      <c r="C385" s="40"/>
      <c r="D385" s="19" t="str">
        <f>D406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385" s="20">
        <f>E406+E400+E402</f>
        <v>0</v>
      </c>
      <c r="F385" s="20">
        <f t="shared" ref="F385:AA385" si="287">F406+F400+F402</f>
        <v>0</v>
      </c>
      <c r="G385" s="20">
        <f t="shared" si="287"/>
        <v>0</v>
      </c>
      <c r="H385" s="20">
        <f t="shared" si="287"/>
        <v>0</v>
      </c>
      <c r="I385" s="20">
        <f t="shared" si="287"/>
        <v>0</v>
      </c>
      <c r="J385" s="20">
        <f t="shared" si="287"/>
        <v>0</v>
      </c>
      <c r="K385" s="20">
        <f t="shared" si="287"/>
        <v>0</v>
      </c>
      <c r="L385" s="20">
        <f t="shared" si="287"/>
        <v>0</v>
      </c>
      <c r="M385" s="187"/>
      <c r="N385" s="20">
        <f t="shared" si="287"/>
        <v>5600000</v>
      </c>
      <c r="O385" s="20">
        <f t="shared" si="287"/>
        <v>5600000</v>
      </c>
      <c r="P385" s="20">
        <f t="shared" si="287"/>
        <v>0</v>
      </c>
      <c r="Q385" s="20">
        <f t="shared" si="287"/>
        <v>0</v>
      </c>
      <c r="R385" s="20">
        <f t="shared" si="287"/>
        <v>0</v>
      </c>
      <c r="S385" s="20">
        <f t="shared" si="287"/>
        <v>5600000</v>
      </c>
      <c r="T385" s="20">
        <f t="shared" si="287"/>
        <v>3650201</v>
      </c>
      <c r="U385" s="20">
        <f t="shared" si="287"/>
        <v>3650201</v>
      </c>
      <c r="V385" s="20">
        <f t="shared" si="287"/>
        <v>0</v>
      </c>
      <c r="W385" s="20">
        <f t="shared" si="287"/>
        <v>0</v>
      </c>
      <c r="X385" s="20">
        <f t="shared" si="287"/>
        <v>0</v>
      </c>
      <c r="Y385" s="20">
        <f t="shared" si="287"/>
        <v>3650201</v>
      </c>
      <c r="Z385" s="187">
        <f t="shared" si="254"/>
        <v>65.182160714285715</v>
      </c>
      <c r="AA385" s="20">
        <f t="shared" si="287"/>
        <v>3650201</v>
      </c>
      <c r="AB385" s="20">
        <f t="shared" ref="AB385" si="288">AB406+AB400+AB402</f>
        <v>5600000</v>
      </c>
      <c r="AC385" s="198"/>
    </row>
    <row r="386" spans="1:29" s="21" customFormat="1" ht="27" customHeight="1" x14ac:dyDescent="0.25">
      <c r="A386" s="17"/>
      <c r="B386" s="40"/>
      <c r="C386" s="40"/>
      <c r="D386" s="19" t="s">
        <v>399</v>
      </c>
      <c r="E386" s="20">
        <f>E413</f>
        <v>0</v>
      </c>
      <c r="F386" s="20">
        <f t="shared" ref="F386:AA386" si="289">F413</f>
        <v>0</v>
      </c>
      <c r="G386" s="20">
        <f t="shared" si="289"/>
        <v>0</v>
      </c>
      <c r="H386" s="20">
        <f t="shared" si="289"/>
        <v>0</v>
      </c>
      <c r="I386" s="20">
        <f t="shared" si="289"/>
        <v>0</v>
      </c>
      <c r="J386" s="20">
        <f t="shared" si="289"/>
        <v>0</v>
      </c>
      <c r="K386" s="20">
        <f t="shared" si="289"/>
        <v>0</v>
      </c>
      <c r="L386" s="20">
        <f t="shared" si="289"/>
        <v>0</v>
      </c>
      <c r="M386" s="187"/>
      <c r="N386" s="20">
        <f t="shared" si="289"/>
        <v>61868709</v>
      </c>
      <c r="O386" s="20">
        <f t="shared" si="289"/>
        <v>61868709</v>
      </c>
      <c r="P386" s="20">
        <f t="shared" si="289"/>
        <v>0</v>
      </c>
      <c r="Q386" s="20">
        <f t="shared" si="289"/>
        <v>0</v>
      </c>
      <c r="R386" s="20">
        <f t="shared" si="289"/>
        <v>0</v>
      </c>
      <c r="S386" s="20">
        <f t="shared" si="289"/>
        <v>61868709</v>
      </c>
      <c r="T386" s="20">
        <f t="shared" si="289"/>
        <v>0</v>
      </c>
      <c r="U386" s="20">
        <f t="shared" si="289"/>
        <v>0</v>
      </c>
      <c r="V386" s="20">
        <f t="shared" si="289"/>
        <v>0</v>
      </c>
      <c r="W386" s="20">
        <f t="shared" si="289"/>
        <v>0</v>
      </c>
      <c r="X386" s="20">
        <f t="shared" si="289"/>
        <v>0</v>
      </c>
      <c r="Y386" s="20">
        <f t="shared" si="289"/>
        <v>0</v>
      </c>
      <c r="Z386" s="187">
        <f t="shared" si="254"/>
        <v>0</v>
      </c>
      <c r="AA386" s="20">
        <f t="shared" si="289"/>
        <v>0</v>
      </c>
      <c r="AB386" s="20">
        <f t="shared" ref="AB386" si="290">AB413</f>
        <v>61868709</v>
      </c>
      <c r="AC386" s="198"/>
    </row>
    <row r="387" spans="1:29" s="21" customFormat="1" ht="53.25" customHeight="1" x14ac:dyDescent="0.25">
      <c r="A387" s="17"/>
      <c r="B387" s="40"/>
      <c r="C387" s="40"/>
      <c r="D387" s="19" t="str">
        <f>D414</f>
        <v xml:space="preserve">залишку коштів по запозиченню від ЄІБ «Підвищення енергоефективності в дошкільних закладах м. Суми», що склався станом на 01.01.2024 року </v>
      </c>
      <c r="E387" s="20">
        <f>E414</f>
        <v>0</v>
      </c>
      <c r="F387" s="20">
        <f t="shared" ref="F387:AA387" si="291">F414</f>
        <v>0</v>
      </c>
      <c r="G387" s="20">
        <f t="shared" si="291"/>
        <v>0</v>
      </c>
      <c r="H387" s="20">
        <f t="shared" si="291"/>
        <v>0</v>
      </c>
      <c r="I387" s="20">
        <f t="shared" si="291"/>
        <v>0</v>
      </c>
      <c r="J387" s="20">
        <f t="shared" si="291"/>
        <v>0</v>
      </c>
      <c r="K387" s="20">
        <f t="shared" si="291"/>
        <v>0</v>
      </c>
      <c r="L387" s="20">
        <f t="shared" si="291"/>
        <v>0</v>
      </c>
      <c r="M387" s="187"/>
      <c r="N387" s="20">
        <f t="shared" si="291"/>
        <v>42207900</v>
      </c>
      <c r="O387" s="20">
        <f t="shared" si="291"/>
        <v>42207900</v>
      </c>
      <c r="P387" s="20">
        <f t="shared" si="291"/>
        <v>0</v>
      </c>
      <c r="Q387" s="20">
        <f t="shared" si="291"/>
        <v>0</v>
      </c>
      <c r="R387" s="20">
        <f t="shared" si="291"/>
        <v>0</v>
      </c>
      <c r="S387" s="20">
        <f t="shared" si="291"/>
        <v>42207900</v>
      </c>
      <c r="T387" s="20">
        <f t="shared" si="291"/>
        <v>1136625.77</v>
      </c>
      <c r="U387" s="20">
        <f t="shared" si="291"/>
        <v>1136625.77</v>
      </c>
      <c r="V387" s="20">
        <f t="shared" si="291"/>
        <v>0</v>
      </c>
      <c r="W387" s="20">
        <f t="shared" si="291"/>
        <v>0</v>
      </c>
      <c r="X387" s="20">
        <f t="shared" si="291"/>
        <v>0</v>
      </c>
      <c r="Y387" s="20">
        <f t="shared" si="291"/>
        <v>1136625.77</v>
      </c>
      <c r="Z387" s="187">
        <f t="shared" si="254"/>
        <v>2.692921870076455</v>
      </c>
      <c r="AA387" s="20">
        <f t="shared" si="291"/>
        <v>1136625.77</v>
      </c>
      <c r="AB387" s="20">
        <f t="shared" ref="AB387" si="292">AB414</f>
        <v>42207900</v>
      </c>
      <c r="AC387" s="198"/>
    </row>
    <row r="388" spans="1:29" s="26" customFormat="1" ht="47.25" x14ac:dyDescent="0.25">
      <c r="A388" s="22" t="s">
        <v>133</v>
      </c>
      <c r="B388" s="23" t="str">
        <f>'дод 5'!A21</f>
        <v>0160</v>
      </c>
      <c r="C388" s="23" t="str">
        <f>'дод 5'!B21</f>
        <v>0111</v>
      </c>
      <c r="D388" s="24" t="s">
        <v>707</v>
      </c>
      <c r="E388" s="25">
        <f t="shared" ref="E388:E415" si="293">F388+I388</f>
        <v>6411786</v>
      </c>
      <c r="F388" s="25">
        <f>7067600-985000+604200-275014</f>
        <v>6411786</v>
      </c>
      <c r="G388" s="25">
        <f>5793100-807400+495700-225421</f>
        <v>5255979</v>
      </c>
      <c r="H388" s="25"/>
      <c r="I388" s="25"/>
      <c r="J388" s="25">
        <v>6247418.2300000004</v>
      </c>
      <c r="K388" s="25">
        <v>5203477.2</v>
      </c>
      <c r="L388" s="25"/>
      <c r="M388" s="181">
        <f t="shared" si="252"/>
        <v>97.436474486204006</v>
      </c>
      <c r="N388" s="25">
        <f>P388+S388</f>
        <v>369000</v>
      </c>
      <c r="O388" s="25"/>
      <c r="P388" s="25">
        <v>369000</v>
      </c>
      <c r="Q388" s="25"/>
      <c r="R388" s="25">
        <v>208200</v>
      </c>
      <c r="S388" s="25"/>
      <c r="T388" s="15">
        <f t="shared" si="253"/>
        <v>1279365.22</v>
      </c>
      <c r="U388" s="25"/>
      <c r="V388" s="25">
        <v>1279365.22</v>
      </c>
      <c r="W388" s="25">
        <v>702727.43</v>
      </c>
      <c r="X388" s="25">
        <v>160446.82</v>
      </c>
      <c r="Y388" s="25"/>
      <c r="Z388" s="181" t="s">
        <v>774</v>
      </c>
      <c r="AA388" s="25">
        <f t="shared" si="255"/>
        <v>7526783.4500000002</v>
      </c>
      <c r="AB388" s="25">
        <f t="shared" ref="AB388:AB415" si="294">E388+N388</f>
        <v>6780786</v>
      </c>
      <c r="AC388" s="198"/>
    </row>
    <row r="389" spans="1:29" s="26" customFormat="1" ht="26.65" customHeight="1" x14ac:dyDescent="0.25">
      <c r="A389" s="22" t="s">
        <v>553</v>
      </c>
      <c r="B389" s="23">
        <v>1010</v>
      </c>
      <c r="C389" s="22" t="s">
        <v>47</v>
      </c>
      <c r="D389" s="24" t="s">
        <v>468</v>
      </c>
      <c r="E389" s="25">
        <f t="shared" si="293"/>
        <v>0</v>
      </c>
      <c r="F389" s="25"/>
      <c r="G389" s="25"/>
      <c r="H389" s="25"/>
      <c r="I389" s="25"/>
      <c r="J389" s="25"/>
      <c r="K389" s="25"/>
      <c r="L389" s="25"/>
      <c r="M389" s="181"/>
      <c r="N389" s="25">
        <f>P389+S389</f>
        <v>25894279</v>
      </c>
      <c r="O389" s="25">
        <f>3155700+1954092+20556921.65+685000+970000-300000-989801-136000-19400-9112-103295-1400000-2749-67891-36024-112001+810000+1450000-350000-50000-416330-359-480780-2893-1242-13700-21304-7895</f>
        <v>25060937.649999999</v>
      </c>
      <c r="P389" s="25"/>
      <c r="Q389" s="25"/>
      <c r="R389" s="25"/>
      <c r="S389" s="25">
        <f>3155700+1954092+21390263+685000+970000-300000-989801-136000-19400-9112-103295-1400000-2749-67891-36024-112001+810000+1450000-350000-50000-416330-359-480780-2893-1242-13700-21304-7895</f>
        <v>25894279</v>
      </c>
      <c r="T389" s="15">
        <f t="shared" si="253"/>
        <v>25823300</v>
      </c>
      <c r="U389" s="25">
        <v>24999051</v>
      </c>
      <c r="V389" s="25"/>
      <c r="W389" s="25"/>
      <c r="X389" s="25"/>
      <c r="Y389" s="25">
        <v>25823300</v>
      </c>
      <c r="Z389" s="181">
        <f t="shared" si="254"/>
        <v>99.725889259168028</v>
      </c>
      <c r="AA389" s="25">
        <f t="shared" si="255"/>
        <v>25823300</v>
      </c>
      <c r="AB389" s="25">
        <f t="shared" si="294"/>
        <v>25894279</v>
      </c>
      <c r="AC389" s="198"/>
    </row>
    <row r="390" spans="1:29" s="26" customFormat="1" ht="31.5" hidden="1" customHeight="1" x14ac:dyDescent="0.25">
      <c r="A390" s="22" t="s">
        <v>555</v>
      </c>
      <c r="B390" s="23">
        <v>1021</v>
      </c>
      <c r="C390" s="22" t="s">
        <v>49</v>
      </c>
      <c r="D390" s="24" t="s">
        <v>438</v>
      </c>
      <c r="E390" s="25">
        <f t="shared" si="293"/>
        <v>0</v>
      </c>
      <c r="F390" s="25"/>
      <c r="G390" s="25"/>
      <c r="H390" s="25"/>
      <c r="I390" s="25"/>
      <c r="J390" s="25"/>
      <c r="K390" s="25"/>
      <c r="L390" s="25"/>
      <c r="M390" s="181"/>
      <c r="N390" s="25">
        <f t="shared" ref="N390:N395" si="295">P390+S390</f>
        <v>0</v>
      </c>
      <c r="O390" s="25"/>
      <c r="P390" s="25"/>
      <c r="Q390" s="25"/>
      <c r="R390" s="25"/>
      <c r="S390" s="25"/>
      <c r="T390" s="15">
        <f t="shared" si="253"/>
        <v>0</v>
      </c>
      <c r="U390" s="25"/>
      <c r="V390" s="25"/>
      <c r="W390" s="25"/>
      <c r="X390" s="25"/>
      <c r="Y390" s="25"/>
      <c r="Z390" s="181" t="e">
        <f t="shared" si="254"/>
        <v>#DIV/0!</v>
      </c>
      <c r="AA390" s="25">
        <f t="shared" si="255"/>
        <v>0</v>
      </c>
      <c r="AB390" s="25">
        <f t="shared" si="294"/>
        <v>0</v>
      </c>
      <c r="AC390" s="198"/>
    </row>
    <row r="391" spans="1:29" s="26" customFormat="1" ht="63" hidden="1" customHeight="1" x14ac:dyDescent="0.25">
      <c r="A391" s="22" t="s">
        <v>556</v>
      </c>
      <c r="B391" s="23">
        <v>1022</v>
      </c>
      <c r="C391" s="22" t="s">
        <v>53</v>
      </c>
      <c r="D391" s="24" t="s">
        <v>440</v>
      </c>
      <c r="E391" s="25">
        <f t="shared" si="293"/>
        <v>0</v>
      </c>
      <c r="F391" s="25"/>
      <c r="G391" s="25"/>
      <c r="H391" s="25"/>
      <c r="I391" s="25"/>
      <c r="J391" s="25"/>
      <c r="K391" s="25"/>
      <c r="L391" s="25"/>
      <c r="M391" s="181"/>
      <c r="N391" s="25">
        <f t="shared" si="295"/>
        <v>0</v>
      </c>
      <c r="O391" s="25"/>
      <c r="P391" s="25"/>
      <c r="Q391" s="25"/>
      <c r="R391" s="25"/>
      <c r="S391" s="25"/>
      <c r="T391" s="15">
        <f t="shared" si="253"/>
        <v>0</v>
      </c>
      <c r="U391" s="25"/>
      <c r="V391" s="25"/>
      <c r="W391" s="25"/>
      <c r="X391" s="25"/>
      <c r="Y391" s="25"/>
      <c r="Z391" s="181" t="e">
        <f t="shared" si="254"/>
        <v>#DIV/0!</v>
      </c>
      <c r="AA391" s="25">
        <f t="shared" si="255"/>
        <v>0</v>
      </c>
      <c r="AB391" s="25">
        <f t="shared" si="294"/>
        <v>0</v>
      </c>
      <c r="AC391" s="198"/>
    </row>
    <row r="392" spans="1:29" s="26" customFormat="1" ht="31.5" hidden="1" customHeight="1" x14ac:dyDescent="0.25">
      <c r="A392" s="22" t="s">
        <v>557</v>
      </c>
      <c r="B392" s="23">
        <v>2010</v>
      </c>
      <c r="C392" s="22" t="s">
        <v>59</v>
      </c>
      <c r="D392" s="24" t="s">
        <v>542</v>
      </c>
      <c r="E392" s="25">
        <f t="shared" si="293"/>
        <v>0</v>
      </c>
      <c r="F392" s="25"/>
      <c r="G392" s="25"/>
      <c r="H392" s="25"/>
      <c r="I392" s="25"/>
      <c r="J392" s="25"/>
      <c r="K392" s="25"/>
      <c r="L392" s="25"/>
      <c r="M392" s="181"/>
      <c r="N392" s="25">
        <f t="shared" si="295"/>
        <v>0</v>
      </c>
      <c r="O392" s="25"/>
      <c r="P392" s="25"/>
      <c r="Q392" s="25"/>
      <c r="R392" s="25"/>
      <c r="S392" s="25"/>
      <c r="T392" s="15">
        <f t="shared" si="253"/>
        <v>0</v>
      </c>
      <c r="U392" s="25"/>
      <c r="V392" s="25"/>
      <c r="W392" s="25"/>
      <c r="X392" s="25"/>
      <c r="Y392" s="25"/>
      <c r="Z392" s="181" t="e">
        <f t="shared" si="254"/>
        <v>#DIV/0!</v>
      </c>
      <c r="AA392" s="25">
        <f t="shared" si="255"/>
        <v>0</v>
      </c>
      <c r="AB392" s="25">
        <f t="shared" si="294"/>
        <v>0</v>
      </c>
      <c r="AC392" s="198"/>
    </row>
    <row r="393" spans="1:29" s="26" customFormat="1" ht="15.75" hidden="1" customHeight="1" x14ac:dyDescent="0.25">
      <c r="A393" s="22" t="s">
        <v>197</v>
      </c>
      <c r="B393" s="23" t="str">
        <f>'дод 5'!A217</f>
        <v>6030</v>
      </c>
      <c r="C393" s="23" t="str">
        <f>'дод 5'!B217</f>
        <v>0620</v>
      </c>
      <c r="D393" s="24" t="str">
        <f>'дод 5'!C217</f>
        <v>Організація благоустрою населених пунктів</v>
      </c>
      <c r="E393" s="25">
        <f t="shared" si="293"/>
        <v>0</v>
      </c>
      <c r="F393" s="25"/>
      <c r="G393" s="25"/>
      <c r="H393" s="25"/>
      <c r="I393" s="25"/>
      <c r="J393" s="25"/>
      <c r="K393" s="25"/>
      <c r="L393" s="25"/>
      <c r="M393" s="181"/>
      <c r="N393" s="25">
        <f t="shared" si="295"/>
        <v>0</v>
      </c>
      <c r="O393" s="25"/>
      <c r="P393" s="25"/>
      <c r="Q393" s="25"/>
      <c r="R393" s="25"/>
      <c r="S393" s="25"/>
      <c r="T393" s="15">
        <f t="shared" si="253"/>
        <v>0</v>
      </c>
      <c r="U393" s="25"/>
      <c r="V393" s="25"/>
      <c r="W393" s="25"/>
      <c r="X393" s="25"/>
      <c r="Y393" s="25"/>
      <c r="Z393" s="181" t="e">
        <f t="shared" si="254"/>
        <v>#DIV/0!</v>
      </c>
      <c r="AA393" s="25">
        <f t="shared" si="255"/>
        <v>0</v>
      </c>
      <c r="AB393" s="25">
        <f t="shared" si="294"/>
        <v>0</v>
      </c>
      <c r="AC393" s="198"/>
    </row>
    <row r="394" spans="1:29" s="26" customFormat="1" ht="80.25" customHeight="1" x14ac:dyDescent="0.25">
      <c r="A394" s="22" t="s">
        <v>630</v>
      </c>
      <c r="B394" s="23">
        <v>1261</v>
      </c>
      <c r="C394" s="22" t="s">
        <v>56</v>
      </c>
      <c r="D394" s="24" t="s">
        <v>648</v>
      </c>
      <c r="E394" s="25">
        <f t="shared" si="293"/>
        <v>0</v>
      </c>
      <c r="F394" s="25"/>
      <c r="G394" s="25"/>
      <c r="H394" s="25"/>
      <c r="I394" s="25"/>
      <c r="J394" s="25"/>
      <c r="K394" s="25"/>
      <c r="L394" s="25"/>
      <c r="M394" s="181"/>
      <c r="N394" s="25">
        <f t="shared" si="295"/>
        <v>51854052</v>
      </c>
      <c r="O394" s="25">
        <f>100000+1000000+7376319+11859694+30220000-1961+1300000</f>
        <v>51854052</v>
      </c>
      <c r="P394" s="25"/>
      <c r="Q394" s="25"/>
      <c r="R394" s="25"/>
      <c r="S394" s="25">
        <f>100000+1000000+7376319+11859694+30220000-1961+1300000</f>
        <v>51854052</v>
      </c>
      <c r="T394" s="15">
        <f t="shared" si="253"/>
        <v>33297157.800000001</v>
      </c>
      <c r="U394" s="25">
        <v>33297157.800000001</v>
      </c>
      <c r="V394" s="25"/>
      <c r="W394" s="25"/>
      <c r="X394" s="25"/>
      <c r="Y394" s="25">
        <v>33297157.800000001</v>
      </c>
      <c r="Z394" s="181">
        <f t="shared" si="254"/>
        <v>64.213222526949295</v>
      </c>
      <c r="AA394" s="25">
        <f t="shared" si="255"/>
        <v>33297157.800000001</v>
      </c>
      <c r="AB394" s="25">
        <f t="shared" si="294"/>
        <v>51854052</v>
      </c>
      <c r="AC394" s="198"/>
    </row>
    <row r="395" spans="1:29" s="26" customFormat="1" ht="63" x14ac:dyDescent="0.25">
      <c r="A395" s="22" t="s">
        <v>631</v>
      </c>
      <c r="B395" s="23">
        <v>1262</v>
      </c>
      <c r="C395" s="22" t="s">
        <v>56</v>
      </c>
      <c r="D395" s="24" t="s">
        <v>681</v>
      </c>
      <c r="E395" s="25">
        <f t="shared" si="293"/>
        <v>0</v>
      </c>
      <c r="F395" s="25"/>
      <c r="G395" s="25"/>
      <c r="H395" s="25"/>
      <c r="I395" s="25"/>
      <c r="J395" s="25"/>
      <c r="K395" s="25"/>
      <c r="L395" s="25"/>
      <c r="M395" s="181"/>
      <c r="N395" s="25">
        <f t="shared" si="295"/>
        <v>73585211</v>
      </c>
      <c r="O395" s="25">
        <f>17211412+56373799</f>
        <v>73585211</v>
      </c>
      <c r="P395" s="25"/>
      <c r="Q395" s="25"/>
      <c r="R395" s="25"/>
      <c r="S395" s="25">
        <f>17211412+56373799</f>
        <v>73585211</v>
      </c>
      <c r="T395" s="15">
        <f t="shared" si="253"/>
        <v>65775761</v>
      </c>
      <c r="U395" s="25">
        <v>65775761</v>
      </c>
      <c r="V395" s="25"/>
      <c r="W395" s="25"/>
      <c r="X395" s="25"/>
      <c r="Y395" s="25">
        <v>65775761</v>
      </c>
      <c r="Z395" s="181">
        <f t="shared" si="254"/>
        <v>89.387201729978045</v>
      </c>
      <c r="AA395" s="25">
        <f t="shared" si="255"/>
        <v>65775761</v>
      </c>
      <c r="AB395" s="25">
        <f t="shared" si="294"/>
        <v>73585211</v>
      </c>
      <c r="AC395" s="198"/>
    </row>
    <row r="396" spans="1:29" s="26" customFormat="1" ht="57" customHeight="1" x14ac:dyDescent="0.25">
      <c r="A396" s="22"/>
      <c r="B396" s="23"/>
      <c r="C396" s="22"/>
      <c r="D396" s="29" t="s">
        <v>679</v>
      </c>
      <c r="E396" s="25">
        <f t="shared" si="293"/>
        <v>0</v>
      </c>
      <c r="F396" s="25"/>
      <c r="G396" s="25"/>
      <c r="H396" s="25"/>
      <c r="I396" s="25"/>
      <c r="J396" s="25"/>
      <c r="K396" s="25"/>
      <c r="L396" s="25"/>
      <c r="M396" s="181"/>
      <c r="N396" s="30">
        <f>P396+S396</f>
        <v>73585211</v>
      </c>
      <c r="O396" s="30">
        <f>17211412+56373799</f>
        <v>73585211</v>
      </c>
      <c r="P396" s="30"/>
      <c r="Q396" s="30"/>
      <c r="R396" s="30"/>
      <c r="S396" s="30">
        <f>17211412+56373799</f>
        <v>73585211</v>
      </c>
      <c r="T396" s="15">
        <f t="shared" si="253"/>
        <v>65775761</v>
      </c>
      <c r="U396" s="30">
        <v>65775761</v>
      </c>
      <c r="V396" s="30"/>
      <c r="W396" s="30"/>
      <c r="X396" s="30"/>
      <c r="Y396" s="30">
        <v>65775761</v>
      </c>
      <c r="Z396" s="181">
        <f t="shared" si="254"/>
        <v>89.387201729978045</v>
      </c>
      <c r="AA396" s="25">
        <f t="shared" si="255"/>
        <v>65775761</v>
      </c>
      <c r="AB396" s="30">
        <f t="shared" si="294"/>
        <v>73585211</v>
      </c>
      <c r="AC396" s="198">
        <v>16</v>
      </c>
    </row>
    <row r="397" spans="1:29" s="26" customFormat="1" ht="65.25" customHeight="1" x14ac:dyDescent="0.25">
      <c r="A397" s="22" t="s">
        <v>198</v>
      </c>
      <c r="B397" s="23" t="str">
        <f>'дод 5'!A221</f>
        <v>6084</v>
      </c>
      <c r="C397" s="23" t="str">
        <f>'дод 5'!B221</f>
        <v>0610</v>
      </c>
      <c r="D397" s="24" t="str">
        <f>'дод 5'!C221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397" s="25">
        <f t="shared" si="293"/>
        <v>0</v>
      </c>
      <c r="F397" s="25"/>
      <c r="G397" s="25"/>
      <c r="H397" s="25"/>
      <c r="I397" s="25"/>
      <c r="J397" s="25"/>
      <c r="K397" s="25"/>
      <c r="L397" s="25"/>
      <c r="M397" s="181"/>
      <c r="N397" s="25">
        <f t="shared" ref="N397:N424" si="296">P397+S397</f>
        <v>446263.49</v>
      </c>
      <c r="O397" s="25"/>
      <c r="P397" s="25"/>
      <c r="Q397" s="25"/>
      <c r="R397" s="25"/>
      <c r="S397" s="25">
        <f>412200+34063.49</f>
        <v>446263.49</v>
      </c>
      <c r="T397" s="15">
        <f t="shared" si="253"/>
        <v>262038.01</v>
      </c>
      <c r="U397" s="25"/>
      <c r="V397" s="25"/>
      <c r="W397" s="25"/>
      <c r="X397" s="25"/>
      <c r="Y397" s="25">
        <v>262038.01</v>
      </c>
      <c r="Z397" s="181">
        <f t="shared" si="254"/>
        <v>58.718227206980345</v>
      </c>
      <c r="AA397" s="25">
        <f t="shared" si="255"/>
        <v>262038.01</v>
      </c>
      <c r="AB397" s="25">
        <f t="shared" si="294"/>
        <v>446263.49</v>
      </c>
      <c r="AC397" s="198"/>
    </row>
    <row r="398" spans="1:29" s="26" customFormat="1" ht="24.4" customHeight="1" x14ac:dyDescent="0.25">
      <c r="A398" s="22" t="s">
        <v>266</v>
      </c>
      <c r="B398" s="23" t="str">
        <f>'дод 5'!A242</f>
        <v>7310</v>
      </c>
      <c r="C398" s="23" t="str">
        <f>'дод 5'!B242</f>
        <v>0443</v>
      </c>
      <c r="D398" s="24" t="s">
        <v>619</v>
      </c>
      <c r="E398" s="25">
        <f t="shared" si="293"/>
        <v>0</v>
      </c>
      <c r="F398" s="25"/>
      <c r="G398" s="25"/>
      <c r="H398" s="25"/>
      <c r="I398" s="25"/>
      <c r="J398" s="25"/>
      <c r="K398" s="25"/>
      <c r="L398" s="25"/>
      <c r="M398" s="181"/>
      <c r="N398" s="25">
        <f t="shared" si="296"/>
        <v>665608</v>
      </c>
      <c r="O398" s="25">
        <f>537260+400000+963060-400000+400000-400000-537260+80000+60000-437452</f>
        <v>665608</v>
      </c>
      <c r="P398" s="25"/>
      <c r="Q398" s="25"/>
      <c r="R398" s="25"/>
      <c r="S398" s="25">
        <f>537260+400000+963060-400000+400000-400000-537260+80000+60000-437452</f>
        <v>665608</v>
      </c>
      <c r="T398" s="15">
        <f t="shared" si="253"/>
        <v>654281</v>
      </c>
      <c r="U398" s="25">
        <v>654281</v>
      </c>
      <c r="V398" s="25"/>
      <c r="W398" s="25"/>
      <c r="X398" s="25"/>
      <c r="Y398" s="25">
        <v>654281</v>
      </c>
      <c r="Z398" s="181">
        <f t="shared" si="254"/>
        <v>98.298247617216134</v>
      </c>
      <c r="AA398" s="25">
        <f t="shared" si="255"/>
        <v>654281</v>
      </c>
      <c r="AB398" s="25">
        <f t="shared" si="294"/>
        <v>665608</v>
      </c>
      <c r="AC398" s="198"/>
    </row>
    <row r="399" spans="1:29" s="26" customFormat="1" ht="29.65" customHeight="1" x14ac:dyDescent="0.25">
      <c r="A399" s="22" t="s">
        <v>267</v>
      </c>
      <c r="B399" s="23" t="str">
        <f>'дод 5'!A244</f>
        <v>7321</v>
      </c>
      <c r="C399" s="23" t="str">
        <f>'дод 5'!B244</f>
        <v>0443</v>
      </c>
      <c r="D399" s="35" t="str">
        <f>'дод 5'!C244</f>
        <v>Будівництво1 освітніх установ та закладів, у т.ч. за рахунок:</v>
      </c>
      <c r="E399" s="25">
        <f t="shared" si="293"/>
        <v>0</v>
      </c>
      <c r="F399" s="25"/>
      <c r="G399" s="25"/>
      <c r="H399" s="25"/>
      <c r="I399" s="25"/>
      <c r="J399" s="25"/>
      <c r="K399" s="25"/>
      <c r="L399" s="25"/>
      <c r="M399" s="181"/>
      <c r="N399" s="25">
        <f t="shared" si="296"/>
        <v>10662376</v>
      </c>
      <c r="O399" s="25">
        <f>5000000+225574+300000+600000+600000+600000+670000+7276319+29520000-7376319-670000-30220000+250000+1839801+400000+150000+39374+50202+47425+50000+100000+490000+490000+230000</f>
        <v>10662376</v>
      </c>
      <c r="P399" s="25"/>
      <c r="Q399" s="25"/>
      <c r="R399" s="25"/>
      <c r="S399" s="25">
        <f>5000000+225574+300000+600000+600000+600000+670000+7276319+29520000-7376319-670000-30220000+250000+1839801+400000+150000+39374+50202+47425+50000+100000+490000+490000+230000</f>
        <v>10662376</v>
      </c>
      <c r="T399" s="15">
        <f t="shared" si="253"/>
        <v>9334964</v>
      </c>
      <c r="U399" s="25">
        <v>9334964</v>
      </c>
      <c r="V399" s="25"/>
      <c r="W399" s="25"/>
      <c r="X399" s="25"/>
      <c r="Y399" s="25">
        <v>9334964</v>
      </c>
      <c r="Z399" s="181">
        <f t="shared" si="254"/>
        <v>87.550504690511758</v>
      </c>
      <c r="AA399" s="25">
        <f t="shared" si="255"/>
        <v>9334964</v>
      </c>
      <c r="AB399" s="25">
        <f t="shared" si="294"/>
        <v>10662376</v>
      </c>
      <c r="AC399" s="198"/>
    </row>
    <row r="400" spans="1:29" s="26" customFormat="1" ht="110.25" x14ac:dyDescent="0.25">
      <c r="A400" s="22"/>
      <c r="B400" s="23"/>
      <c r="C400" s="23"/>
      <c r="D400" s="44" t="s">
        <v>618</v>
      </c>
      <c r="E400" s="30">
        <f t="shared" si="293"/>
        <v>0</v>
      </c>
      <c r="F400" s="30"/>
      <c r="G400" s="30"/>
      <c r="H400" s="30"/>
      <c r="I400" s="30"/>
      <c r="J400" s="30"/>
      <c r="K400" s="30"/>
      <c r="L400" s="30"/>
      <c r="M400" s="182"/>
      <c r="N400" s="30">
        <f t="shared" si="296"/>
        <v>1530000</v>
      </c>
      <c r="O400" s="30">
        <f>400000+150000+490000+490000</f>
        <v>1530000</v>
      </c>
      <c r="P400" s="30"/>
      <c r="Q400" s="30"/>
      <c r="R400" s="30"/>
      <c r="S400" s="30">
        <f>400000+150000+490000+490000</f>
        <v>1530000</v>
      </c>
      <c r="T400" s="15">
        <f t="shared" si="253"/>
        <v>1530000</v>
      </c>
      <c r="U400" s="30">
        <v>1530000</v>
      </c>
      <c r="V400" s="30"/>
      <c r="W400" s="30"/>
      <c r="X400" s="30"/>
      <c r="Y400" s="30">
        <v>1530000</v>
      </c>
      <c r="Z400" s="182">
        <f t="shared" si="254"/>
        <v>100</v>
      </c>
      <c r="AA400" s="30">
        <f t="shared" si="255"/>
        <v>1530000</v>
      </c>
      <c r="AB400" s="30">
        <f t="shared" si="294"/>
        <v>1530000</v>
      </c>
      <c r="AC400" s="198"/>
    </row>
    <row r="401" spans="1:29" s="26" customFormat="1" ht="42" customHeight="1" x14ac:dyDescent="0.25">
      <c r="A401" s="22" t="s">
        <v>269</v>
      </c>
      <c r="B401" s="23" t="str">
        <f>'дод 5'!A247</f>
        <v>7322</v>
      </c>
      <c r="C401" s="23" t="str">
        <f>'дод 5'!B247</f>
        <v>0443</v>
      </c>
      <c r="D401" s="35" t="str">
        <f>'дод 5'!C247</f>
        <v>Будівництво1 медичних установ та закладіву т.ч. за рахунок:</v>
      </c>
      <c r="E401" s="25">
        <f t="shared" si="293"/>
        <v>0</v>
      </c>
      <c r="F401" s="25"/>
      <c r="G401" s="25"/>
      <c r="H401" s="25"/>
      <c r="I401" s="25"/>
      <c r="J401" s="25"/>
      <c r="K401" s="25"/>
      <c r="L401" s="25"/>
      <c r="M401" s="181"/>
      <c r="N401" s="25">
        <f t="shared" si="296"/>
        <v>12128569</v>
      </c>
      <c r="O401" s="25">
        <f>8000000+1256612+80000+892000+20000+1000000-20043+900000</f>
        <v>12128569</v>
      </c>
      <c r="P401" s="25"/>
      <c r="Q401" s="25"/>
      <c r="R401" s="25"/>
      <c r="S401" s="25">
        <f>8000000+1256612+80000+892000+20000+1000000-20043+900000</f>
        <v>12128569</v>
      </c>
      <c r="T401" s="15">
        <f t="shared" si="253"/>
        <v>11138760.800000001</v>
      </c>
      <c r="U401" s="25">
        <v>11138760.800000001</v>
      </c>
      <c r="V401" s="25"/>
      <c r="W401" s="25"/>
      <c r="X401" s="25"/>
      <c r="Y401" s="25">
        <v>11138760.800000001</v>
      </c>
      <c r="Z401" s="181">
        <f t="shared" si="254"/>
        <v>91.839035586143751</v>
      </c>
      <c r="AA401" s="25">
        <f t="shared" si="255"/>
        <v>11138760.800000001</v>
      </c>
      <c r="AB401" s="25">
        <f t="shared" si="294"/>
        <v>12128569</v>
      </c>
      <c r="AC401" s="198"/>
    </row>
    <row r="402" spans="1:29" s="31" customFormat="1" ht="110.25" x14ac:dyDescent="0.25">
      <c r="A402" s="27"/>
      <c r="B402" s="28"/>
      <c r="C402" s="28"/>
      <c r="D402" s="44" t="s">
        <v>618</v>
      </c>
      <c r="E402" s="30">
        <f t="shared" si="293"/>
        <v>0</v>
      </c>
      <c r="F402" s="30"/>
      <c r="G402" s="30"/>
      <c r="H402" s="30"/>
      <c r="I402" s="30"/>
      <c r="J402" s="30"/>
      <c r="K402" s="30"/>
      <c r="L402" s="30"/>
      <c r="M402" s="182"/>
      <c r="N402" s="30">
        <f t="shared" si="296"/>
        <v>469595</v>
      </c>
      <c r="O402" s="30">
        <v>469595</v>
      </c>
      <c r="P402" s="30"/>
      <c r="Q402" s="30"/>
      <c r="R402" s="30"/>
      <c r="S402" s="30">
        <v>469595</v>
      </c>
      <c r="T402" s="15">
        <f t="shared" ref="T402:T465" si="297">V402+Y402</f>
        <v>0</v>
      </c>
      <c r="U402" s="30"/>
      <c r="V402" s="30"/>
      <c r="W402" s="30"/>
      <c r="X402" s="30"/>
      <c r="Y402" s="30"/>
      <c r="Z402" s="182">
        <f t="shared" ref="Z402:Z463" si="298">T402/N402*100</f>
        <v>0</v>
      </c>
      <c r="AA402" s="30">
        <f t="shared" ref="AA402:AA465" si="299">J402+T402</f>
        <v>0</v>
      </c>
      <c r="AB402" s="30">
        <f t="shared" si="294"/>
        <v>469595</v>
      </c>
      <c r="AC402" s="198"/>
    </row>
    <row r="403" spans="1:29" s="26" customFormat="1" ht="26.25" hidden="1" customHeight="1" x14ac:dyDescent="0.25">
      <c r="A403" s="22" t="s">
        <v>506</v>
      </c>
      <c r="B403" s="23">
        <v>7324</v>
      </c>
      <c r="C403" s="23">
        <v>443</v>
      </c>
      <c r="D403" s="35" t="str">
        <f>'дод 5'!C250</f>
        <v>Будівництво1 установ та закладів культури</v>
      </c>
      <c r="E403" s="25">
        <f t="shared" si="293"/>
        <v>0</v>
      </c>
      <c r="F403" s="25"/>
      <c r="G403" s="25"/>
      <c r="H403" s="25"/>
      <c r="I403" s="25"/>
      <c r="J403" s="25"/>
      <c r="K403" s="25"/>
      <c r="L403" s="25"/>
      <c r="M403" s="181"/>
      <c r="N403" s="25">
        <f t="shared" si="296"/>
        <v>0</v>
      </c>
      <c r="O403" s="25"/>
      <c r="P403" s="25"/>
      <c r="Q403" s="25"/>
      <c r="R403" s="25"/>
      <c r="S403" s="25"/>
      <c r="T403" s="15">
        <f t="shared" si="297"/>
        <v>0</v>
      </c>
      <c r="U403" s="25"/>
      <c r="V403" s="25"/>
      <c r="W403" s="25"/>
      <c r="X403" s="25"/>
      <c r="Y403" s="25"/>
      <c r="Z403" s="181" t="e">
        <f t="shared" si="298"/>
        <v>#DIV/0!</v>
      </c>
      <c r="AA403" s="25">
        <f t="shared" si="299"/>
        <v>0</v>
      </c>
      <c r="AB403" s="25">
        <f t="shared" si="294"/>
        <v>0</v>
      </c>
      <c r="AC403" s="198"/>
    </row>
    <row r="404" spans="1:29" s="26" customFormat="1" ht="35.25" customHeight="1" x14ac:dyDescent="0.25">
      <c r="A404" s="22" t="s">
        <v>345</v>
      </c>
      <c r="B404" s="23">
        <f>'дод 5'!A251</f>
        <v>7325</v>
      </c>
      <c r="C404" s="22" t="s">
        <v>107</v>
      </c>
      <c r="D404" s="35" t="str">
        <f>'дод 5'!C251</f>
        <v>Будівництво1 споруд, установ та закладів фізичної культури і спорту</v>
      </c>
      <c r="E404" s="25">
        <f t="shared" si="293"/>
        <v>0</v>
      </c>
      <c r="F404" s="25"/>
      <c r="G404" s="25"/>
      <c r="H404" s="25"/>
      <c r="I404" s="25"/>
      <c r="J404" s="25"/>
      <c r="K404" s="25"/>
      <c r="L404" s="25"/>
      <c r="M404" s="181"/>
      <c r="N404" s="25">
        <f t="shared" si="296"/>
        <v>250000</v>
      </c>
      <c r="O404" s="25">
        <v>250000</v>
      </c>
      <c r="P404" s="25"/>
      <c r="Q404" s="25"/>
      <c r="R404" s="25"/>
      <c r="S404" s="25">
        <v>250000</v>
      </c>
      <c r="T404" s="15">
        <f t="shared" si="297"/>
        <v>240192</v>
      </c>
      <c r="U404" s="25">
        <v>240192</v>
      </c>
      <c r="V404" s="25"/>
      <c r="W404" s="25"/>
      <c r="X404" s="25"/>
      <c r="Y404" s="25">
        <v>240192</v>
      </c>
      <c r="Z404" s="181">
        <f t="shared" si="298"/>
        <v>96.076799999999992</v>
      </c>
      <c r="AA404" s="25">
        <f t="shared" si="299"/>
        <v>240192</v>
      </c>
      <c r="AB404" s="25">
        <f t="shared" si="294"/>
        <v>250000</v>
      </c>
      <c r="AC404" s="198"/>
    </row>
    <row r="405" spans="1:29" s="26" customFormat="1" ht="35.25" customHeight="1" x14ac:dyDescent="0.25">
      <c r="A405" s="22" t="s">
        <v>271</v>
      </c>
      <c r="B405" s="23" t="str">
        <f>'дод 5'!A252</f>
        <v>7330</v>
      </c>
      <c r="C405" s="23" t="str">
        <f>'дод 5'!B252</f>
        <v>0443</v>
      </c>
      <c r="D405" s="35" t="str">
        <f>'дод 5'!C252</f>
        <v>Будівництво1 інших об'єктів комунальної власності, у т.ч. за рахунок:</v>
      </c>
      <c r="E405" s="25">
        <f t="shared" si="293"/>
        <v>0</v>
      </c>
      <c r="F405" s="25"/>
      <c r="G405" s="25"/>
      <c r="H405" s="25"/>
      <c r="I405" s="25"/>
      <c r="J405" s="25"/>
      <c r="K405" s="25"/>
      <c r="L405" s="25"/>
      <c r="M405" s="181"/>
      <c r="N405" s="25">
        <f t="shared" si="296"/>
        <v>5718701</v>
      </c>
      <c r="O405" s="25">
        <f>500000+135270+743890+1600000+300000+1000000-500000+250000-1000000+4900000+50000-150000-505063-980000-579568-146233-469595+270000+300000</f>
        <v>5718701</v>
      </c>
      <c r="P405" s="25"/>
      <c r="Q405" s="25"/>
      <c r="R405" s="25"/>
      <c r="S405" s="25">
        <f>500000+135270+743890+1600000+300000+1000000-500000+250000-1000000+4900000+50000-150000-505063-980000-579568-146233-469595+270000+300000</f>
        <v>5718701</v>
      </c>
      <c r="T405" s="15">
        <f t="shared" si="297"/>
        <v>3829203</v>
      </c>
      <c r="U405" s="25">
        <v>3829203</v>
      </c>
      <c r="V405" s="25"/>
      <c r="W405" s="25"/>
      <c r="X405" s="25"/>
      <c r="Y405" s="25">
        <v>3829203</v>
      </c>
      <c r="Z405" s="181">
        <f t="shared" si="298"/>
        <v>66.959314711505286</v>
      </c>
      <c r="AA405" s="25">
        <f t="shared" si="299"/>
        <v>3829203</v>
      </c>
      <c r="AB405" s="25">
        <f t="shared" si="294"/>
        <v>5718701</v>
      </c>
      <c r="AC405" s="198"/>
    </row>
    <row r="406" spans="1:29" s="31" customFormat="1" ht="99" customHeight="1" x14ac:dyDescent="0.25">
      <c r="A406" s="27"/>
      <c r="B406" s="28"/>
      <c r="C406" s="28"/>
      <c r="D406" s="44" t="s">
        <v>618</v>
      </c>
      <c r="E406" s="30">
        <f t="shared" ref="E406" si="300">F406+I406</f>
        <v>0</v>
      </c>
      <c r="F406" s="30"/>
      <c r="G406" s="30"/>
      <c r="H406" s="30"/>
      <c r="I406" s="30"/>
      <c r="J406" s="30"/>
      <c r="K406" s="30"/>
      <c r="L406" s="30"/>
      <c r="M406" s="182"/>
      <c r="N406" s="30">
        <f t="shared" ref="N406" si="301">P406+S406</f>
        <v>3600405</v>
      </c>
      <c r="O406" s="30">
        <f>250000+4900000+50000-150000-980000-469595</f>
        <v>3600405</v>
      </c>
      <c r="P406" s="30"/>
      <c r="Q406" s="30"/>
      <c r="R406" s="30"/>
      <c r="S406" s="30">
        <f>250000+4900000+50000-150000-980000-469595</f>
        <v>3600405</v>
      </c>
      <c r="T406" s="15">
        <f t="shared" si="297"/>
        <v>2120201</v>
      </c>
      <c r="U406" s="30">
        <v>2120201</v>
      </c>
      <c r="V406" s="30"/>
      <c r="W406" s="30"/>
      <c r="X406" s="30"/>
      <c r="Y406" s="30">
        <v>2120201</v>
      </c>
      <c r="Z406" s="182">
        <f t="shared" si="298"/>
        <v>58.887847339396536</v>
      </c>
      <c r="AA406" s="30">
        <f t="shared" si="299"/>
        <v>2120201</v>
      </c>
      <c r="AB406" s="30">
        <f t="shared" ref="AB406" si="302">E406+N406</f>
        <v>3600405</v>
      </c>
      <c r="AC406" s="198"/>
    </row>
    <row r="407" spans="1:29" s="26" customFormat="1" ht="28.5" customHeight="1" x14ac:dyDescent="0.25">
      <c r="A407" s="22" t="s">
        <v>404</v>
      </c>
      <c r="B407" s="23">
        <v>7340</v>
      </c>
      <c r="C407" s="22" t="s">
        <v>107</v>
      </c>
      <c r="D407" s="24" t="s">
        <v>1</v>
      </c>
      <c r="E407" s="25">
        <f t="shared" si="293"/>
        <v>0</v>
      </c>
      <c r="F407" s="25"/>
      <c r="G407" s="25"/>
      <c r="H407" s="25"/>
      <c r="I407" s="25"/>
      <c r="J407" s="25"/>
      <c r="K407" s="25"/>
      <c r="L407" s="25"/>
      <c r="M407" s="181"/>
      <c r="N407" s="25">
        <f t="shared" si="296"/>
        <v>6093559</v>
      </c>
      <c r="O407" s="25">
        <f>450000+7357879-1200000-1714-60000-50000-402606</f>
        <v>6093559</v>
      </c>
      <c r="P407" s="25"/>
      <c r="Q407" s="25"/>
      <c r="R407" s="25"/>
      <c r="S407" s="25">
        <f>450000+7357879-1200000-1714-60000-50000-402606</f>
        <v>6093559</v>
      </c>
      <c r="T407" s="15">
        <f t="shared" si="297"/>
        <v>6093549</v>
      </c>
      <c r="U407" s="25">
        <v>6093549</v>
      </c>
      <c r="V407" s="25"/>
      <c r="W407" s="25"/>
      <c r="X407" s="25"/>
      <c r="Y407" s="25">
        <v>6093549</v>
      </c>
      <c r="Z407" s="181">
        <f t="shared" si="298"/>
        <v>99.999835892292182</v>
      </c>
      <c r="AA407" s="25">
        <f t="shared" si="299"/>
        <v>6093549</v>
      </c>
      <c r="AB407" s="25">
        <f t="shared" si="294"/>
        <v>6093559</v>
      </c>
      <c r="AC407" s="198"/>
    </row>
    <row r="408" spans="1:29" s="26" customFormat="1" ht="53.25" customHeight="1" x14ac:dyDescent="0.25">
      <c r="A408" s="22" t="s">
        <v>357</v>
      </c>
      <c r="B408" s="23">
        <f>'дод 5'!A256</f>
        <v>7361</v>
      </c>
      <c r="C408" s="23" t="str">
        <f>'дод 5'!B256</f>
        <v>0490</v>
      </c>
      <c r="D408" s="24" t="str">
        <f>'дод 5'!C256</f>
        <v>Співфінансування інвестиційних проектів, що реалізуються за рахунок коштів державного фонду регіонального розвитку</v>
      </c>
      <c r="E408" s="25">
        <f t="shared" ref="E408" si="303">F408+I408</f>
        <v>0</v>
      </c>
      <c r="F408" s="25"/>
      <c r="G408" s="25"/>
      <c r="H408" s="25"/>
      <c r="I408" s="25"/>
      <c r="J408" s="25"/>
      <c r="K408" s="25"/>
      <c r="L408" s="25"/>
      <c r="M408" s="181"/>
      <c r="N408" s="25">
        <f t="shared" ref="N408" si="304">P408+S408</f>
        <v>68209</v>
      </c>
      <c r="O408" s="25">
        <f>120000-51791</f>
        <v>68209</v>
      </c>
      <c r="P408" s="25"/>
      <c r="Q408" s="25"/>
      <c r="R408" s="25"/>
      <c r="S408" s="25">
        <f>120000-51791</f>
        <v>68209</v>
      </c>
      <c r="T408" s="15">
        <f t="shared" si="297"/>
        <v>68208.600000000006</v>
      </c>
      <c r="U408" s="25">
        <v>68208.600000000006</v>
      </c>
      <c r="V408" s="25"/>
      <c r="W408" s="25"/>
      <c r="X408" s="25"/>
      <c r="Y408" s="25">
        <v>68208.600000000006</v>
      </c>
      <c r="Z408" s="181">
        <f t="shared" si="298"/>
        <v>99.999413567124577</v>
      </c>
      <c r="AA408" s="25">
        <f t="shared" si="299"/>
        <v>68208.600000000006</v>
      </c>
      <c r="AB408" s="25">
        <f t="shared" si="294"/>
        <v>68209</v>
      </c>
      <c r="AC408" s="198"/>
    </row>
    <row r="409" spans="1:29" s="26" customFormat="1" ht="47.25" hidden="1" customHeight="1" x14ac:dyDescent="0.25">
      <c r="A409" s="22" t="s">
        <v>352</v>
      </c>
      <c r="B409" s="23">
        <v>7363</v>
      </c>
      <c r="C409" s="22" t="s">
        <v>78</v>
      </c>
      <c r="D409" s="24" t="s">
        <v>578</v>
      </c>
      <c r="E409" s="25">
        <f t="shared" si="293"/>
        <v>0</v>
      </c>
      <c r="F409" s="25"/>
      <c r="G409" s="25"/>
      <c r="H409" s="25"/>
      <c r="I409" s="25"/>
      <c r="J409" s="25"/>
      <c r="K409" s="25"/>
      <c r="L409" s="25"/>
      <c r="M409" s="181"/>
      <c r="N409" s="25">
        <f t="shared" si="296"/>
        <v>0</v>
      </c>
      <c r="O409" s="25"/>
      <c r="P409" s="25"/>
      <c r="Q409" s="25"/>
      <c r="R409" s="25"/>
      <c r="S409" s="25"/>
      <c r="T409" s="15">
        <f t="shared" si="297"/>
        <v>0</v>
      </c>
      <c r="U409" s="25"/>
      <c r="V409" s="25"/>
      <c r="W409" s="25"/>
      <c r="X409" s="25"/>
      <c r="Y409" s="25"/>
      <c r="Z409" s="181" t="e">
        <f t="shared" si="298"/>
        <v>#DIV/0!</v>
      </c>
      <c r="AA409" s="25">
        <f t="shared" si="299"/>
        <v>0</v>
      </c>
      <c r="AB409" s="25">
        <f t="shared" si="294"/>
        <v>0</v>
      </c>
      <c r="AC409" s="198"/>
    </row>
    <row r="410" spans="1:29" s="31" customFormat="1" ht="63" hidden="1" customHeight="1" x14ac:dyDescent="0.25">
      <c r="A410" s="27"/>
      <c r="B410" s="28"/>
      <c r="C410" s="27"/>
      <c r="D410" s="29" t="s">
        <v>574</v>
      </c>
      <c r="E410" s="30">
        <f t="shared" si="293"/>
        <v>0</v>
      </c>
      <c r="F410" s="30"/>
      <c r="G410" s="30"/>
      <c r="H410" s="30"/>
      <c r="I410" s="30"/>
      <c r="J410" s="30"/>
      <c r="K410" s="30"/>
      <c r="L410" s="30"/>
      <c r="M410" s="182"/>
      <c r="N410" s="30">
        <f t="shared" ref="N410" si="305">P410+S410</f>
        <v>0</v>
      </c>
      <c r="O410" s="30"/>
      <c r="P410" s="30"/>
      <c r="Q410" s="30"/>
      <c r="R410" s="30"/>
      <c r="S410" s="30"/>
      <c r="T410" s="15">
        <f t="shared" si="297"/>
        <v>0</v>
      </c>
      <c r="U410" s="30"/>
      <c r="V410" s="30"/>
      <c r="W410" s="30"/>
      <c r="X410" s="30"/>
      <c r="Y410" s="30"/>
      <c r="Z410" s="182" t="e">
        <f t="shared" si="298"/>
        <v>#DIV/0!</v>
      </c>
      <c r="AA410" s="30">
        <f t="shared" si="299"/>
        <v>0</v>
      </c>
      <c r="AB410" s="30">
        <f t="shared" ref="AB410" si="306">E410+N410</f>
        <v>0</v>
      </c>
      <c r="AC410" s="198"/>
    </row>
    <row r="411" spans="1:29" s="26" customFormat="1" ht="31.5" hidden="1" customHeight="1" x14ac:dyDescent="0.25">
      <c r="A411" s="22" t="s">
        <v>406</v>
      </c>
      <c r="B411" s="23">
        <v>7370</v>
      </c>
      <c r="C411" s="22" t="s">
        <v>78</v>
      </c>
      <c r="D411" s="24" t="s">
        <v>407</v>
      </c>
      <c r="E411" s="25">
        <f>F411+I411</f>
        <v>0</v>
      </c>
      <c r="F411" s="25"/>
      <c r="G411" s="25"/>
      <c r="H411" s="25"/>
      <c r="I411" s="25"/>
      <c r="J411" s="25"/>
      <c r="K411" s="25"/>
      <c r="L411" s="25"/>
      <c r="M411" s="181"/>
      <c r="N411" s="25">
        <f t="shared" si="296"/>
        <v>0</v>
      </c>
      <c r="O411" s="25"/>
      <c r="P411" s="25"/>
      <c r="Q411" s="25"/>
      <c r="R411" s="25"/>
      <c r="S411" s="25"/>
      <c r="T411" s="15">
        <f t="shared" si="297"/>
        <v>0</v>
      </c>
      <c r="U411" s="25"/>
      <c r="V411" s="25"/>
      <c r="W411" s="25"/>
      <c r="X411" s="25"/>
      <c r="Y411" s="25"/>
      <c r="Z411" s="181" t="e">
        <f t="shared" si="298"/>
        <v>#DIV/0!</v>
      </c>
      <c r="AA411" s="25">
        <f t="shared" si="299"/>
        <v>0</v>
      </c>
      <c r="AB411" s="25">
        <f t="shared" si="294"/>
        <v>0</v>
      </c>
      <c r="AC411" s="198"/>
    </row>
    <row r="412" spans="1:29" s="26" customFormat="1" ht="21" customHeight="1" x14ac:dyDescent="0.25">
      <c r="A412" s="22" t="s">
        <v>139</v>
      </c>
      <c r="B412" s="23" t="str">
        <f>'дод 5'!A290</f>
        <v>7640</v>
      </c>
      <c r="C412" s="23" t="str">
        <f>'дод 5'!B290</f>
        <v>0470</v>
      </c>
      <c r="D412" s="24" t="str">
        <f>'дод 5'!C290</f>
        <v>Заходи з енергозбереження, у т. ч. за рахунок:</v>
      </c>
      <c r="E412" s="25">
        <f t="shared" si="293"/>
        <v>685324</v>
      </c>
      <c r="F412" s="25">
        <f>985324-300000</f>
        <v>685324</v>
      </c>
      <c r="G412" s="25"/>
      <c r="H412" s="25"/>
      <c r="I412" s="25"/>
      <c r="J412" s="25"/>
      <c r="K412" s="25"/>
      <c r="L412" s="25"/>
      <c r="M412" s="181"/>
      <c r="N412" s="25">
        <f t="shared" si="296"/>
        <v>126374013</v>
      </c>
      <c r="O412" s="25">
        <f>92681686+42207900+241882+135285+1607260+500000-11000000</f>
        <v>126374013</v>
      </c>
      <c r="P412" s="25"/>
      <c r="Q412" s="25"/>
      <c r="R412" s="25"/>
      <c r="S412" s="25">
        <f>92681686+42207900+241882+135285+1607260+500000-11000000</f>
        <v>126374013</v>
      </c>
      <c r="T412" s="15">
        <f t="shared" si="297"/>
        <v>15815458.52</v>
      </c>
      <c r="U412" s="25">
        <v>15815458.52</v>
      </c>
      <c r="V412" s="25"/>
      <c r="W412" s="25"/>
      <c r="X412" s="25"/>
      <c r="Y412" s="25">
        <v>15815458.52</v>
      </c>
      <c r="Z412" s="181">
        <f t="shared" si="298"/>
        <v>12.514802802060263</v>
      </c>
      <c r="AA412" s="25">
        <f t="shared" si="299"/>
        <v>15815458.52</v>
      </c>
      <c r="AB412" s="25">
        <f t="shared" si="294"/>
        <v>127059337</v>
      </c>
      <c r="AC412" s="198"/>
    </row>
    <row r="413" spans="1:29" s="31" customFormat="1" ht="17.25" customHeight="1" x14ac:dyDescent="0.25">
      <c r="A413" s="27"/>
      <c r="B413" s="28"/>
      <c r="C413" s="28"/>
      <c r="D413" s="29" t="s">
        <v>399</v>
      </c>
      <c r="E413" s="30">
        <f t="shared" si="293"/>
        <v>0</v>
      </c>
      <c r="F413" s="30"/>
      <c r="G413" s="30"/>
      <c r="H413" s="30"/>
      <c r="I413" s="30"/>
      <c r="J413" s="30"/>
      <c r="K413" s="30"/>
      <c r="L413" s="30"/>
      <c r="M413" s="182"/>
      <c r="N413" s="30">
        <f t="shared" si="296"/>
        <v>61868709</v>
      </c>
      <c r="O413" s="30">
        <v>61868709</v>
      </c>
      <c r="P413" s="30"/>
      <c r="Q413" s="30"/>
      <c r="R413" s="30"/>
      <c r="S413" s="30">
        <v>61868709</v>
      </c>
      <c r="T413" s="15">
        <f t="shared" si="297"/>
        <v>0</v>
      </c>
      <c r="U413" s="30"/>
      <c r="V413" s="30"/>
      <c r="W413" s="30"/>
      <c r="X413" s="30"/>
      <c r="Y413" s="30"/>
      <c r="Z413" s="182">
        <f t="shared" si="298"/>
        <v>0</v>
      </c>
      <c r="AA413" s="30">
        <f t="shared" si="299"/>
        <v>0</v>
      </c>
      <c r="AB413" s="30">
        <f t="shared" si="294"/>
        <v>61868709</v>
      </c>
      <c r="AC413" s="198"/>
    </row>
    <row r="414" spans="1:29" s="31" customFormat="1" ht="55.5" customHeight="1" x14ac:dyDescent="0.25">
      <c r="A414" s="27"/>
      <c r="B414" s="28"/>
      <c r="C414" s="28"/>
      <c r="D414" s="29" t="s">
        <v>664</v>
      </c>
      <c r="E414" s="30"/>
      <c r="F414" s="30"/>
      <c r="G414" s="30"/>
      <c r="H414" s="30"/>
      <c r="I414" s="30"/>
      <c r="J414" s="30"/>
      <c r="K414" s="30"/>
      <c r="L414" s="30"/>
      <c r="M414" s="182"/>
      <c r="N414" s="30">
        <f t="shared" si="296"/>
        <v>42207900</v>
      </c>
      <c r="O414" s="30">
        <v>42207900</v>
      </c>
      <c r="P414" s="30"/>
      <c r="Q414" s="30"/>
      <c r="R414" s="30"/>
      <c r="S414" s="30">
        <v>42207900</v>
      </c>
      <c r="T414" s="15">
        <f t="shared" si="297"/>
        <v>1136625.77</v>
      </c>
      <c r="U414" s="30">
        <v>1136625.77</v>
      </c>
      <c r="V414" s="30"/>
      <c r="W414" s="30"/>
      <c r="X414" s="30"/>
      <c r="Y414" s="30">
        <v>1136625.77</v>
      </c>
      <c r="Z414" s="182">
        <f t="shared" si="298"/>
        <v>2.692921870076455</v>
      </c>
      <c r="AA414" s="30">
        <f t="shared" si="299"/>
        <v>1136625.77</v>
      </c>
      <c r="AB414" s="30">
        <f t="shared" si="294"/>
        <v>42207900</v>
      </c>
      <c r="AC414" s="198"/>
    </row>
    <row r="415" spans="1:29" s="26" customFormat="1" ht="126" hidden="1" customHeight="1" x14ac:dyDescent="0.25">
      <c r="A415" s="22" t="s">
        <v>355</v>
      </c>
      <c r="B415" s="23">
        <v>7691</v>
      </c>
      <c r="C415" s="45" t="s">
        <v>78</v>
      </c>
      <c r="D415" s="24" t="s">
        <v>301</v>
      </c>
      <c r="E415" s="25">
        <f t="shared" si="293"/>
        <v>0</v>
      </c>
      <c r="F415" s="25"/>
      <c r="G415" s="25"/>
      <c r="H415" s="25"/>
      <c r="I415" s="25"/>
      <c r="J415" s="25"/>
      <c r="K415" s="25"/>
      <c r="L415" s="25"/>
      <c r="M415" s="181" t="e">
        <f t="shared" ref="M415:M465" si="307">J415/E415*100</f>
        <v>#DIV/0!</v>
      </c>
      <c r="N415" s="25">
        <f t="shared" si="296"/>
        <v>0</v>
      </c>
      <c r="O415" s="25"/>
      <c r="P415" s="25"/>
      <c r="Q415" s="25"/>
      <c r="R415" s="25"/>
      <c r="S415" s="25"/>
      <c r="T415" s="15">
        <f t="shared" si="297"/>
        <v>0</v>
      </c>
      <c r="U415" s="25"/>
      <c r="V415" s="25"/>
      <c r="W415" s="25"/>
      <c r="X415" s="25"/>
      <c r="Y415" s="25"/>
      <c r="Z415" s="181" t="e">
        <f t="shared" si="298"/>
        <v>#DIV/0!</v>
      </c>
      <c r="AA415" s="25">
        <f t="shared" si="299"/>
        <v>0</v>
      </c>
      <c r="AB415" s="25">
        <f t="shared" si="294"/>
        <v>0</v>
      </c>
      <c r="AC415" s="198"/>
    </row>
    <row r="416" spans="1:29" s="26" customFormat="1" ht="31.5" hidden="1" customHeight="1" x14ac:dyDescent="0.25">
      <c r="A416" s="22" t="s">
        <v>480</v>
      </c>
      <c r="B416" s="23">
        <v>9750</v>
      </c>
      <c r="C416" s="22" t="s">
        <v>43</v>
      </c>
      <c r="D416" s="24" t="s">
        <v>481</v>
      </c>
      <c r="E416" s="25">
        <f t="shared" ref="E416" si="308">F416+I416</f>
        <v>0</v>
      </c>
      <c r="F416" s="25"/>
      <c r="G416" s="25"/>
      <c r="H416" s="25"/>
      <c r="I416" s="25"/>
      <c r="J416" s="25"/>
      <c r="K416" s="25"/>
      <c r="L416" s="25"/>
      <c r="M416" s="181" t="e">
        <f t="shared" si="307"/>
        <v>#DIV/0!</v>
      </c>
      <c r="N416" s="25">
        <f t="shared" ref="N416" si="309">P416+S416</f>
        <v>0</v>
      </c>
      <c r="O416" s="25"/>
      <c r="P416" s="25"/>
      <c r="Q416" s="25"/>
      <c r="R416" s="25"/>
      <c r="S416" s="25"/>
      <c r="T416" s="15">
        <f t="shared" si="297"/>
        <v>0</v>
      </c>
      <c r="U416" s="25"/>
      <c r="V416" s="25"/>
      <c r="W416" s="25"/>
      <c r="X416" s="25"/>
      <c r="Y416" s="25"/>
      <c r="Z416" s="181" t="e">
        <f t="shared" si="298"/>
        <v>#DIV/0!</v>
      </c>
      <c r="AA416" s="25">
        <f t="shared" si="299"/>
        <v>0</v>
      </c>
      <c r="AB416" s="25">
        <f t="shared" ref="AB416" si="310">E416+N416</f>
        <v>0</v>
      </c>
      <c r="AC416" s="198"/>
    </row>
    <row r="417" spans="1:29" s="16" customFormat="1" ht="33.75" hidden="1" customHeight="1" x14ac:dyDescent="0.25">
      <c r="A417" s="37" t="s">
        <v>199</v>
      </c>
      <c r="B417" s="38"/>
      <c r="C417" s="38"/>
      <c r="D417" s="39" t="s">
        <v>39</v>
      </c>
      <c r="E417" s="15">
        <f>E418</f>
        <v>0</v>
      </c>
      <c r="F417" s="15">
        <f t="shared" ref="F417:N417" si="311">F418</f>
        <v>0</v>
      </c>
      <c r="G417" s="15">
        <f t="shared" si="311"/>
        <v>0</v>
      </c>
      <c r="H417" s="15">
        <f t="shared" si="311"/>
        <v>0</v>
      </c>
      <c r="I417" s="15">
        <f t="shared" si="311"/>
        <v>0</v>
      </c>
      <c r="J417" s="15"/>
      <c r="K417" s="15"/>
      <c r="L417" s="15"/>
      <c r="M417" s="121" t="e">
        <f t="shared" si="307"/>
        <v>#DIV/0!</v>
      </c>
      <c r="N417" s="15">
        <f t="shared" si="311"/>
        <v>0</v>
      </c>
      <c r="O417" s="15">
        <f t="shared" ref="O417" si="312">O418</f>
        <v>0</v>
      </c>
      <c r="P417" s="15">
        <f t="shared" ref="P417" si="313">P418</f>
        <v>0</v>
      </c>
      <c r="Q417" s="15">
        <f t="shared" ref="Q417" si="314">Q418</f>
        <v>0</v>
      </c>
      <c r="R417" s="15">
        <f t="shared" ref="R417" si="315">R418</f>
        <v>0</v>
      </c>
      <c r="S417" s="15">
        <f t="shared" ref="S417:AB417" si="316">S418</f>
        <v>0</v>
      </c>
      <c r="T417" s="15">
        <f t="shared" si="297"/>
        <v>0</v>
      </c>
      <c r="U417" s="15"/>
      <c r="V417" s="15"/>
      <c r="W417" s="15"/>
      <c r="X417" s="15"/>
      <c r="Y417" s="15"/>
      <c r="Z417" s="121" t="e">
        <f t="shared" si="298"/>
        <v>#DIV/0!</v>
      </c>
      <c r="AA417" s="15">
        <f t="shared" si="299"/>
        <v>0</v>
      </c>
      <c r="AB417" s="15">
        <f t="shared" si="316"/>
        <v>0</v>
      </c>
      <c r="AC417" s="198"/>
    </row>
    <row r="418" spans="1:29" s="21" customFormat="1" ht="35.25" hidden="1" customHeight="1" x14ac:dyDescent="0.25">
      <c r="A418" s="17" t="s">
        <v>200</v>
      </c>
      <c r="B418" s="40"/>
      <c r="C418" s="40"/>
      <c r="D418" s="19" t="s">
        <v>39</v>
      </c>
      <c r="E418" s="20">
        <f>E419+E420+E422+E423+E424+E421</f>
        <v>0</v>
      </c>
      <c r="F418" s="20">
        <f t="shared" ref="F418:AB418" si="317">F419+F420+F422+F423+F424+F421</f>
        <v>0</v>
      </c>
      <c r="G418" s="20">
        <f t="shared" si="317"/>
        <v>0</v>
      </c>
      <c r="H418" s="20">
        <f t="shared" si="317"/>
        <v>0</v>
      </c>
      <c r="I418" s="20">
        <f t="shared" si="317"/>
        <v>0</v>
      </c>
      <c r="J418" s="20"/>
      <c r="K418" s="20"/>
      <c r="L418" s="20"/>
      <c r="M418" s="187" t="e">
        <f t="shared" si="307"/>
        <v>#DIV/0!</v>
      </c>
      <c r="N418" s="20">
        <f t="shared" si="317"/>
        <v>0</v>
      </c>
      <c r="O418" s="20">
        <f t="shared" si="317"/>
        <v>0</v>
      </c>
      <c r="P418" s="20">
        <f t="shared" si="317"/>
        <v>0</v>
      </c>
      <c r="Q418" s="20">
        <f t="shared" si="317"/>
        <v>0</v>
      </c>
      <c r="R418" s="20">
        <f t="shared" si="317"/>
        <v>0</v>
      </c>
      <c r="S418" s="20">
        <f t="shared" si="317"/>
        <v>0</v>
      </c>
      <c r="T418" s="15">
        <f t="shared" si="297"/>
        <v>0</v>
      </c>
      <c r="U418" s="20"/>
      <c r="V418" s="20"/>
      <c r="W418" s="20"/>
      <c r="X418" s="20"/>
      <c r="Y418" s="20"/>
      <c r="Z418" s="187" t="e">
        <f t="shared" si="298"/>
        <v>#DIV/0!</v>
      </c>
      <c r="AA418" s="20">
        <f t="shared" si="299"/>
        <v>0</v>
      </c>
      <c r="AB418" s="20">
        <f t="shared" si="317"/>
        <v>0</v>
      </c>
      <c r="AC418" s="198"/>
    </row>
    <row r="419" spans="1:29" s="26" customFormat="1" ht="46.15" hidden="1" customHeight="1" x14ac:dyDescent="0.25">
      <c r="A419" s="22" t="s">
        <v>201</v>
      </c>
      <c r="B419" s="23" t="str">
        <f>'дод 5'!A21</f>
        <v>0160</v>
      </c>
      <c r="C419" s="23" t="str">
        <f>'дод 5'!B21</f>
        <v>0111</v>
      </c>
      <c r="D419" s="24" t="str">
        <f>'дод 5'!C21</f>
        <v>Керівництво і управління у відповідній сфері у містах (місті Києві), селищах, селах, територіальних громадах, у т.ч. за рахунок:</v>
      </c>
      <c r="E419" s="25">
        <f t="shared" ref="E419:E424" si="318">F419+I419</f>
        <v>0</v>
      </c>
      <c r="F419" s="25"/>
      <c r="G419" s="25"/>
      <c r="H419" s="25"/>
      <c r="I419" s="25"/>
      <c r="J419" s="25"/>
      <c r="K419" s="25"/>
      <c r="L419" s="25"/>
      <c r="M419" s="181" t="e">
        <f t="shared" si="307"/>
        <v>#DIV/0!</v>
      </c>
      <c r="N419" s="25">
        <f t="shared" si="296"/>
        <v>0</v>
      </c>
      <c r="O419" s="25"/>
      <c r="P419" s="25"/>
      <c r="Q419" s="25"/>
      <c r="R419" s="25"/>
      <c r="S419" s="25"/>
      <c r="T419" s="15">
        <f t="shared" si="297"/>
        <v>0</v>
      </c>
      <c r="U419" s="25"/>
      <c r="V419" s="25"/>
      <c r="W419" s="25"/>
      <c r="X419" s="25"/>
      <c r="Y419" s="25"/>
      <c r="Z419" s="181" t="e">
        <f t="shared" si="298"/>
        <v>#DIV/0!</v>
      </c>
      <c r="AA419" s="25">
        <f t="shared" si="299"/>
        <v>0</v>
      </c>
      <c r="AB419" s="25">
        <f t="shared" ref="AB419:AB424" si="319">E419+N419</f>
        <v>0</v>
      </c>
      <c r="AC419" s="198"/>
    </row>
    <row r="420" spans="1:29" s="26" customFormat="1" ht="30.75" hidden="1" customHeight="1" x14ac:dyDescent="0.25">
      <c r="A420" s="22" t="s">
        <v>298</v>
      </c>
      <c r="B420" s="23" t="str">
        <f>'дод 5'!A222</f>
        <v>6090</v>
      </c>
      <c r="C420" s="23" t="str">
        <f>'дод 5'!B222</f>
        <v>0640</v>
      </c>
      <c r="D420" s="24" t="str">
        <f>'дод 5'!C222</f>
        <v>Інша діяльність у сфері житлово-комунального господарства</v>
      </c>
      <c r="E420" s="25">
        <f t="shared" si="318"/>
        <v>0</v>
      </c>
      <c r="F420" s="25"/>
      <c r="G420" s="25"/>
      <c r="H420" s="25"/>
      <c r="I420" s="25"/>
      <c r="J420" s="25"/>
      <c r="K420" s="25"/>
      <c r="L420" s="25"/>
      <c r="M420" s="181" t="e">
        <f t="shared" si="307"/>
        <v>#DIV/0!</v>
      </c>
      <c r="N420" s="25">
        <f t="shared" si="296"/>
        <v>0</v>
      </c>
      <c r="O420" s="25"/>
      <c r="P420" s="25"/>
      <c r="Q420" s="25"/>
      <c r="R420" s="25"/>
      <c r="S420" s="25"/>
      <c r="T420" s="15">
        <f t="shared" si="297"/>
        <v>0</v>
      </c>
      <c r="U420" s="25"/>
      <c r="V420" s="25"/>
      <c r="W420" s="25"/>
      <c r="X420" s="25"/>
      <c r="Y420" s="25"/>
      <c r="Z420" s="181" t="e">
        <f t="shared" si="298"/>
        <v>#DIV/0!</v>
      </c>
      <c r="AA420" s="25">
        <f t="shared" si="299"/>
        <v>0</v>
      </c>
      <c r="AB420" s="25">
        <f t="shared" si="319"/>
        <v>0</v>
      </c>
      <c r="AC420" s="198"/>
    </row>
    <row r="421" spans="1:29" s="26" customFormat="1" ht="31.5" hidden="1" customHeight="1" x14ac:dyDescent="0.25">
      <c r="A421" s="22" t="s">
        <v>539</v>
      </c>
      <c r="B421" s="23">
        <v>7340</v>
      </c>
      <c r="C421" s="22" t="s">
        <v>107</v>
      </c>
      <c r="D421" s="24" t="str">
        <f>'дод 5'!C254</f>
        <v>Проектування, реставрація та охорона пам'яток архітектури</v>
      </c>
      <c r="E421" s="25">
        <f t="shared" si="318"/>
        <v>0</v>
      </c>
      <c r="F421" s="25"/>
      <c r="G421" s="25"/>
      <c r="H421" s="25"/>
      <c r="I421" s="25"/>
      <c r="J421" s="25"/>
      <c r="K421" s="25"/>
      <c r="L421" s="25"/>
      <c r="M421" s="181" t="e">
        <f t="shared" si="307"/>
        <v>#DIV/0!</v>
      </c>
      <c r="N421" s="25">
        <f t="shared" si="296"/>
        <v>0</v>
      </c>
      <c r="O421" s="25"/>
      <c r="P421" s="25"/>
      <c r="Q421" s="25"/>
      <c r="R421" s="25"/>
      <c r="S421" s="25"/>
      <c r="T421" s="15">
        <f t="shared" si="297"/>
        <v>0</v>
      </c>
      <c r="U421" s="25"/>
      <c r="V421" s="25"/>
      <c r="W421" s="25"/>
      <c r="X421" s="25"/>
      <c r="Y421" s="25"/>
      <c r="Z421" s="181" t="e">
        <f t="shared" si="298"/>
        <v>#DIV/0!</v>
      </c>
      <c r="AA421" s="25">
        <f t="shared" si="299"/>
        <v>0</v>
      </c>
      <c r="AB421" s="25">
        <f t="shared" si="319"/>
        <v>0</v>
      </c>
      <c r="AC421" s="198"/>
    </row>
    <row r="422" spans="1:29" s="26" customFormat="1" ht="31.5" hidden="1" customHeight="1" x14ac:dyDescent="0.25">
      <c r="A422" s="22" t="s">
        <v>428</v>
      </c>
      <c r="B422" s="22" t="s">
        <v>429</v>
      </c>
      <c r="C422" s="22" t="s">
        <v>107</v>
      </c>
      <c r="D422" s="24" t="s">
        <v>430</v>
      </c>
      <c r="E422" s="25">
        <f t="shared" si="318"/>
        <v>0</v>
      </c>
      <c r="F422" s="25"/>
      <c r="G422" s="25"/>
      <c r="H422" s="25"/>
      <c r="I422" s="25"/>
      <c r="J422" s="25"/>
      <c r="K422" s="25"/>
      <c r="L422" s="25"/>
      <c r="M422" s="181" t="e">
        <f t="shared" si="307"/>
        <v>#DIV/0!</v>
      </c>
      <c r="N422" s="25">
        <f t="shared" si="296"/>
        <v>0</v>
      </c>
      <c r="O422" s="25">
        <f>900000-900000</f>
        <v>0</v>
      </c>
      <c r="P422" s="25"/>
      <c r="Q422" s="25"/>
      <c r="R422" s="25"/>
      <c r="S422" s="25">
        <f>900000-900000</f>
        <v>0</v>
      </c>
      <c r="T422" s="15">
        <f t="shared" si="297"/>
        <v>0</v>
      </c>
      <c r="U422" s="25"/>
      <c r="V422" s="25"/>
      <c r="W422" s="25"/>
      <c r="X422" s="25"/>
      <c r="Y422" s="25"/>
      <c r="Z422" s="181" t="e">
        <f t="shared" si="298"/>
        <v>#DIV/0!</v>
      </c>
      <c r="AA422" s="25">
        <f t="shared" si="299"/>
        <v>0</v>
      </c>
      <c r="AB422" s="25">
        <f t="shared" si="319"/>
        <v>0</v>
      </c>
      <c r="AC422" s="198"/>
    </row>
    <row r="423" spans="1:29" s="26" customFormat="1" ht="31.5" hidden="1" customHeight="1" x14ac:dyDescent="0.25">
      <c r="A423" s="22" t="s">
        <v>499</v>
      </c>
      <c r="B423" s="22" t="s">
        <v>500</v>
      </c>
      <c r="C423" s="22" t="s">
        <v>78</v>
      </c>
      <c r="D423" s="24" t="str">
        <f>'дод 5'!C262</f>
        <v>Реалізація інших заходів щодо соціально-економічного розвитку територій</v>
      </c>
      <c r="E423" s="25">
        <f t="shared" si="318"/>
        <v>0</v>
      </c>
      <c r="F423" s="25"/>
      <c r="G423" s="25"/>
      <c r="H423" s="25"/>
      <c r="I423" s="25"/>
      <c r="J423" s="25"/>
      <c r="K423" s="25"/>
      <c r="L423" s="25"/>
      <c r="M423" s="181" t="e">
        <f t="shared" si="307"/>
        <v>#DIV/0!</v>
      </c>
      <c r="N423" s="25">
        <f t="shared" ref="N423" si="320">P423+S423</f>
        <v>0</v>
      </c>
      <c r="O423" s="25"/>
      <c r="P423" s="25"/>
      <c r="Q423" s="25"/>
      <c r="R423" s="25"/>
      <c r="S423" s="25"/>
      <c r="T423" s="15">
        <f t="shared" si="297"/>
        <v>0</v>
      </c>
      <c r="U423" s="25"/>
      <c r="V423" s="25"/>
      <c r="W423" s="25"/>
      <c r="X423" s="25"/>
      <c r="Y423" s="25"/>
      <c r="Z423" s="181" t="e">
        <f t="shared" si="298"/>
        <v>#DIV/0!</v>
      </c>
      <c r="AA423" s="25">
        <f t="shared" si="299"/>
        <v>0</v>
      </c>
      <c r="AB423" s="25">
        <f t="shared" si="319"/>
        <v>0</v>
      </c>
      <c r="AC423" s="198"/>
    </row>
    <row r="424" spans="1:29" s="26" customFormat="1" ht="123" hidden="1" customHeight="1" x14ac:dyDescent="0.25">
      <c r="A424" s="22" t="s">
        <v>286</v>
      </c>
      <c r="B424" s="23" t="str">
        <f>'дод 5'!A300</f>
        <v>7691</v>
      </c>
      <c r="C424" s="23" t="str">
        <f>'дод 5'!B300</f>
        <v>0490</v>
      </c>
      <c r="D424" s="24" t="str">
        <f>'дод 5'!C300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424" s="25">
        <f t="shared" si="318"/>
        <v>0</v>
      </c>
      <c r="F424" s="25"/>
      <c r="G424" s="25"/>
      <c r="H424" s="25"/>
      <c r="I424" s="25"/>
      <c r="J424" s="25"/>
      <c r="K424" s="25"/>
      <c r="L424" s="25"/>
      <c r="M424" s="181" t="e">
        <f t="shared" si="307"/>
        <v>#DIV/0!</v>
      </c>
      <c r="N424" s="25">
        <f t="shared" si="296"/>
        <v>0</v>
      </c>
      <c r="O424" s="25"/>
      <c r="P424" s="25"/>
      <c r="Q424" s="25"/>
      <c r="R424" s="25"/>
      <c r="S424" s="25"/>
      <c r="T424" s="15">
        <f t="shared" si="297"/>
        <v>0</v>
      </c>
      <c r="U424" s="25"/>
      <c r="V424" s="25"/>
      <c r="W424" s="25"/>
      <c r="X424" s="25"/>
      <c r="Y424" s="25"/>
      <c r="Z424" s="181" t="e">
        <f t="shared" si="298"/>
        <v>#DIV/0!</v>
      </c>
      <c r="AA424" s="25">
        <f t="shared" si="299"/>
        <v>0</v>
      </c>
      <c r="AB424" s="25">
        <f t="shared" si="319"/>
        <v>0</v>
      </c>
      <c r="AC424" s="198"/>
    </row>
    <row r="425" spans="1:29" s="16" customFormat="1" ht="38.25" customHeight="1" x14ac:dyDescent="0.25">
      <c r="A425" s="37" t="s">
        <v>204</v>
      </c>
      <c r="B425" s="38"/>
      <c r="C425" s="38"/>
      <c r="D425" s="39" t="s">
        <v>41</v>
      </c>
      <c r="E425" s="15">
        <f>E426</f>
        <v>5495700</v>
      </c>
      <c r="F425" s="15">
        <f t="shared" ref="F425:AA426" si="321">F426</f>
        <v>5495700</v>
      </c>
      <c r="G425" s="15">
        <f t="shared" si="321"/>
        <v>4200000</v>
      </c>
      <c r="H425" s="15">
        <f t="shared" si="321"/>
        <v>106750</v>
      </c>
      <c r="I425" s="15">
        <f t="shared" si="321"/>
        <v>0</v>
      </c>
      <c r="J425" s="15">
        <f t="shared" si="321"/>
        <v>5346253.67</v>
      </c>
      <c r="K425" s="15">
        <f t="shared" si="321"/>
        <v>4199976.95</v>
      </c>
      <c r="L425" s="15">
        <f t="shared" si="321"/>
        <v>103377.27</v>
      </c>
      <c r="M425" s="121">
        <f t="shared" si="307"/>
        <v>97.280667976781842</v>
      </c>
      <c r="N425" s="15">
        <f t="shared" si="321"/>
        <v>0</v>
      </c>
      <c r="O425" s="15">
        <f t="shared" si="321"/>
        <v>0</v>
      </c>
      <c r="P425" s="15">
        <f t="shared" si="321"/>
        <v>0</v>
      </c>
      <c r="Q425" s="15">
        <f t="shared" si="321"/>
        <v>0</v>
      </c>
      <c r="R425" s="15">
        <f t="shared" si="321"/>
        <v>0</v>
      </c>
      <c r="S425" s="15">
        <f t="shared" si="321"/>
        <v>0</v>
      </c>
      <c r="T425" s="15">
        <f t="shared" si="321"/>
        <v>720</v>
      </c>
      <c r="U425" s="15">
        <f t="shared" si="321"/>
        <v>0</v>
      </c>
      <c r="V425" s="15">
        <f t="shared" si="321"/>
        <v>720</v>
      </c>
      <c r="W425" s="15">
        <f t="shared" si="321"/>
        <v>0</v>
      </c>
      <c r="X425" s="15">
        <f t="shared" si="321"/>
        <v>0</v>
      </c>
      <c r="Y425" s="15">
        <f t="shared" si="321"/>
        <v>0</v>
      </c>
      <c r="Z425" s="121"/>
      <c r="AA425" s="15">
        <f t="shared" si="321"/>
        <v>5346973.67</v>
      </c>
      <c r="AB425" s="15">
        <f t="shared" ref="AB425:AB426" si="322">AB426</f>
        <v>5495700</v>
      </c>
      <c r="AC425" s="198"/>
    </row>
    <row r="426" spans="1:29" s="21" customFormat="1" ht="35.25" customHeight="1" x14ac:dyDescent="0.25">
      <c r="A426" s="17" t="s">
        <v>202</v>
      </c>
      <c r="B426" s="40"/>
      <c r="C426" s="40"/>
      <c r="D426" s="19" t="s">
        <v>41</v>
      </c>
      <c r="E426" s="20">
        <f>E427</f>
        <v>5495700</v>
      </c>
      <c r="F426" s="20">
        <f t="shared" si="321"/>
        <v>5495700</v>
      </c>
      <c r="G426" s="20">
        <f t="shared" si="321"/>
        <v>4200000</v>
      </c>
      <c r="H426" s="20">
        <f t="shared" si="321"/>
        <v>106750</v>
      </c>
      <c r="I426" s="20">
        <f t="shared" si="321"/>
        <v>0</v>
      </c>
      <c r="J426" s="20">
        <f t="shared" si="321"/>
        <v>5346253.67</v>
      </c>
      <c r="K426" s="20">
        <f t="shared" si="321"/>
        <v>4199976.95</v>
      </c>
      <c r="L426" s="20">
        <f t="shared" si="321"/>
        <v>103377.27</v>
      </c>
      <c r="M426" s="187">
        <f t="shared" si="307"/>
        <v>97.280667976781842</v>
      </c>
      <c r="N426" s="20">
        <f t="shared" si="321"/>
        <v>0</v>
      </c>
      <c r="O426" s="20">
        <f t="shared" si="321"/>
        <v>0</v>
      </c>
      <c r="P426" s="20">
        <f t="shared" si="321"/>
        <v>0</v>
      </c>
      <c r="Q426" s="20">
        <f t="shared" si="321"/>
        <v>0</v>
      </c>
      <c r="R426" s="20">
        <f t="shared" si="321"/>
        <v>0</v>
      </c>
      <c r="S426" s="20">
        <f t="shared" si="321"/>
        <v>0</v>
      </c>
      <c r="T426" s="20">
        <f t="shared" si="321"/>
        <v>720</v>
      </c>
      <c r="U426" s="20">
        <f t="shared" si="321"/>
        <v>0</v>
      </c>
      <c r="V426" s="20">
        <f t="shared" si="321"/>
        <v>720</v>
      </c>
      <c r="W426" s="20">
        <f t="shared" si="321"/>
        <v>0</v>
      </c>
      <c r="X426" s="20">
        <f t="shared" si="321"/>
        <v>0</v>
      </c>
      <c r="Y426" s="20">
        <f t="shared" si="321"/>
        <v>0</v>
      </c>
      <c r="Z426" s="187"/>
      <c r="AA426" s="20">
        <f t="shared" si="321"/>
        <v>5346973.67</v>
      </c>
      <c r="AB426" s="20">
        <f t="shared" si="322"/>
        <v>5495700</v>
      </c>
      <c r="AC426" s="198"/>
    </row>
    <row r="427" spans="1:29" s="26" customFormat="1" ht="49.5" customHeight="1" x14ac:dyDescent="0.25">
      <c r="A427" s="22" t="s">
        <v>203</v>
      </c>
      <c r="B427" s="23" t="str">
        <f>'дод 5'!A21</f>
        <v>0160</v>
      </c>
      <c r="C427" s="23" t="str">
        <f>'дод 5'!B21</f>
        <v>0111</v>
      </c>
      <c r="D427" s="24" t="s">
        <v>707</v>
      </c>
      <c r="E427" s="25">
        <f>F427+I427</f>
        <v>5495700</v>
      </c>
      <c r="F427" s="25">
        <f>5078400+417300</f>
        <v>5495700</v>
      </c>
      <c r="G427" s="25">
        <f>3857700+342300</f>
        <v>4200000</v>
      </c>
      <c r="H427" s="25">
        <f>106200+550</f>
        <v>106750</v>
      </c>
      <c r="I427" s="25"/>
      <c r="J427" s="25">
        <v>5346253.67</v>
      </c>
      <c r="K427" s="25">
        <v>4199976.95</v>
      </c>
      <c r="L427" s="25">
        <v>103377.27</v>
      </c>
      <c r="M427" s="181">
        <f t="shared" si="307"/>
        <v>97.280667976781842</v>
      </c>
      <c r="N427" s="25">
        <f>P427+S427</f>
        <v>0</v>
      </c>
      <c r="O427" s="25"/>
      <c r="P427" s="25"/>
      <c r="Q427" s="25"/>
      <c r="R427" s="25"/>
      <c r="S427" s="25"/>
      <c r="T427" s="15">
        <f t="shared" si="297"/>
        <v>720</v>
      </c>
      <c r="U427" s="25"/>
      <c r="V427" s="25">
        <v>720</v>
      </c>
      <c r="W427" s="25"/>
      <c r="X427" s="25"/>
      <c r="Y427" s="25"/>
      <c r="Z427" s="181"/>
      <c r="AA427" s="25">
        <f t="shared" si="299"/>
        <v>5346973.67</v>
      </c>
      <c r="AB427" s="25">
        <f>E427+N427</f>
        <v>5495700</v>
      </c>
      <c r="AC427" s="198"/>
    </row>
    <row r="428" spans="1:29" s="16" customFormat="1" ht="37.5" customHeight="1" x14ac:dyDescent="0.25">
      <c r="A428" s="37" t="s">
        <v>608</v>
      </c>
      <c r="B428" s="38"/>
      <c r="C428" s="38"/>
      <c r="D428" s="39" t="s">
        <v>579</v>
      </c>
      <c r="E428" s="15">
        <f>E429</f>
        <v>16045230</v>
      </c>
      <c r="F428" s="15">
        <f t="shared" ref="F428:AA428" si="323">F429</f>
        <v>15565230</v>
      </c>
      <c r="G428" s="15">
        <f t="shared" si="323"/>
        <v>12152700</v>
      </c>
      <c r="H428" s="15">
        <f t="shared" si="323"/>
        <v>343500</v>
      </c>
      <c r="I428" s="15">
        <f t="shared" si="323"/>
        <v>480000</v>
      </c>
      <c r="J428" s="15">
        <f t="shared" si="323"/>
        <v>15930773.1</v>
      </c>
      <c r="K428" s="15">
        <f t="shared" si="323"/>
        <v>12152700</v>
      </c>
      <c r="L428" s="15">
        <f t="shared" si="323"/>
        <v>245466.79</v>
      </c>
      <c r="M428" s="121">
        <f t="shared" si="307"/>
        <v>99.286660895481077</v>
      </c>
      <c r="N428" s="15">
        <f t="shared" si="323"/>
        <v>0</v>
      </c>
      <c r="O428" s="15">
        <f t="shared" si="323"/>
        <v>0</v>
      </c>
      <c r="P428" s="15">
        <f t="shared" si="323"/>
        <v>0</v>
      </c>
      <c r="Q428" s="15">
        <f t="shared" si="323"/>
        <v>0</v>
      </c>
      <c r="R428" s="15">
        <f t="shared" si="323"/>
        <v>0</v>
      </c>
      <c r="S428" s="15">
        <f t="shared" si="323"/>
        <v>0</v>
      </c>
      <c r="T428" s="15">
        <f t="shared" si="323"/>
        <v>0</v>
      </c>
      <c r="U428" s="15">
        <f t="shared" si="323"/>
        <v>0</v>
      </c>
      <c r="V428" s="15">
        <f t="shared" si="323"/>
        <v>0</v>
      </c>
      <c r="W428" s="15">
        <f t="shared" si="323"/>
        <v>0</v>
      </c>
      <c r="X428" s="15">
        <f t="shared" si="323"/>
        <v>0</v>
      </c>
      <c r="Y428" s="15">
        <f t="shared" si="323"/>
        <v>0</v>
      </c>
      <c r="Z428" s="121"/>
      <c r="AA428" s="15">
        <f t="shared" si="323"/>
        <v>15930773.1</v>
      </c>
      <c r="AB428" s="15">
        <f t="shared" ref="AB428" si="324">AB429</f>
        <v>16045230</v>
      </c>
      <c r="AC428" s="198"/>
    </row>
    <row r="429" spans="1:29" s="21" customFormat="1" ht="37.5" customHeight="1" x14ac:dyDescent="0.25">
      <c r="A429" s="17" t="s">
        <v>610</v>
      </c>
      <c r="B429" s="40"/>
      <c r="C429" s="40"/>
      <c r="D429" s="19" t="s">
        <v>579</v>
      </c>
      <c r="E429" s="20">
        <f>E430+E431</f>
        <v>16045230</v>
      </c>
      <c r="F429" s="20">
        <f t="shared" ref="F429:AA429" si="325">F430+F431</f>
        <v>15565230</v>
      </c>
      <c r="G429" s="20">
        <f t="shared" si="325"/>
        <v>12152700</v>
      </c>
      <c r="H429" s="20">
        <f t="shared" si="325"/>
        <v>343500</v>
      </c>
      <c r="I429" s="20">
        <f t="shared" si="325"/>
        <v>480000</v>
      </c>
      <c r="J429" s="20">
        <f t="shared" si="325"/>
        <v>15930773.1</v>
      </c>
      <c r="K429" s="20">
        <f t="shared" si="325"/>
        <v>12152700</v>
      </c>
      <c r="L429" s="20">
        <f t="shared" si="325"/>
        <v>245466.79</v>
      </c>
      <c r="M429" s="187">
        <f t="shared" si="307"/>
        <v>99.286660895481077</v>
      </c>
      <c r="N429" s="20">
        <f t="shared" si="325"/>
        <v>0</v>
      </c>
      <c r="O429" s="20">
        <f t="shared" si="325"/>
        <v>0</v>
      </c>
      <c r="P429" s="20">
        <f t="shared" si="325"/>
        <v>0</v>
      </c>
      <c r="Q429" s="20">
        <f t="shared" si="325"/>
        <v>0</v>
      </c>
      <c r="R429" s="20">
        <f t="shared" si="325"/>
        <v>0</v>
      </c>
      <c r="S429" s="20">
        <f t="shared" si="325"/>
        <v>0</v>
      </c>
      <c r="T429" s="20">
        <f t="shared" si="325"/>
        <v>0</v>
      </c>
      <c r="U429" s="20">
        <f t="shared" si="325"/>
        <v>0</v>
      </c>
      <c r="V429" s="20">
        <f t="shared" si="325"/>
        <v>0</v>
      </c>
      <c r="W429" s="20">
        <f t="shared" si="325"/>
        <v>0</v>
      </c>
      <c r="X429" s="20">
        <f t="shared" si="325"/>
        <v>0</v>
      </c>
      <c r="Y429" s="20">
        <f t="shared" si="325"/>
        <v>0</v>
      </c>
      <c r="Z429" s="187"/>
      <c r="AA429" s="20">
        <f t="shared" si="325"/>
        <v>15930773.1</v>
      </c>
      <c r="AB429" s="20">
        <f t="shared" ref="AB429" si="326">AB430+AB431</f>
        <v>16045230</v>
      </c>
      <c r="AC429" s="198"/>
    </row>
    <row r="430" spans="1:29" s="26" customFormat="1" ht="47.25" customHeight="1" x14ac:dyDescent="0.25">
      <c r="A430" s="22" t="s">
        <v>609</v>
      </c>
      <c r="B430" s="23" t="str">
        <f>'дод 5'!A21</f>
        <v>0160</v>
      </c>
      <c r="C430" s="23" t="str">
        <f>'дод 5'!B21</f>
        <v>0111</v>
      </c>
      <c r="D430" s="24" t="s">
        <v>707</v>
      </c>
      <c r="E430" s="25">
        <f>F430+I430</f>
        <v>15525230</v>
      </c>
      <c r="F430" s="25">
        <f>13404100+965200+1227300-71370</f>
        <v>15525230</v>
      </c>
      <c r="G430" s="25">
        <f>10491700+791200+1006800-58500-78500</f>
        <v>12152700</v>
      </c>
      <c r="H430" s="25">
        <v>343500</v>
      </c>
      <c r="I430" s="25"/>
      <c r="J430" s="25">
        <v>15424116.1</v>
      </c>
      <c r="K430" s="25">
        <v>12152700</v>
      </c>
      <c r="L430" s="25">
        <v>245466.79</v>
      </c>
      <c r="M430" s="181">
        <f t="shared" si="307"/>
        <v>99.348712386225515</v>
      </c>
      <c r="N430" s="25">
        <f>P430+S430</f>
        <v>0</v>
      </c>
      <c r="O430" s="25">
        <f>8000-8000</f>
        <v>0</v>
      </c>
      <c r="P430" s="25"/>
      <c r="Q430" s="25"/>
      <c r="R430" s="25"/>
      <c r="S430" s="25">
        <f>8000-8000</f>
        <v>0</v>
      </c>
      <c r="T430" s="15">
        <f t="shared" si="297"/>
        <v>0</v>
      </c>
      <c r="U430" s="25"/>
      <c r="V430" s="25"/>
      <c r="W430" s="25"/>
      <c r="X430" s="25"/>
      <c r="Y430" s="25"/>
      <c r="Z430" s="181"/>
      <c r="AA430" s="25">
        <f t="shared" si="299"/>
        <v>15424116.1</v>
      </c>
      <c r="AB430" s="25">
        <f>E430+N430</f>
        <v>15525230</v>
      </c>
      <c r="AC430" s="198"/>
    </row>
    <row r="431" spans="1:29" s="26" customFormat="1" ht="34.5" customHeight="1" x14ac:dyDescent="0.25">
      <c r="A431" s="22" t="s">
        <v>611</v>
      </c>
      <c r="B431" s="23" t="str">
        <f>'дод 5'!A289</f>
        <v>7610</v>
      </c>
      <c r="C431" s="23" t="str">
        <f>'дод 5'!B289</f>
        <v>0411</v>
      </c>
      <c r="D431" s="36" t="str">
        <f>'дод 5'!C289</f>
        <v>Сприяння розвитку малого та середнього підприємництва</v>
      </c>
      <c r="E431" s="25">
        <f>F431+I431</f>
        <v>520000</v>
      </c>
      <c r="F431" s="25">
        <f>170000-130000</f>
        <v>40000</v>
      </c>
      <c r="G431" s="25"/>
      <c r="H431" s="25"/>
      <c r="I431" s="25">
        <f>350000+130000</f>
        <v>480000</v>
      </c>
      <c r="J431" s="25">
        <v>506657</v>
      </c>
      <c r="K431" s="25"/>
      <c r="L431" s="25"/>
      <c r="M431" s="181">
        <f t="shared" si="307"/>
        <v>97.434038461538464</v>
      </c>
      <c r="N431" s="25">
        <f>P431+S431</f>
        <v>0</v>
      </c>
      <c r="O431" s="25">
        <f>8000-8000</f>
        <v>0</v>
      </c>
      <c r="P431" s="25"/>
      <c r="Q431" s="25"/>
      <c r="R431" s="25"/>
      <c r="S431" s="25">
        <f>8000-8000</f>
        <v>0</v>
      </c>
      <c r="T431" s="15">
        <f t="shared" si="297"/>
        <v>0</v>
      </c>
      <c r="U431" s="25"/>
      <c r="V431" s="25"/>
      <c r="W431" s="25"/>
      <c r="X431" s="25"/>
      <c r="Y431" s="25"/>
      <c r="Z431" s="181"/>
      <c r="AA431" s="25">
        <f t="shared" si="299"/>
        <v>506657</v>
      </c>
      <c r="AB431" s="25">
        <f>E431+N431</f>
        <v>520000</v>
      </c>
      <c r="AC431" s="198"/>
    </row>
    <row r="432" spans="1:29" s="16" customFormat="1" ht="33.75" hidden="1" customHeight="1" x14ac:dyDescent="0.25">
      <c r="A432" s="37" t="s">
        <v>205</v>
      </c>
      <c r="B432" s="38"/>
      <c r="C432" s="38"/>
      <c r="D432" s="39" t="s">
        <v>38</v>
      </c>
      <c r="E432" s="15">
        <f>E433</f>
        <v>0</v>
      </c>
      <c r="F432" s="15">
        <f t="shared" ref="F432:N432" si="327">F433</f>
        <v>0</v>
      </c>
      <c r="G432" s="15">
        <f t="shared" si="327"/>
        <v>0</v>
      </c>
      <c r="H432" s="15">
        <f t="shared" si="327"/>
        <v>0</v>
      </c>
      <c r="I432" s="15">
        <f t="shared" si="327"/>
        <v>0</v>
      </c>
      <c r="J432" s="15"/>
      <c r="K432" s="15"/>
      <c r="L432" s="15"/>
      <c r="M432" s="121" t="e">
        <f t="shared" si="307"/>
        <v>#DIV/0!</v>
      </c>
      <c r="N432" s="15">
        <f t="shared" si="327"/>
        <v>0</v>
      </c>
      <c r="O432" s="15">
        <f t="shared" ref="O432" si="328">O433</f>
        <v>0</v>
      </c>
      <c r="P432" s="15">
        <f t="shared" ref="P432" si="329">P433</f>
        <v>0</v>
      </c>
      <c r="Q432" s="15">
        <f t="shared" ref="Q432" si="330">Q433</f>
        <v>0</v>
      </c>
      <c r="R432" s="15">
        <f t="shared" ref="R432" si="331">R433</f>
        <v>0</v>
      </c>
      <c r="S432" s="15">
        <f t="shared" ref="S432" si="332">S433</f>
        <v>0</v>
      </c>
      <c r="T432" s="15">
        <f t="shared" si="297"/>
        <v>0</v>
      </c>
      <c r="U432" s="15"/>
      <c r="V432" s="15"/>
      <c r="W432" s="15"/>
      <c r="X432" s="15"/>
      <c r="Y432" s="15"/>
      <c r="Z432" s="121" t="e">
        <f t="shared" si="298"/>
        <v>#DIV/0!</v>
      </c>
      <c r="AA432" s="15">
        <f t="shared" si="299"/>
        <v>0</v>
      </c>
      <c r="AB432" s="15">
        <f>AB433</f>
        <v>0</v>
      </c>
      <c r="AC432" s="104"/>
    </row>
    <row r="433" spans="1:29" s="21" customFormat="1" ht="32.25" hidden="1" customHeight="1" x14ac:dyDescent="0.25">
      <c r="A433" s="17" t="s">
        <v>206</v>
      </c>
      <c r="B433" s="40"/>
      <c r="C433" s="40"/>
      <c r="D433" s="19" t="s">
        <v>38</v>
      </c>
      <c r="E433" s="20">
        <f>E434+E435++E436+E437+E438+E439</f>
        <v>0</v>
      </c>
      <c r="F433" s="20">
        <f t="shared" ref="F433:AB433" si="333">F434+F435++F436+F437+F438+F439</f>
        <v>0</v>
      </c>
      <c r="G433" s="20">
        <f t="shared" si="333"/>
        <v>0</v>
      </c>
      <c r="H433" s="20">
        <f t="shared" si="333"/>
        <v>0</v>
      </c>
      <c r="I433" s="20">
        <f t="shared" si="333"/>
        <v>0</v>
      </c>
      <c r="J433" s="20"/>
      <c r="K433" s="20"/>
      <c r="L433" s="20"/>
      <c r="M433" s="187" t="e">
        <f t="shared" si="307"/>
        <v>#DIV/0!</v>
      </c>
      <c r="N433" s="20">
        <f t="shared" si="333"/>
        <v>0</v>
      </c>
      <c r="O433" s="20">
        <f>O434+O435++O436+O437+O438+O439</f>
        <v>0</v>
      </c>
      <c r="P433" s="20">
        <f t="shared" si="333"/>
        <v>0</v>
      </c>
      <c r="Q433" s="20">
        <f t="shared" si="333"/>
        <v>0</v>
      </c>
      <c r="R433" s="20">
        <f t="shared" si="333"/>
        <v>0</v>
      </c>
      <c r="S433" s="20">
        <f t="shared" si="333"/>
        <v>0</v>
      </c>
      <c r="T433" s="15">
        <f t="shared" si="297"/>
        <v>0</v>
      </c>
      <c r="U433" s="20"/>
      <c r="V433" s="20"/>
      <c r="W433" s="20"/>
      <c r="X433" s="20"/>
      <c r="Y433" s="20"/>
      <c r="Z433" s="187" t="e">
        <f t="shared" si="298"/>
        <v>#DIV/0!</v>
      </c>
      <c r="AA433" s="20">
        <f t="shared" si="299"/>
        <v>0</v>
      </c>
      <c r="AB433" s="20">
        <f t="shared" si="333"/>
        <v>0</v>
      </c>
      <c r="AC433" s="104"/>
    </row>
    <row r="434" spans="1:29" s="26" customFormat="1" ht="50.25" hidden="1" customHeight="1" x14ac:dyDescent="0.25">
      <c r="A434" s="22" t="s">
        <v>207</v>
      </c>
      <c r="B434" s="23" t="str">
        <f>'дод 5'!A21</f>
        <v>0160</v>
      </c>
      <c r="C434" s="23" t="str">
        <f>'дод 5'!B21</f>
        <v>0111</v>
      </c>
      <c r="D434" s="24" t="str">
        <f>'дод 5'!C21</f>
        <v>Керівництво і управління у відповідній сфері у містах (місті Києві), селищах, селах, територіальних громадах, у т.ч. за рахунок:</v>
      </c>
      <c r="E434" s="25">
        <f t="shared" ref="E434:E439" si="334">F434+I434</f>
        <v>0</v>
      </c>
      <c r="F434" s="25">
        <f>2935400-2935400</f>
        <v>0</v>
      </c>
      <c r="G434" s="25">
        <f>2161900-2161900</f>
        <v>0</v>
      </c>
      <c r="H434" s="25">
        <f>209200-209200</f>
        <v>0</v>
      </c>
      <c r="I434" s="25"/>
      <c r="J434" s="25"/>
      <c r="K434" s="25"/>
      <c r="L434" s="25"/>
      <c r="M434" s="181" t="e">
        <f t="shared" si="307"/>
        <v>#DIV/0!</v>
      </c>
      <c r="N434" s="25">
        <f>P434+S434</f>
        <v>0</v>
      </c>
      <c r="O434" s="25"/>
      <c r="P434" s="25"/>
      <c r="Q434" s="25"/>
      <c r="R434" s="25"/>
      <c r="S434" s="25"/>
      <c r="T434" s="15">
        <f t="shared" si="297"/>
        <v>0</v>
      </c>
      <c r="U434" s="25"/>
      <c r="V434" s="25"/>
      <c r="W434" s="25"/>
      <c r="X434" s="25"/>
      <c r="Y434" s="25"/>
      <c r="Z434" s="181" t="e">
        <f t="shared" si="298"/>
        <v>#DIV/0!</v>
      </c>
      <c r="AA434" s="25">
        <f t="shared" si="299"/>
        <v>0</v>
      </c>
      <c r="AB434" s="25">
        <f t="shared" ref="AB434:AB439" si="335">E434+N434</f>
        <v>0</v>
      </c>
      <c r="AC434" s="104"/>
    </row>
    <row r="435" spans="1:29" s="55" customFormat="1" ht="21" hidden="1" customHeight="1" x14ac:dyDescent="0.25">
      <c r="A435" s="22" t="s">
        <v>208</v>
      </c>
      <c r="B435" s="23" t="str">
        <f>'дод 5'!A235</f>
        <v>7130</v>
      </c>
      <c r="C435" s="23" t="str">
        <f>'дод 5'!B235</f>
        <v>0421</v>
      </c>
      <c r="D435" s="24" t="str">
        <f>'дод 5'!C235</f>
        <v>Здійснення заходів із землеустрою</v>
      </c>
      <c r="E435" s="25">
        <f t="shared" si="334"/>
        <v>0</v>
      </c>
      <c r="F435" s="25"/>
      <c r="G435" s="25"/>
      <c r="H435" s="25"/>
      <c r="I435" s="25"/>
      <c r="J435" s="25"/>
      <c r="K435" s="25"/>
      <c r="L435" s="25"/>
      <c r="M435" s="181" t="e">
        <f t="shared" si="307"/>
        <v>#DIV/0!</v>
      </c>
      <c r="N435" s="25">
        <f t="shared" ref="N435:N439" si="336">P435+S435</f>
        <v>0</v>
      </c>
      <c r="O435" s="25"/>
      <c r="P435" s="25"/>
      <c r="Q435" s="25"/>
      <c r="R435" s="25"/>
      <c r="S435" s="25"/>
      <c r="T435" s="15">
        <f t="shared" si="297"/>
        <v>0</v>
      </c>
      <c r="U435" s="25"/>
      <c r="V435" s="25"/>
      <c r="W435" s="25"/>
      <c r="X435" s="25"/>
      <c r="Y435" s="25"/>
      <c r="Z435" s="181" t="e">
        <f t="shared" si="298"/>
        <v>#DIV/0!</v>
      </c>
      <c r="AA435" s="25">
        <f t="shared" si="299"/>
        <v>0</v>
      </c>
      <c r="AB435" s="25">
        <f t="shared" si="335"/>
        <v>0</v>
      </c>
      <c r="AC435" s="104"/>
    </row>
    <row r="436" spans="1:29" s="26" customFormat="1" ht="36" hidden="1" customHeight="1" x14ac:dyDescent="0.25">
      <c r="A436" s="22" t="s">
        <v>209</v>
      </c>
      <c r="B436" s="23" t="str">
        <f>'дод 5'!A289</f>
        <v>7610</v>
      </c>
      <c r="C436" s="23" t="str">
        <f>'дод 5'!B289</f>
        <v>0411</v>
      </c>
      <c r="D436" s="24" t="str">
        <f>'дод 5'!C289</f>
        <v>Сприяння розвитку малого та середнього підприємництва</v>
      </c>
      <c r="E436" s="25">
        <f t="shared" si="334"/>
        <v>0</v>
      </c>
      <c r="F436" s="25"/>
      <c r="G436" s="25"/>
      <c r="H436" s="25"/>
      <c r="I436" s="25"/>
      <c r="J436" s="25"/>
      <c r="K436" s="25"/>
      <c r="L436" s="25"/>
      <c r="M436" s="181" t="e">
        <f t="shared" si="307"/>
        <v>#DIV/0!</v>
      </c>
      <c r="N436" s="25">
        <f t="shared" si="336"/>
        <v>0</v>
      </c>
      <c r="O436" s="25"/>
      <c r="P436" s="25"/>
      <c r="Q436" s="25"/>
      <c r="R436" s="25"/>
      <c r="S436" s="25"/>
      <c r="T436" s="15">
        <f t="shared" si="297"/>
        <v>0</v>
      </c>
      <c r="U436" s="25"/>
      <c r="V436" s="25"/>
      <c r="W436" s="25"/>
      <c r="X436" s="25"/>
      <c r="Y436" s="25"/>
      <c r="Z436" s="181" t="e">
        <f t="shared" si="298"/>
        <v>#DIV/0!</v>
      </c>
      <c r="AA436" s="25">
        <f t="shared" si="299"/>
        <v>0</v>
      </c>
      <c r="AB436" s="25">
        <f t="shared" si="335"/>
        <v>0</v>
      </c>
      <c r="AC436" s="104"/>
    </row>
    <row r="437" spans="1:29" s="26" customFormat="1" ht="32.25" hidden="1" customHeight="1" x14ac:dyDescent="0.25">
      <c r="A437" s="22" t="s">
        <v>257</v>
      </c>
      <c r="B437" s="23" t="str">
        <f>'дод 5'!A294</f>
        <v>7650</v>
      </c>
      <c r="C437" s="23" t="str">
        <f>'дод 5'!B294</f>
        <v>0490</v>
      </c>
      <c r="D437" s="24" t="str">
        <f>'дод 5'!C294</f>
        <v>Проведення експертної грошової оцінки земельної ділянки чи права на неї</v>
      </c>
      <c r="E437" s="25">
        <f t="shared" si="334"/>
        <v>0</v>
      </c>
      <c r="F437" s="25"/>
      <c r="G437" s="25"/>
      <c r="H437" s="25"/>
      <c r="I437" s="25"/>
      <c r="J437" s="25"/>
      <c r="K437" s="25"/>
      <c r="L437" s="25"/>
      <c r="M437" s="181" t="e">
        <f t="shared" si="307"/>
        <v>#DIV/0!</v>
      </c>
      <c r="N437" s="25">
        <f t="shared" si="336"/>
        <v>0</v>
      </c>
      <c r="O437" s="25"/>
      <c r="P437" s="25"/>
      <c r="Q437" s="25"/>
      <c r="R437" s="25"/>
      <c r="S437" s="25"/>
      <c r="T437" s="15">
        <f t="shared" si="297"/>
        <v>0</v>
      </c>
      <c r="U437" s="25"/>
      <c r="V437" s="25"/>
      <c r="W437" s="25"/>
      <c r="X437" s="25"/>
      <c r="Y437" s="25"/>
      <c r="Z437" s="181" t="e">
        <f t="shared" si="298"/>
        <v>#DIV/0!</v>
      </c>
      <c r="AA437" s="25">
        <f t="shared" si="299"/>
        <v>0</v>
      </c>
      <c r="AB437" s="25">
        <f t="shared" si="335"/>
        <v>0</v>
      </c>
      <c r="AC437" s="104"/>
    </row>
    <row r="438" spans="1:29" s="26" customFormat="1" ht="63" hidden="1" customHeight="1" x14ac:dyDescent="0.25">
      <c r="A438" s="22" t="s">
        <v>259</v>
      </c>
      <c r="B438" s="23" t="str">
        <f>'дод 5'!A295</f>
        <v>7660</v>
      </c>
      <c r="C438" s="23" t="str">
        <f>'дод 5'!B295</f>
        <v>0490</v>
      </c>
      <c r="D438" s="24" t="str">
        <f>'дод 5'!C295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438" s="25">
        <f t="shared" si="334"/>
        <v>0</v>
      </c>
      <c r="F438" s="25"/>
      <c r="G438" s="25"/>
      <c r="H438" s="25"/>
      <c r="I438" s="25"/>
      <c r="J438" s="25"/>
      <c r="K438" s="25"/>
      <c r="L438" s="25"/>
      <c r="M438" s="181" t="e">
        <f t="shared" si="307"/>
        <v>#DIV/0!</v>
      </c>
      <c r="N438" s="25">
        <f t="shared" si="336"/>
        <v>0</v>
      </c>
      <c r="O438" s="25"/>
      <c r="P438" s="25"/>
      <c r="Q438" s="25"/>
      <c r="R438" s="25"/>
      <c r="S438" s="25"/>
      <c r="T438" s="15">
        <f t="shared" si="297"/>
        <v>0</v>
      </c>
      <c r="U438" s="25"/>
      <c r="V438" s="25"/>
      <c r="W438" s="25"/>
      <c r="X438" s="25"/>
      <c r="Y438" s="25"/>
      <c r="Z438" s="181" t="e">
        <f t="shared" si="298"/>
        <v>#DIV/0!</v>
      </c>
      <c r="AA438" s="25">
        <f t="shared" si="299"/>
        <v>0</v>
      </c>
      <c r="AB438" s="25">
        <f t="shared" si="335"/>
        <v>0</v>
      </c>
      <c r="AC438" s="104"/>
    </row>
    <row r="439" spans="1:29" s="26" customFormat="1" ht="22.5" hidden="1" customHeight="1" x14ac:dyDescent="0.25">
      <c r="A439" s="22" t="s">
        <v>255</v>
      </c>
      <c r="B439" s="23" t="str">
        <f>'дод 5'!A301</f>
        <v>7693</v>
      </c>
      <c r="C439" s="23" t="str">
        <f>'дод 5'!B301</f>
        <v>0490</v>
      </c>
      <c r="D439" s="24" t="str">
        <f>'дод 5'!C301</f>
        <v>Інші заходи, пов'язані з економічною діяльністю, у т.ч. за рахунок:</v>
      </c>
      <c r="E439" s="25">
        <f t="shared" si="334"/>
        <v>0</v>
      </c>
      <c r="F439" s="25"/>
      <c r="G439" s="25"/>
      <c r="H439" s="25"/>
      <c r="I439" s="25"/>
      <c r="J439" s="25"/>
      <c r="K439" s="25"/>
      <c r="L439" s="25"/>
      <c r="M439" s="181" t="e">
        <f t="shared" si="307"/>
        <v>#DIV/0!</v>
      </c>
      <c r="N439" s="25">
        <f t="shared" si="336"/>
        <v>0</v>
      </c>
      <c r="O439" s="25"/>
      <c r="P439" s="25"/>
      <c r="Q439" s="25"/>
      <c r="R439" s="25"/>
      <c r="S439" s="25"/>
      <c r="T439" s="15">
        <f t="shared" si="297"/>
        <v>0</v>
      </c>
      <c r="U439" s="25"/>
      <c r="V439" s="25"/>
      <c r="W439" s="25"/>
      <c r="X439" s="25"/>
      <c r="Y439" s="25"/>
      <c r="Z439" s="181" t="e">
        <f t="shared" si="298"/>
        <v>#DIV/0!</v>
      </c>
      <c r="AA439" s="25">
        <f t="shared" si="299"/>
        <v>0</v>
      </c>
      <c r="AB439" s="25">
        <f t="shared" si="335"/>
        <v>0</v>
      </c>
      <c r="AC439" s="104"/>
    </row>
    <row r="440" spans="1:29" s="16" customFormat="1" ht="33" customHeight="1" x14ac:dyDescent="0.25">
      <c r="A440" s="37" t="s">
        <v>205</v>
      </c>
      <c r="B440" s="38"/>
      <c r="C440" s="38"/>
      <c r="D440" s="39" t="s">
        <v>583</v>
      </c>
      <c r="E440" s="15">
        <f>E441</f>
        <v>13757880</v>
      </c>
      <c r="F440" s="15">
        <f t="shared" ref="F440:AA440" si="337">F441</f>
        <v>13757880</v>
      </c>
      <c r="G440" s="15">
        <f t="shared" si="337"/>
        <v>10103100</v>
      </c>
      <c r="H440" s="15">
        <f t="shared" si="337"/>
        <v>210300</v>
      </c>
      <c r="I440" s="15">
        <f t="shared" si="337"/>
        <v>0</v>
      </c>
      <c r="J440" s="15">
        <f t="shared" si="337"/>
        <v>13682800.389999999</v>
      </c>
      <c r="K440" s="15">
        <f t="shared" si="337"/>
        <v>10102544.619999999</v>
      </c>
      <c r="L440" s="15">
        <f t="shared" si="337"/>
        <v>206540.67</v>
      </c>
      <c r="M440" s="121">
        <f t="shared" si="307"/>
        <v>99.454279220344986</v>
      </c>
      <c r="N440" s="15">
        <f t="shared" si="337"/>
        <v>0</v>
      </c>
      <c r="O440" s="15">
        <f t="shared" si="337"/>
        <v>0</v>
      </c>
      <c r="P440" s="15">
        <f t="shared" si="337"/>
        <v>0</v>
      </c>
      <c r="Q440" s="15">
        <f t="shared" si="337"/>
        <v>0</v>
      </c>
      <c r="R440" s="15">
        <f t="shared" si="337"/>
        <v>0</v>
      </c>
      <c r="S440" s="15">
        <f t="shared" si="337"/>
        <v>0</v>
      </c>
      <c r="T440" s="15">
        <f t="shared" si="337"/>
        <v>0</v>
      </c>
      <c r="U440" s="15">
        <f t="shared" si="337"/>
        <v>0</v>
      </c>
      <c r="V440" s="15">
        <f t="shared" si="337"/>
        <v>0</v>
      </c>
      <c r="W440" s="15">
        <f t="shared" si="337"/>
        <v>0</v>
      </c>
      <c r="X440" s="15">
        <f t="shared" si="337"/>
        <v>0</v>
      </c>
      <c r="Y440" s="15">
        <f t="shared" si="337"/>
        <v>0</v>
      </c>
      <c r="Z440" s="121"/>
      <c r="AA440" s="15">
        <f t="shared" si="337"/>
        <v>13682800.389999999</v>
      </c>
      <c r="AB440" s="15">
        <f>AB441</f>
        <v>13757880</v>
      </c>
      <c r="AC440" s="198">
        <v>17</v>
      </c>
    </row>
    <row r="441" spans="1:29" s="21" customFormat="1" ht="32.25" customHeight="1" x14ac:dyDescent="0.25">
      <c r="A441" s="17" t="s">
        <v>206</v>
      </c>
      <c r="B441" s="40"/>
      <c r="C441" s="40"/>
      <c r="D441" s="19" t="s">
        <v>733</v>
      </c>
      <c r="E441" s="20">
        <f t="shared" ref="E441:AB441" si="338">E443+E444++E445+E446+E447+E448</f>
        <v>13757880</v>
      </c>
      <c r="F441" s="20">
        <f t="shared" ref="F441:AA441" si="339">F443+F444++F445+F446+F447+F448</f>
        <v>13757880</v>
      </c>
      <c r="G441" s="20">
        <f t="shared" si="339"/>
        <v>10103100</v>
      </c>
      <c r="H441" s="20">
        <f t="shared" si="339"/>
        <v>210300</v>
      </c>
      <c r="I441" s="20">
        <f t="shared" si="339"/>
        <v>0</v>
      </c>
      <c r="J441" s="20">
        <f t="shared" si="339"/>
        <v>13682800.389999999</v>
      </c>
      <c r="K441" s="20">
        <f t="shared" si="339"/>
        <v>10102544.619999999</v>
      </c>
      <c r="L441" s="20">
        <f t="shared" si="339"/>
        <v>206540.67</v>
      </c>
      <c r="M441" s="187">
        <f t="shared" si="307"/>
        <v>99.454279220344986</v>
      </c>
      <c r="N441" s="20">
        <f t="shared" si="339"/>
        <v>0</v>
      </c>
      <c r="O441" s="20">
        <f t="shared" si="339"/>
        <v>0</v>
      </c>
      <c r="P441" s="20">
        <f t="shared" si="339"/>
        <v>0</v>
      </c>
      <c r="Q441" s="20">
        <f t="shared" si="339"/>
        <v>0</v>
      </c>
      <c r="R441" s="20">
        <f t="shared" si="339"/>
        <v>0</v>
      </c>
      <c r="S441" s="20">
        <f t="shared" si="339"/>
        <v>0</v>
      </c>
      <c r="T441" s="20">
        <f t="shared" si="339"/>
        <v>0</v>
      </c>
      <c r="U441" s="20">
        <f t="shared" si="339"/>
        <v>0</v>
      </c>
      <c r="V441" s="20">
        <f t="shared" si="339"/>
        <v>0</v>
      </c>
      <c r="W441" s="20">
        <f t="shared" si="339"/>
        <v>0</v>
      </c>
      <c r="X441" s="20">
        <f t="shared" si="339"/>
        <v>0</v>
      </c>
      <c r="Y441" s="20">
        <f t="shared" si="339"/>
        <v>0</v>
      </c>
      <c r="Z441" s="187"/>
      <c r="AA441" s="20">
        <f t="shared" si="339"/>
        <v>13682800.389999999</v>
      </c>
      <c r="AB441" s="20">
        <f t="shared" si="338"/>
        <v>13757880</v>
      </c>
      <c r="AC441" s="198"/>
    </row>
    <row r="442" spans="1:29" s="21" customFormat="1" ht="96.75" customHeight="1" x14ac:dyDescent="0.25">
      <c r="A442" s="17"/>
      <c r="B442" s="40"/>
      <c r="C442" s="40"/>
      <c r="D442" s="54" t="s">
        <v>618</v>
      </c>
      <c r="E442" s="20">
        <f>E449</f>
        <v>163600</v>
      </c>
      <c r="F442" s="20">
        <f t="shared" ref="F442:AA442" si="340">F449</f>
        <v>163600</v>
      </c>
      <c r="G442" s="20">
        <f t="shared" si="340"/>
        <v>0</v>
      </c>
      <c r="H442" s="20">
        <f t="shared" si="340"/>
        <v>0</v>
      </c>
      <c r="I442" s="20">
        <f t="shared" si="340"/>
        <v>0</v>
      </c>
      <c r="J442" s="20">
        <f t="shared" si="340"/>
        <v>163600</v>
      </c>
      <c r="K442" s="20">
        <f t="shared" si="340"/>
        <v>0</v>
      </c>
      <c r="L442" s="20">
        <f t="shared" si="340"/>
        <v>0</v>
      </c>
      <c r="M442" s="187">
        <f t="shared" si="307"/>
        <v>100</v>
      </c>
      <c r="N442" s="20">
        <f t="shared" si="340"/>
        <v>0</v>
      </c>
      <c r="O442" s="20">
        <f t="shared" si="340"/>
        <v>0</v>
      </c>
      <c r="P442" s="20">
        <f t="shared" si="340"/>
        <v>0</v>
      </c>
      <c r="Q442" s="20">
        <f t="shared" si="340"/>
        <v>0</v>
      </c>
      <c r="R442" s="20">
        <f t="shared" si="340"/>
        <v>0</v>
      </c>
      <c r="S442" s="20">
        <f t="shared" si="340"/>
        <v>0</v>
      </c>
      <c r="T442" s="20">
        <f t="shared" si="340"/>
        <v>0</v>
      </c>
      <c r="U442" s="20">
        <f t="shared" si="340"/>
        <v>0</v>
      </c>
      <c r="V442" s="20">
        <f t="shared" si="340"/>
        <v>0</v>
      </c>
      <c r="W442" s="20">
        <f t="shared" si="340"/>
        <v>0</v>
      </c>
      <c r="X442" s="20">
        <f t="shared" si="340"/>
        <v>0</v>
      </c>
      <c r="Y442" s="20">
        <f t="shared" si="340"/>
        <v>0</v>
      </c>
      <c r="Z442" s="187"/>
      <c r="AA442" s="20">
        <f t="shared" si="340"/>
        <v>163600</v>
      </c>
      <c r="AB442" s="20">
        <f t="shared" ref="AB442" si="341">AB449</f>
        <v>163600</v>
      </c>
      <c r="AC442" s="198"/>
    </row>
    <row r="443" spans="1:29" s="26" customFormat="1" ht="50.25" customHeight="1" x14ac:dyDescent="0.25">
      <c r="A443" s="22" t="s">
        <v>207</v>
      </c>
      <c r="B443" s="23" t="str">
        <f>'дод 5'!A21</f>
        <v>0160</v>
      </c>
      <c r="C443" s="23" t="str">
        <f>'дод 5'!B21</f>
        <v>0111</v>
      </c>
      <c r="D443" s="24" t="s">
        <v>707</v>
      </c>
      <c r="E443" s="25">
        <f t="shared" ref="E443:E449" si="342">F443+I443</f>
        <v>13184280</v>
      </c>
      <c r="F443" s="25">
        <f>11868200+145200+980700+190180</f>
        <v>13184280</v>
      </c>
      <c r="G443" s="25">
        <f>9298600+804500</f>
        <v>10103100</v>
      </c>
      <c r="H443" s="25">
        <f>209100+1200</f>
        <v>210300</v>
      </c>
      <c r="I443" s="25"/>
      <c r="J443" s="25">
        <v>13172693.199999999</v>
      </c>
      <c r="K443" s="25">
        <v>10102544.619999999</v>
      </c>
      <c r="L443" s="25">
        <v>206540.67</v>
      </c>
      <c r="M443" s="181">
        <f t="shared" si="307"/>
        <v>99.912116550922761</v>
      </c>
      <c r="N443" s="25">
        <f>P443+S443</f>
        <v>0</v>
      </c>
      <c r="O443" s="25"/>
      <c r="P443" s="25"/>
      <c r="Q443" s="25"/>
      <c r="R443" s="25"/>
      <c r="S443" s="25"/>
      <c r="T443" s="15">
        <f t="shared" si="297"/>
        <v>0</v>
      </c>
      <c r="U443" s="25"/>
      <c r="V443" s="25"/>
      <c r="W443" s="25"/>
      <c r="X443" s="25"/>
      <c r="Y443" s="25"/>
      <c r="Z443" s="181"/>
      <c r="AA443" s="25">
        <f t="shared" si="299"/>
        <v>13172693.199999999</v>
      </c>
      <c r="AB443" s="25">
        <f t="shared" ref="AB443:AB449" si="343">E443+N443</f>
        <v>13184280</v>
      </c>
      <c r="AC443" s="198"/>
    </row>
    <row r="444" spans="1:29" s="55" customFormat="1" ht="21" hidden="1" customHeight="1" x14ac:dyDescent="0.25">
      <c r="A444" s="22" t="s">
        <v>208</v>
      </c>
      <c r="B444" s="23" t="str">
        <f>'дод 5'!A235</f>
        <v>7130</v>
      </c>
      <c r="C444" s="23" t="str">
        <f>'дод 5'!B235</f>
        <v>0421</v>
      </c>
      <c r="D444" s="24" t="str">
        <f>'дод 5'!C235</f>
        <v>Здійснення заходів із землеустрою</v>
      </c>
      <c r="E444" s="25">
        <f t="shared" si="342"/>
        <v>0</v>
      </c>
      <c r="F444" s="25"/>
      <c r="G444" s="25"/>
      <c r="H444" s="25"/>
      <c r="I444" s="25"/>
      <c r="J444" s="25"/>
      <c r="K444" s="25"/>
      <c r="L444" s="25"/>
      <c r="M444" s="181" t="e">
        <f t="shared" si="307"/>
        <v>#DIV/0!</v>
      </c>
      <c r="N444" s="25">
        <f t="shared" ref="N444:N449" si="344">P444+S444</f>
        <v>0</v>
      </c>
      <c r="O444" s="25"/>
      <c r="P444" s="25"/>
      <c r="Q444" s="25"/>
      <c r="R444" s="25"/>
      <c r="S444" s="25"/>
      <c r="T444" s="15">
        <f t="shared" si="297"/>
        <v>0</v>
      </c>
      <c r="U444" s="25"/>
      <c r="V444" s="25"/>
      <c r="W444" s="25"/>
      <c r="X444" s="25"/>
      <c r="Y444" s="25"/>
      <c r="Z444" s="181"/>
      <c r="AA444" s="25">
        <f t="shared" si="299"/>
        <v>0</v>
      </c>
      <c r="AB444" s="25">
        <f t="shared" si="343"/>
        <v>0</v>
      </c>
      <c r="AC444" s="198"/>
    </row>
    <row r="445" spans="1:29" s="26" customFormat="1" ht="33.75" hidden="1" customHeight="1" x14ac:dyDescent="0.25">
      <c r="A445" s="22" t="s">
        <v>209</v>
      </c>
      <c r="B445" s="23" t="str">
        <f>'дод 5'!A289</f>
        <v>7610</v>
      </c>
      <c r="C445" s="23" t="str">
        <f>'дод 5'!B289</f>
        <v>0411</v>
      </c>
      <c r="D445" s="24" t="str">
        <f>'дод 5'!C289</f>
        <v>Сприяння розвитку малого та середнього підприємництва</v>
      </c>
      <c r="E445" s="25">
        <f t="shared" si="342"/>
        <v>0</v>
      </c>
      <c r="F445" s="25"/>
      <c r="G445" s="25"/>
      <c r="H445" s="25"/>
      <c r="I445" s="25"/>
      <c r="J445" s="25"/>
      <c r="K445" s="25"/>
      <c r="L445" s="25"/>
      <c r="M445" s="181" t="e">
        <f t="shared" si="307"/>
        <v>#DIV/0!</v>
      </c>
      <c r="N445" s="25">
        <f t="shared" si="344"/>
        <v>0</v>
      </c>
      <c r="O445" s="25"/>
      <c r="P445" s="25"/>
      <c r="Q445" s="25"/>
      <c r="R445" s="25"/>
      <c r="S445" s="25"/>
      <c r="T445" s="15">
        <f t="shared" si="297"/>
        <v>0</v>
      </c>
      <c r="U445" s="25"/>
      <c r="V445" s="25"/>
      <c r="W445" s="25"/>
      <c r="X445" s="25"/>
      <c r="Y445" s="25"/>
      <c r="Z445" s="181"/>
      <c r="AA445" s="25">
        <f t="shared" si="299"/>
        <v>0</v>
      </c>
      <c r="AB445" s="25">
        <f t="shared" si="343"/>
        <v>0</v>
      </c>
      <c r="AC445" s="198"/>
    </row>
    <row r="446" spans="1:29" s="26" customFormat="1" ht="32.25" hidden="1" customHeight="1" x14ac:dyDescent="0.25">
      <c r="A446" s="22" t="s">
        <v>257</v>
      </c>
      <c r="B446" s="23" t="str">
        <f>'дод 5'!A294</f>
        <v>7650</v>
      </c>
      <c r="C446" s="23" t="str">
        <f>'дод 5'!B294</f>
        <v>0490</v>
      </c>
      <c r="D446" s="24" t="str">
        <f>'дод 5'!C294</f>
        <v>Проведення експертної грошової оцінки земельної ділянки чи права на неї</v>
      </c>
      <c r="E446" s="25">
        <f t="shared" si="342"/>
        <v>0</v>
      </c>
      <c r="F446" s="25"/>
      <c r="G446" s="25"/>
      <c r="H446" s="25"/>
      <c r="I446" s="25"/>
      <c r="J446" s="25"/>
      <c r="K446" s="25"/>
      <c r="L446" s="25"/>
      <c r="M446" s="181" t="e">
        <f t="shared" si="307"/>
        <v>#DIV/0!</v>
      </c>
      <c r="N446" s="25">
        <f t="shared" si="344"/>
        <v>0</v>
      </c>
      <c r="O446" s="25"/>
      <c r="P446" s="25"/>
      <c r="Q446" s="25"/>
      <c r="R446" s="25"/>
      <c r="S446" s="25"/>
      <c r="T446" s="15">
        <f t="shared" si="297"/>
        <v>0</v>
      </c>
      <c r="U446" s="25"/>
      <c r="V446" s="25"/>
      <c r="W446" s="25"/>
      <c r="X446" s="25"/>
      <c r="Y446" s="25"/>
      <c r="Z446" s="181"/>
      <c r="AA446" s="25">
        <f t="shared" si="299"/>
        <v>0</v>
      </c>
      <c r="AB446" s="25">
        <f t="shared" si="343"/>
        <v>0</v>
      </c>
      <c r="AC446" s="198"/>
    </row>
    <row r="447" spans="1:29" s="26" customFormat="1" ht="46.15" hidden="1" customHeight="1" x14ac:dyDescent="0.25">
      <c r="A447" s="22" t="s">
        <v>259</v>
      </c>
      <c r="B447" s="23" t="str">
        <f>'дод 5'!A295</f>
        <v>7660</v>
      </c>
      <c r="C447" s="23" t="str">
        <f>'дод 5'!B295</f>
        <v>0490</v>
      </c>
      <c r="D447" s="24" t="str">
        <f>'дод 5'!C295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447" s="25">
        <f t="shared" si="342"/>
        <v>0</v>
      </c>
      <c r="F447" s="25"/>
      <c r="G447" s="25"/>
      <c r="H447" s="25"/>
      <c r="I447" s="25"/>
      <c r="J447" s="25"/>
      <c r="K447" s="25"/>
      <c r="L447" s="25"/>
      <c r="M447" s="181" t="e">
        <f t="shared" si="307"/>
        <v>#DIV/0!</v>
      </c>
      <c r="N447" s="25">
        <f t="shared" si="344"/>
        <v>0</v>
      </c>
      <c r="O447" s="25"/>
      <c r="P447" s="25"/>
      <c r="Q447" s="25"/>
      <c r="R447" s="25"/>
      <c r="S447" s="25"/>
      <c r="T447" s="15">
        <f t="shared" si="297"/>
        <v>0</v>
      </c>
      <c r="U447" s="25"/>
      <c r="V447" s="25"/>
      <c r="W447" s="25"/>
      <c r="X447" s="25"/>
      <c r="Y447" s="25"/>
      <c r="Z447" s="181"/>
      <c r="AA447" s="25">
        <f t="shared" si="299"/>
        <v>0</v>
      </c>
      <c r="AB447" s="25">
        <f t="shared" si="343"/>
        <v>0</v>
      </c>
      <c r="AC447" s="198"/>
    </row>
    <row r="448" spans="1:29" s="26" customFormat="1" ht="44.25" customHeight="1" x14ac:dyDescent="0.25">
      <c r="A448" s="22" t="s">
        <v>255</v>
      </c>
      <c r="B448" s="23" t="str">
        <f>'дод 5'!A301</f>
        <v>7693</v>
      </c>
      <c r="C448" s="23" t="str">
        <f>'дод 5'!B301</f>
        <v>0490</v>
      </c>
      <c r="D448" s="24" t="str">
        <f>'дод 5'!C301</f>
        <v>Інші заходи, пов'язані з економічною діяльністю, у т.ч. за рахунок:</v>
      </c>
      <c r="E448" s="25">
        <f t="shared" si="342"/>
        <v>573600</v>
      </c>
      <c r="F448" s="25">
        <f>410000+163600</f>
        <v>573600</v>
      </c>
      <c r="G448" s="25"/>
      <c r="H448" s="25"/>
      <c r="I448" s="25"/>
      <c r="J448" s="25">
        <v>510107.19</v>
      </c>
      <c r="K448" s="25"/>
      <c r="L448" s="25"/>
      <c r="M448" s="181">
        <f t="shared" si="307"/>
        <v>88.930821129707113</v>
      </c>
      <c r="N448" s="25">
        <f t="shared" si="344"/>
        <v>0</v>
      </c>
      <c r="O448" s="25"/>
      <c r="P448" s="25"/>
      <c r="Q448" s="25"/>
      <c r="R448" s="25"/>
      <c r="S448" s="25"/>
      <c r="T448" s="15">
        <f t="shared" si="297"/>
        <v>0</v>
      </c>
      <c r="U448" s="25"/>
      <c r="V448" s="25"/>
      <c r="W448" s="25"/>
      <c r="X448" s="25"/>
      <c r="Y448" s="25"/>
      <c r="Z448" s="181"/>
      <c r="AA448" s="25">
        <f t="shared" si="299"/>
        <v>510107.19</v>
      </c>
      <c r="AB448" s="25">
        <f t="shared" si="343"/>
        <v>573600</v>
      </c>
      <c r="AC448" s="198"/>
    </row>
    <row r="449" spans="1:29" s="31" customFormat="1" ht="97.9" customHeight="1" x14ac:dyDescent="0.25">
      <c r="A449" s="27"/>
      <c r="B449" s="28"/>
      <c r="C449" s="28"/>
      <c r="D449" s="48" t="s">
        <v>618</v>
      </c>
      <c r="E449" s="30">
        <f t="shared" si="342"/>
        <v>163600</v>
      </c>
      <c r="F449" s="30">
        <v>163600</v>
      </c>
      <c r="G449" s="30"/>
      <c r="H449" s="30"/>
      <c r="I449" s="30"/>
      <c r="J449" s="30">
        <v>163600</v>
      </c>
      <c r="K449" s="30"/>
      <c r="L449" s="30"/>
      <c r="M449" s="182">
        <f t="shared" si="307"/>
        <v>100</v>
      </c>
      <c r="N449" s="30">
        <f t="shared" si="344"/>
        <v>0</v>
      </c>
      <c r="O449" s="30"/>
      <c r="P449" s="30"/>
      <c r="Q449" s="30"/>
      <c r="R449" s="30"/>
      <c r="S449" s="30"/>
      <c r="T449" s="15">
        <f t="shared" si="297"/>
        <v>0</v>
      </c>
      <c r="U449" s="30"/>
      <c r="V449" s="30"/>
      <c r="W449" s="30"/>
      <c r="X449" s="30"/>
      <c r="Y449" s="30"/>
      <c r="Z449" s="182"/>
      <c r="AA449" s="30">
        <f t="shared" si="299"/>
        <v>163600</v>
      </c>
      <c r="AB449" s="30">
        <f t="shared" si="343"/>
        <v>163600</v>
      </c>
      <c r="AC449" s="198"/>
    </row>
    <row r="450" spans="1:29" s="16" customFormat="1" ht="36.75" customHeight="1" x14ac:dyDescent="0.25">
      <c r="A450" s="37" t="s">
        <v>580</v>
      </c>
      <c r="B450" s="38"/>
      <c r="C450" s="38"/>
      <c r="D450" s="39" t="s">
        <v>38</v>
      </c>
      <c r="E450" s="15">
        <f>E451</f>
        <v>26658450</v>
      </c>
      <c r="F450" s="15">
        <f t="shared" ref="F450:AA450" si="345">F451</f>
        <v>26658450</v>
      </c>
      <c r="G450" s="15">
        <f t="shared" si="345"/>
        <v>18767750</v>
      </c>
      <c r="H450" s="15">
        <f t="shared" si="345"/>
        <v>968000</v>
      </c>
      <c r="I450" s="15">
        <f t="shared" si="345"/>
        <v>0</v>
      </c>
      <c r="J450" s="15">
        <f t="shared" si="345"/>
        <v>25764495.5</v>
      </c>
      <c r="K450" s="15">
        <f t="shared" si="345"/>
        <v>18764733.98</v>
      </c>
      <c r="L450" s="15">
        <f t="shared" si="345"/>
        <v>697550.14</v>
      </c>
      <c r="M450" s="121">
        <f t="shared" si="307"/>
        <v>96.646637370139672</v>
      </c>
      <c r="N450" s="15">
        <f t="shared" si="345"/>
        <v>330000</v>
      </c>
      <c r="O450" s="15">
        <f t="shared" si="345"/>
        <v>330000</v>
      </c>
      <c r="P450" s="15">
        <f t="shared" si="345"/>
        <v>0</v>
      </c>
      <c r="Q450" s="15">
        <f t="shared" si="345"/>
        <v>0</v>
      </c>
      <c r="R450" s="15">
        <f t="shared" si="345"/>
        <v>0</v>
      </c>
      <c r="S450" s="15">
        <f t="shared" si="345"/>
        <v>330000</v>
      </c>
      <c r="T450" s="15">
        <f t="shared" si="345"/>
        <v>37500</v>
      </c>
      <c r="U450" s="15">
        <f t="shared" si="345"/>
        <v>37500</v>
      </c>
      <c r="V450" s="15">
        <f t="shared" si="345"/>
        <v>0</v>
      </c>
      <c r="W450" s="15">
        <f t="shared" si="345"/>
        <v>0</v>
      </c>
      <c r="X450" s="15">
        <f t="shared" si="345"/>
        <v>0</v>
      </c>
      <c r="Y450" s="15">
        <f t="shared" si="345"/>
        <v>37500</v>
      </c>
      <c r="Z450" s="121">
        <f t="shared" si="298"/>
        <v>11.363636363636363</v>
      </c>
      <c r="AA450" s="15">
        <f t="shared" si="345"/>
        <v>25801995.5</v>
      </c>
      <c r="AB450" s="15">
        <f t="shared" ref="AB450" si="346">AB451</f>
        <v>26988450</v>
      </c>
      <c r="AC450" s="198"/>
    </row>
    <row r="451" spans="1:29" s="21" customFormat="1" ht="39" customHeight="1" x14ac:dyDescent="0.25">
      <c r="A451" s="17" t="s">
        <v>581</v>
      </c>
      <c r="B451" s="40"/>
      <c r="C451" s="40"/>
      <c r="D451" s="19" t="s">
        <v>38</v>
      </c>
      <c r="E451" s="20">
        <f>E452+E453+E454+E455+E456+E457+E458+E459+E460</f>
        <v>26658450</v>
      </c>
      <c r="F451" s="20">
        <f t="shared" ref="F451:AA451" si="347">F452+F453+F454+F455+F456+F457+F458+F459+F460</f>
        <v>26658450</v>
      </c>
      <c r="G451" s="20">
        <f t="shared" si="347"/>
        <v>18767750</v>
      </c>
      <c r="H451" s="20">
        <f t="shared" si="347"/>
        <v>968000</v>
      </c>
      <c r="I451" s="20">
        <f t="shared" si="347"/>
        <v>0</v>
      </c>
      <c r="J451" s="20">
        <f t="shared" si="347"/>
        <v>25764495.5</v>
      </c>
      <c r="K451" s="20">
        <f t="shared" si="347"/>
        <v>18764733.98</v>
      </c>
      <c r="L451" s="20">
        <f t="shared" si="347"/>
        <v>697550.14</v>
      </c>
      <c r="M451" s="187">
        <f t="shared" si="307"/>
        <v>96.646637370139672</v>
      </c>
      <c r="N451" s="20">
        <f t="shared" si="347"/>
        <v>330000</v>
      </c>
      <c r="O451" s="20">
        <f t="shared" si="347"/>
        <v>330000</v>
      </c>
      <c r="P451" s="20">
        <f t="shared" si="347"/>
        <v>0</v>
      </c>
      <c r="Q451" s="20">
        <f t="shared" si="347"/>
        <v>0</v>
      </c>
      <c r="R451" s="20">
        <f t="shared" si="347"/>
        <v>0</v>
      </c>
      <c r="S451" s="20">
        <f t="shared" si="347"/>
        <v>330000</v>
      </c>
      <c r="T451" s="20">
        <f t="shared" si="347"/>
        <v>37500</v>
      </c>
      <c r="U451" s="20">
        <f t="shared" si="347"/>
        <v>37500</v>
      </c>
      <c r="V451" s="20">
        <f t="shared" si="347"/>
        <v>0</v>
      </c>
      <c r="W451" s="20">
        <f t="shared" si="347"/>
        <v>0</v>
      </c>
      <c r="X451" s="20">
        <f t="shared" si="347"/>
        <v>0</v>
      </c>
      <c r="Y451" s="20">
        <f t="shared" si="347"/>
        <v>37500</v>
      </c>
      <c r="Z451" s="187">
        <f t="shared" si="298"/>
        <v>11.363636363636363</v>
      </c>
      <c r="AA451" s="20">
        <f t="shared" si="347"/>
        <v>25801995.5</v>
      </c>
      <c r="AB451" s="20">
        <f t="shared" ref="AB451" si="348">AB452+AB453+AB454+AB455+AB456+AB457+AB458+AB459+AB460</f>
        <v>26988450</v>
      </c>
      <c r="AC451" s="198"/>
    </row>
    <row r="452" spans="1:29" s="26" customFormat="1" ht="51.75" customHeight="1" x14ac:dyDescent="0.25">
      <c r="A452" s="22" t="s">
        <v>582</v>
      </c>
      <c r="B452" s="23" t="str">
        <f>'дод 5'!A21</f>
        <v>0160</v>
      </c>
      <c r="C452" s="23" t="str">
        <f>'дод 5'!B21</f>
        <v>0111</v>
      </c>
      <c r="D452" s="24" t="s">
        <v>707</v>
      </c>
      <c r="E452" s="25">
        <f>F452+I452</f>
        <v>25054450</v>
      </c>
      <c r="F452" s="25">
        <f>23520400-318850+1852900</f>
        <v>25054450</v>
      </c>
      <c r="G452" s="25">
        <f>17509100-261350+1520000</f>
        <v>18767750</v>
      </c>
      <c r="H452" s="25">
        <v>968000</v>
      </c>
      <c r="I452" s="25"/>
      <c r="J452" s="25">
        <v>24682821.960000001</v>
      </c>
      <c r="K452" s="25">
        <v>18764733.98</v>
      </c>
      <c r="L452" s="25">
        <v>697550.14</v>
      </c>
      <c r="M452" s="181">
        <f t="shared" si="307"/>
        <v>98.516718427265417</v>
      </c>
      <c r="N452" s="25">
        <f>P452+S452</f>
        <v>0</v>
      </c>
      <c r="O452" s="25"/>
      <c r="P452" s="25"/>
      <c r="Q452" s="25"/>
      <c r="R452" s="25"/>
      <c r="S452" s="25"/>
      <c r="T452" s="15">
        <f t="shared" si="297"/>
        <v>0</v>
      </c>
      <c r="U452" s="25"/>
      <c r="V452" s="25"/>
      <c r="W452" s="25"/>
      <c r="X452" s="25"/>
      <c r="Y452" s="25"/>
      <c r="Z452" s="181"/>
      <c r="AA452" s="25">
        <f t="shared" si="299"/>
        <v>24682821.960000001</v>
      </c>
      <c r="AB452" s="25">
        <f>E452+N452</f>
        <v>25054450</v>
      </c>
      <c r="AC452" s="198"/>
    </row>
    <row r="453" spans="1:29" s="26" customFormat="1" ht="34.5" customHeight="1" x14ac:dyDescent="0.25">
      <c r="A453" s="22" t="s">
        <v>584</v>
      </c>
      <c r="B453" s="23" t="str">
        <f>'дод 5'!A222</f>
        <v>6090</v>
      </c>
      <c r="C453" s="23" t="str">
        <f>'дод 5'!B222</f>
        <v>0640</v>
      </c>
      <c r="D453" s="36" t="str">
        <f>'дод 5'!C222</f>
        <v>Інша діяльність у сфері житлово-комунального господарства</v>
      </c>
      <c r="E453" s="25">
        <f t="shared" ref="E453:E460" si="349">F453+I453</f>
        <v>99000</v>
      </c>
      <c r="F453" s="25">
        <f>200000-101000</f>
        <v>99000</v>
      </c>
      <c r="G453" s="25"/>
      <c r="H453" s="25"/>
      <c r="I453" s="25"/>
      <c r="J453" s="25"/>
      <c r="K453" s="25"/>
      <c r="L453" s="25"/>
      <c r="M453" s="181">
        <f t="shared" si="307"/>
        <v>0</v>
      </c>
      <c r="N453" s="25">
        <f t="shared" ref="N453:N460" si="350">P453+S453</f>
        <v>0</v>
      </c>
      <c r="O453" s="25"/>
      <c r="P453" s="25"/>
      <c r="Q453" s="25"/>
      <c r="R453" s="25"/>
      <c r="S453" s="25"/>
      <c r="T453" s="15">
        <f t="shared" si="297"/>
        <v>0</v>
      </c>
      <c r="U453" s="25"/>
      <c r="V453" s="25"/>
      <c r="W453" s="25"/>
      <c r="X453" s="25"/>
      <c r="Y453" s="25"/>
      <c r="Z453" s="181"/>
      <c r="AA453" s="25">
        <f t="shared" si="299"/>
        <v>0</v>
      </c>
      <c r="AB453" s="25">
        <f t="shared" ref="AB453:AB460" si="351">E453+N453</f>
        <v>99000</v>
      </c>
      <c r="AC453" s="198"/>
    </row>
    <row r="454" spans="1:29" s="26" customFormat="1" ht="27.75" customHeight="1" x14ac:dyDescent="0.25">
      <c r="A454" s="22" t="s">
        <v>587</v>
      </c>
      <c r="B454" s="23" t="str">
        <f>'дод 5'!A235</f>
        <v>7130</v>
      </c>
      <c r="C454" s="23" t="str">
        <f>'дод 5'!B235</f>
        <v>0421</v>
      </c>
      <c r="D454" s="36" t="str">
        <f>'дод 5'!C235</f>
        <v>Здійснення заходів із землеустрою</v>
      </c>
      <c r="E454" s="25">
        <f t="shared" si="349"/>
        <v>600000</v>
      </c>
      <c r="F454" s="25">
        <f>200000+400000</f>
        <v>600000</v>
      </c>
      <c r="G454" s="25"/>
      <c r="H454" s="25"/>
      <c r="I454" s="25"/>
      <c r="J454" s="25">
        <v>506070</v>
      </c>
      <c r="K454" s="25"/>
      <c r="L454" s="25"/>
      <c r="M454" s="181">
        <f t="shared" si="307"/>
        <v>84.344999999999999</v>
      </c>
      <c r="N454" s="25">
        <f t="shared" si="350"/>
        <v>0</v>
      </c>
      <c r="O454" s="25"/>
      <c r="P454" s="25"/>
      <c r="Q454" s="25"/>
      <c r="R454" s="25"/>
      <c r="S454" s="25"/>
      <c r="T454" s="15">
        <f t="shared" si="297"/>
        <v>0</v>
      </c>
      <c r="U454" s="25"/>
      <c r="V454" s="25"/>
      <c r="W454" s="25"/>
      <c r="X454" s="25"/>
      <c r="Y454" s="25"/>
      <c r="Z454" s="181"/>
      <c r="AA454" s="25">
        <f t="shared" si="299"/>
        <v>506070</v>
      </c>
      <c r="AB454" s="25">
        <f t="shared" si="351"/>
        <v>600000</v>
      </c>
      <c r="AC454" s="198"/>
    </row>
    <row r="455" spans="1:29" s="26" customFormat="1" ht="31.5" hidden="1" customHeight="1" x14ac:dyDescent="0.25">
      <c r="A455" s="22" t="s">
        <v>585</v>
      </c>
      <c r="B455" s="23" t="str">
        <f>'дод 5'!A254</f>
        <v>7340</v>
      </c>
      <c r="C455" s="23" t="str">
        <f>'дод 5'!B254</f>
        <v>0443</v>
      </c>
      <c r="D455" s="36" t="str">
        <f>'дод 5'!C254</f>
        <v>Проектування, реставрація та охорона пам'яток архітектури</v>
      </c>
      <c r="E455" s="25">
        <f t="shared" si="349"/>
        <v>0</v>
      </c>
      <c r="F455" s="25"/>
      <c r="G455" s="25"/>
      <c r="H455" s="25"/>
      <c r="I455" s="25"/>
      <c r="J455" s="25"/>
      <c r="K455" s="25"/>
      <c r="L455" s="25"/>
      <c r="M455" s="181" t="e">
        <f t="shared" si="307"/>
        <v>#DIV/0!</v>
      </c>
      <c r="N455" s="25">
        <f t="shared" si="350"/>
        <v>0</v>
      </c>
      <c r="O455" s="25"/>
      <c r="P455" s="25"/>
      <c r="Q455" s="25"/>
      <c r="R455" s="25"/>
      <c r="S455" s="25"/>
      <c r="T455" s="15">
        <f t="shared" si="297"/>
        <v>0</v>
      </c>
      <c r="U455" s="25"/>
      <c r="V455" s="25"/>
      <c r="W455" s="25"/>
      <c r="X455" s="25"/>
      <c r="Y455" s="25"/>
      <c r="Z455" s="181" t="e">
        <f t="shared" si="298"/>
        <v>#DIV/0!</v>
      </c>
      <c r="AA455" s="25">
        <f t="shared" si="299"/>
        <v>0</v>
      </c>
      <c r="AB455" s="25">
        <f t="shared" si="351"/>
        <v>0</v>
      </c>
      <c r="AC455" s="198"/>
    </row>
    <row r="456" spans="1:29" s="26" customFormat="1" ht="30" customHeight="1" x14ac:dyDescent="0.25">
      <c r="A456" s="22" t="s">
        <v>586</v>
      </c>
      <c r="B456" s="23">
        <f>'дод 5'!A262</f>
        <v>7370</v>
      </c>
      <c r="C456" s="23" t="str">
        <f>'дод 5'!B262</f>
        <v>0490</v>
      </c>
      <c r="D456" s="36" t="str">
        <f>'дод 5'!C262</f>
        <v>Реалізація інших заходів щодо соціально-економічного розвитку територій</v>
      </c>
      <c r="E456" s="25">
        <f t="shared" si="349"/>
        <v>245000</v>
      </c>
      <c r="F456" s="25">
        <f>45000+200000</f>
        <v>245000</v>
      </c>
      <c r="G456" s="25"/>
      <c r="H456" s="25"/>
      <c r="I456" s="25"/>
      <c r="J456" s="25"/>
      <c r="K456" s="25"/>
      <c r="L456" s="25"/>
      <c r="M456" s="181">
        <f t="shared" si="307"/>
        <v>0</v>
      </c>
      <c r="N456" s="25">
        <f t="shared" si="350"/>
        <v>250000</v>
      </c>
      <c r="O456" s="25">
        <f>150000+100000</f>
        <v>250000</v>
      </c>
      <c r="P456" s="25"/>
      <c r="Q456" s="25"/>
      <c r="R456" s="25"/>
      <c r="S456" s="25">
        <f>150000+100000</f>
        <v>250000</v>
      </c>
      <c r="T456" s="15">
        <f t="shared" si="297"/>
        <v>0</v>
      </c>
      <c r="U456" s="25"/>
      <c r="V456" s="25"/>
      <c r="W456" s="25"/>
      <c r="X456" s="25"/>
      <c r="Y456" s="25"/>
      <c r="Z456" s="181">
        <f t="shared" si="298"/>
        <v>0</v>
      </c>
      <c r="AA456" s="25">
        <f t="shared" si="299"/>
        <v>0</v>
      </c>
      <c r="AB456" s="25">
        <f t="shared" si="351"/>
        <v>495000</v>
      </c>
      <c r="AC456" s="198"/>
    </row>
    <row r="457" spans="1:29" s="26" customFormat="1" ht="33" hidden="1" customHeight="1" x14ac:dyDescent="0.25">
      <c r="A457" s="22" t="s">
        <v>588</v>
      </c>
      <c r="B457" s="23" t="str">
        <f>'дод 5'!A289</f>
        <v>7610</v>
      </c>
      <c r="C457" s="23" t="str">
        <f>'дод 5'!B289</f>
        <v>0411</v>
      </c>
      <c r="D457" s="36" t="str">
        <f>'дод 5'!C289</f>
        <v>Сприяння розвитку малого та середнього підприємництва</v>
      </c>
      <c r="E457" s="25">
        <f t="shared" si="349"/>
        <v>0</v>
      </c>
      <c r="F457" s="25"/>
      <c r="G457" s="25"/>
      <c r="H457" s="25"/>
      <c r="I457" s="25"/>
      <c r="J457" s="25"/>
      <c r="K457" s="25"/>
      <c r="L457" s="25"/>
      <c r="M457" s="181" t="e">
        <f t="shared" si="307"/>
        <v>#DIV/0!</v>
      </c>
      <c r="N457" s="25">
        <f t="shared" si="350"/>
        <v>0</v>
      </c>
      <c r="O457" s="25"/>
      <c r="P457" s="25"/>
      <c r="Q457" s="25"/>
      <c r="R457" s="25"/>
      <c r="S457" s="25"/>
      <c r="T457" s="15">
        <f t="shared" si="297"/>
        <v>0</v>
      </c>
      <c r="U457" s="25"/>
      <c r="V457" s="25"/>
      <c r="W457" s="25"/>
      <c r="X457" s="25"/>
      <c r="Y457" s="25"/>
      <c r="Z457" s="181" t="e">
        <f t="shared" si="298"/>
        <v>#DIV/0!</v>
      </c>
      <c r="AA457" s="25">
        <f t="shared" si="299"/>
        <v>0</v>
      </c>
      <c r="AB457" s="25">
        <f t="shared" si="351"/>
        <v>0</v>
      </c>
      <c r="AC457" s="198"/>
    </row>
    <row r="458" spans="1:29" s="26" customFormat="1" ht="37.5" customHeight="1" x14ac:dyDescent="0.25">
      <c r="A458" s="22" t="s">
        <v>589</v>
      </c>
      <c r="B458" s="23" t="str">
        <f>'дод 5'!A294</f>
        <v>7650</v>
      </c>
      <c r="C458" s="23" t="str">
        <f>'дод 5'!B294</f>
        <v>0490</v>
      </c>
      <c r="D458" s="36" t="str">
        <f>'дод 5'!C294</f>
        <v>Проведення експертної грошової оцінки земельної ділянки чи права на неї</v>
      </c>
      <c r="E458" s="25">
        <f t="shared" si="349"/>
        <v>0</v>
      </c>
      <c r="F458" s="25"/>
      <c r="G458" s="25"/>
      <c r="H458" s="25"/>
      <c r="I458" s="25"/>
      <c r="J458" s="25"/>
      <c r="K458" s="25"/>
      <c r="L458" s="25"/>
      <c r="M458" s="181"/>
      <c r="N458" s="25">
        <f t="shared" si="350"/>
        <v>30000</v>
      </c>
      <c r="O458" s="25">
        <v>30000</v>
      </c>
      <c r="P458" s="25"/>
      <c r="Q458" s="25"/>
      <c r="R458" s="25"/>
      <c r="S458" s="25">
        <v>30000</v>
      </c>
      <c r="T458" s="15">
        <f t="shared" si="297"/>
        <v>30000</v>
      </c>
      <c r="U458" s="25">
        <v>30000</v>
      </c>
      <c r="V458" s="25"/>
      <c r="W458" s="25"/>
      <c r="X458" s="25"/>
      <c r="Y458" s="25">
        <v>30000</v>
      </c>
      <c r="Z458" s="181">
        <f t="shared" si="298"/>
        <v>100</v>
      </c>
      <c r="AA458" s="25">
        <f t="shared" si="299"/>
        <v>30000</v>
      </c>
      <c r="AB458" s="25">
        <f t="shared" si="351"/>
        <v>30000</v>
      </c>
      <c r="AC458" s="198"/>
    </row>
    <row r="459" spans="1:29" s="26" customFormat="1" ht="63" x14ac:dyDescent="0.25">
      <c r="A459" s="22" t="s">
        <v>590</v>
      </c>
      <c r="B459" s="23" t="str">
        <f>'дод 5'!A295</f>
        <v>7660</v>
      </c>
      <c r="C459" s="23" t="str">
        <f>'дод 5'!B295</f>
        <v>0490</v>
      </c>
      <c r="D459" s="36" t="str">
        <f>'дод 5'!C295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459" s="25">
        <f t="shared" si="349"/>
        <v>0</v>
      </c>
      <c r="F459" s="25"/>
      <c r="G459" s="25"/>
      <c r="H459" s="25"/>
      <c r="I459" s="25"/>
      <c r="J459" s="25"/>
      <c r="K459" s="25"/>
      <c r="L459" s="25"/>
      <c r="M459" s="181"/>
      <c r="N459" s="25">
        <f t="shared" si="350"/>
        <v>50000</v>
      </c>
      <c r="O459" s="25">
        <v>50000</v>
      </c>
      <c r="P459" s="25"/>
      <c r="Q459" s="25"/>
      <c r="R459" s="25"/>
      <c r="S459" s="25">
        <v>50000</v>
      </c>
      <c r="T459" s="15">
        <f t="shared" si="297"/>
        <v>7500</v>
      </c>
      <c r="U459" s="25">
        <v>7500</v>
      </c>
      <c r="V459" s="25"/>
      <c r="W459" s="25"/>
      <c r="X459" s="25"/>
      <c r="Y459" s="25">
        <v>7500</v>
      </c>
      <c r="Z459" s="181">
        <f t="shared" si="298"/>
        <v>15</v>
      </c>
      <c r="AA459" s="25">
        <f t="shared" si="299"/>
        <v>7500</v>
      </c>
      <c r="AB459" s="25">
        <f t="shared" si="351"/>
        <v>50000</v>
      </c>
      <c r="AC459" s="198"/>
    </row>
    <row r="460" spans="1:29" s="26" customFormat="1" ht="33.75" customHeight="1" x14ac:dyDescent="0.25">
      <c r="A460" s="22" t="s">
        <v>591</v>
      </c>
      <c r="B460" s="23" t="str">
        <f>'дод 5'!A301</f>
        <v>7693</v>
      </c>
      <c r="C460" s="23" t="str">
        <f>'дод 5'!B301</f>
        <v>0490</v>
      </c>
      <c r="D460" s="36" t="str">
        <f>'дод 5'!C301</f>
        <v>Інші заходи, пов'язані з економічною діяльністю, у т.ч. за рахунок:</v>
      </c>
      <c r="E460" s="25">
        <f t="shared" si="349"/>
        <v>660000</v>
      </c>
      <c r="F460" s="25">
        <v>660000</v>
      </c>
      <c r="G460" s="25"/>
      <c r="H460" s="25"/>
      <c r="I460" s="25"/>
      <c r="J460" s="25">
        <v>575603.54</v>
      </c>
      <c r="K460" s="25"/>
      <c r="L460" s="25"/>
      <c r="M460" s="181">
        <f t="shared" si="307"/>
        <v>87.212657575757575</v>
      </c>
      <c r="N460" s="25">
        <f t="shared" si="350"/>
        <v>0</v>
      </c>
      <c r="O460" s="25"/>
      <c r="P460" s="25"/>
      <c r="Q460" s="25"/>
      <c r="R460" s="25"/>
      <c r="S460" s="25"/>
      <c r="T460" s="15">
        <f t="shared" si="297"/>
        <v>0</v>
      </c>
      <c r="U460" s="25"/>
      <c r="V460" s="25"/>
      <c r="W460" s="25"/>
      <c r="X460" s="25"/>
      <c r="Y460" s="25"/>
      <c r="Z460" s="181"/>
      <c r="AA460" s="25">
        <f t="shared" si="299"/>
        <v>575603.54</v>
      </c>
      <c r="AB460" s="25">
        <f t="shared" si="351"/>
        <v>660000</v>
      </c>
      <c r="AC460" s="198"/>
    </row>
    <row r="461" spans="1:29" s="16" customFormat="1" ht="38.25" customHeight="1" x14ac:dyDescent="0.25">
      <c r="A461" s="37" t="s">
        <v>210</v>
      </c>
      <c r="B461" s="38"/>
      <c r="C461" s="38"/>
      <c r="D461" s="39" t="s">
        <v>40</v>
      </c>
      <c r="E461" s="15">
        <f>E462</f>
        <v>28051709.98</v>
      </c>
      <c r="F461" s="15">
        <f t="shared" ref="F461:AA461" si="352">F462</f>
        <v>27903887</v>
      </c>
      <c r="G461" s="15">
        <f t="shared" si="352"/>
        <v>19667470</v>
      </c>
      <c r="H461" s="15">
        <f t="shared" si="352"/>
        <v>534542</v>
      </c>
      <c r="I461" s="15">
        <f t="shared" si="352"/>
        <v>0</v>
      </c>
      <c r="J461" s="15">
        <f t="shared" si="352"/>
        <v>27399949.619999997</v>
      </c>
      <c r="K461" s="15">
        <f t="shared" si="352"/>
        <v>19667470</v>
      </c>
      <c r="L461" s="15">
        <f t="shared" si="352"/>
        <v>499126.95</v>
      </c>
      <c r="M461" s="121">
        <f t="shared" si="307"/>
        <v>97.676575294466232</v>
      </c>
      <c r="N461" s="15">
        <f t="shared" si="352"/>
        <v>3182500</v>
      </c>
      <c r="O461" s="15">
        <f t="shared" si="352"/>
        <v>0</v>
      </c>
      <c r="P461" s="15">
        <f t="shared" si="352"/>
        <v>3182500</v>
      </c>
      <c r="Q461" s="15">
        <f t="shared" si="352"/>
        <v>0</v>
      </c>
      <c r="R461" s="15">
        <f t="shared" si="352"/>
        <v>0</v>
      </c>
      <c r="S461" s="15">
        <f t="shared" si="352"/>
        <v>0</v>
      </c>
      <c r="T461" s="15">
        <f t="shared" si="352"/>
        <v>250527.74</v>
      </c>
      <c r="U461" s="15">
        <f t="shared" si="352"/>
        <v>0</v>
      </c>
      <c r="V461" s="15">
        <f t="shared" si="352"/>
        <v>190879.24</v>
      </c>
      <c r="W461" s="15">
        <f t="shared" si="352"/>
        <v>0</v>
      </c>
      <c r="X461" s="15">
        <f t="shared" si="352"/>
        <v>0</v>
      </c>
      <c r="Y461" s="15">
        <f t="shared" si="352"/>
        <v>59648.5</v>
      </c>
      <c r="Z461" s="121">
        <f t="shared" si="298"/>
        <v>7.8720421052631577</v>
      </c>
      <c r="AA461" s="15">
        <f t="shared" si="352"/>
        <v>27650477.359999996</v>
      </c>
      <c r="AB461" s="15">
        <f t="shared" ref="AB461" si="353">AB462</f>
        <v>31234209.98</v>
      </c>
      <c r="AC461" s="198"/>
    </row>
    <row r="462" spans="1:29" s="21" customFormat="1" ht="34.5" customHeight="1" x14ac:dyDescent="0.25">
      <c r="A462" s="17" t="s">
        <v>211</v>
      </c>
      <c r="B462" s="40"/>
      <c r="C462" s="40"/>
      <c r="D462" s="19" t="s">
        <v>700</v>
      </c>
      <c r="E462" s="20">
        <f>SUM(E465+E467+E468+E471+E474+E475+E476+E470+E469+E477+E472)</f>
        <v>28051709.98</v>
      </c>
      <c r="F462" s="20">
        <f t="shared" ref="F462:AA462" si="354">SUM(F465+F467+F468+F471+F474+F475+F476+F470+F469+F477+F472)</f>
        <v>27903887</v>
      </c>
      <c r="G462" s="20">
        <f t="shared" si="354"/>
        <v>19667470</v>
      </c>
      <c r="H462" s="20">
        <f t="shared" si="354"/>
        <v>534542</v>
      </c>
      <c r="I462" s="20">
        <f t="shared" si="354"/>
        <v>0</v>
      </c>
      <c r="J462" s="20">
        <f t="shared" si="354"/>
        <v>27399949.619999997</v>
      </c>
      <c r="K462" s="20">
        <f t="shared" si="354"/>
        <v>19667470</v>
      </c>
      <c r="L462" s="20">
        <f t="shared" si="354"/>
        <v>499126.95</v>
      </c>
      <c r="M462" s="187">
        <f t="shared" si="307"/>
        <v>97.676575294466232</v>
      </c>
      <c r="N462" s="20">
        <f t="shared" si="354"/>
        <v>3182500</v>
      </c>
      <c r="O462" s="20">
        <f t="shared" si="354"/>
        <v>0</v>
      </c>
      <c r="P462" s="20">
        <f t="shared" si="354"/>
        <v>3182500</v>
      </c>
      <c r="Q462" s="20">
        <f t="shared" si="354"/>
        <v>0</v>
      </c>
      <c r="R462" s="20">
        <f t="shared" si="354"/>
        <v>0</v>
      </c>
      <c r="S462" s="20">
        <f t="shared" si="354"/>
        <v>0</v>
      </c>
      <c r="T462" s="20">
        <f t="shared" si="354"/>
        <v>250527.74</v>
      </c>
      <c r="U462" s="20">
        <f t="shared" si="354"/>
        <v>0</v>
      </c>
      <c r="V462" s="20">
        <f t="shared" si="354"/>
        <v>190879.24</v>
      </c>
      <c r="W462" s="20">
        <f t="shared" si="354"/>
        <v>0</v>
      </c>
      <c r="X462" s="20">
        <f t="shared" si="354"/>
        <v>0</v>
      </c>
      <c r="Y462" s="20">
        <f t="shared" si="354"/>
        <v>59648.5</v>
      </c>
      <c r="Z462" s="187">
        <f t="shared" si="298"/>
        <v>7.8720421052631577</v>
      </c>
      <c r="AA462" s="20">
        <f t="shared" si="354"/>
        <v>27650477.359999996</v>
      </c>
      <c r="AB462" s="20">
        <f t="shared" ref="AB462" si="355">SUM(AB465+AB467+AB468+AB471+AB474+AB475+AB476+AB470+AB469+AB477+AB472)</f>
        <v>31234209.98</v>
      </c>
      <c r="AC462" s="198"/>
    </row>
    <row r="463" spans="1:29" s="21" customFormat="1" ht="63" x14ac:dyDescent="0.25">
      <c r="A463" s="17"/>
      <c r="B463" s="40"/>
      <c r="C463" s="40"/>
      <c r="D463" s="19" t="s">
        <v>752</v>
      </c>
      <c r="E463" s="20">
        <f>E473</f>
        <v>0</v>
      </c>
      <c r="F463" s="20">
        <f t="shared" ref="F463:AA463" si="356">F473</f>
        <v>0</v>
      </c>
      <c r="G463" s="20">
        <f t="shared" si="356"/>
        <v>0</v>
      </c>
      <c r="H463" s="20">
        <f t="shared" si="356"/>
        <v>0</v>
      </c>
      <c r="I463" s="20">
        <f t="shared" si="356"/>
        <v>0</v>
      </c>
      <c r="J463" s="20">
        <f t="shared" si="356"/>
        <v>0</v>
      </c>
      <c r="K463" s="20">
        <f t="shared" si="356"/>
        <v>0</v>
      </c>
      <c r="L463" s="20">
        <f t="shared" si="356"/>
        <v>0</v>
      </c>
      <c r="M463" s="187"/>
      <c r="N463" s="20">
        <f t="shared" si="356"/>
        <v>2892900</v>
      </c>
      <c r="O463" s="20">
        <f t="shared" si="356"/>
        <v>0</v>
      </c>
      <c r="P463" s="20">
        <f t="shared" si="356"/>
        <v>2892900</v>
      </c>
      <c r="Q463" s="20">
        <f t="shared" si="356"/>
        <v>0</v>
      </c>
      <c r="R463" s="20">
        <f t="shared" si="356"/>
        <v>0</v>
      </c>
      <c r="S463" s="20">
        <f t="shared" si="356"/>
        <v>0</v>
      </c>
      <c r="T463" s="20">
        <f t="shared" si="356"/>
        <v>0</v>
      </c>
      <c r="U463" s="20">
        <f t="shared" si="356"/>
        <v>0</v>
      </c>
      <c r="V463" s="20">
        <f t="shared" si="356"/>
        <v>0</v>
      </c>
      <c r="W463" s="20">
        <f t="shared" si="356"/>
        <v>0</v>
      </c>
      <c r="X463" s="20">
        <f t="shared" si="356"/>
        <v>0</v>
      </c>
      <c r="Y463" s="20">
        <f t="shared" si="356"/>
        <v>0</v>
      </c>
      <c r="Z463" s="187">
        <f t="shared" si="298"/>
        <v>0</v>
      </c>
      <c r="AA463" s="20">
        <f t="shared" si="356"/>
        <v>0</v>
      </c>
      <c r="AB463" s="20">
        <f t="shared" ref="AB463" si="357">AB473</f>
        <v>2892900</v>
      </c>
      <c r="AC463" s="198"/>
    </row>
    <row r="464" spans="1:29" s="21" customFormat="1" ht="100.5" customHeight="1" x14ac:dyDescent="0.25">
      <c r="A464" s="17"/>
      <c r="B464" s="40"/>
      <c r="C464" s="40"/>
      <c r="D464" s="54" t="s">
        <v>618</v>
      </c>
      <c r="E464" s="20">
        <f>E466</f>
        <v>103200</v>
      </c>
      <c r="F464" s="20">
        <f t="shared" ref="F464:AA464" si="358">F466</f>
        <v>103200</v>
      </c>
      <c r="G464" s="20">
        <f t="shared" si="358"/>
        <v>84600</v>
      </c>
      <c r="H464" s="20">
        <f t="shared" si="358"/>
        <v>0</v>
      </c>
      <c r="I464" s="20">
        <f t="shared" si="358"/>
        <v>0</v>
      </c>
      <c r="J464" s="20">
        <f t="shared" si="358"/>
        <v>103200</v>
      </c>
      <c r="K464" s="20">
        <f t="shared" si="358"/>
        <v>84600</v>
      </c>
      <c r="L464" s="20">
        <f t="shared" si="358"/>
        <v>0</v>
      </c>
      <c r="M464" s="187">
        <f t="shared" si="307"/>
        <v>100</v>
      </c>
      <c r="N464" s="20">
        <f t="shared" si="358"/>
        <v>0</v>
      </c>
      <c r="O464" s="20">
        <f t="shared" si="358"/>
        <v>0</v>
      </c>
      <c r="P464" s="20">
        <f t="shared" si="358"/>
        <v>0</v>
      </c>
      <c r="Q464" s="20">
        <f t="shared" si="358"/>
        <v>0</v>
      </c>
      <c r="R464" s="20">
        <f t="shared" si="358"/>
        <v>0</v>
      </c>
      <c r="S464" s="20">
        <f t="shared" si="358"/>
        <v>0</v>
      </c>
      <c r="T464" s="20">
        <f t="shared" si="358"/>
        <v>0</v>
      </c>
      <c r="U464" s="20">
        <f t="shared" si="358"/>
        <v>0</v>
      </c>
      <c r="V464" s="20">
        <f t="shared" si="358"/>
        <v>0</v>
      </c>
      <c r="W464" s="20">
        <f t="shared" si="358"/>
        <v>0</v>
      </c>
      <c r="X464" s="20">
        <f t="shared" si="358"/>
        <v>0</v>
      </c>
      <c r="Y464" s="20">
        <f t="shared" si="358"/>
        <v>0</v>
      </c>
      <c r="Z464" s="187"/>
      <c r="AA464" s="20">
        <f t="shared" si="358"/>
        <v>103200</v>
      </c>
      <c r="AB464" s="20">
        <f t="shared" ref="AB464" si="359">AB466</f>
        <v>103200</v>
      </c>
      <c r="AC464" s="198"/>
    </row>
    <row r="465" spans="1:30" s="26" customFormat="1" ht="53.25" customHeight="1" x14ac:dyDescent="0.25">
      <c r="A465" s="22" t="s">
        <v>212</v>
      </c>
      <c r="B465" s="23" t="str">
        <f>'дод 5'!A21</f>
        <v>0160</v>
      </c>
      <c r="C465" s="23" t="str">
        <f>'дод 5'!B21</f>
        <v>0111</v>
      </c>
      <c r="D465" s="24" t="s">
        <v>701</v>
      </c>
      <c r="E465" s="25">
        <f t="shared" ref="E465:E474" si="360">F465+I465</f>
        <v>25206822</v>
      </c>
      <c r="F465" s="25">
        <f>23032500-73200+2170930-1930935+1912000+103200+20000-27673</f>
        <v>25206822</v>
      </c>
      <c r="G465" s="25">
        <f>17662800-60000+1779450-1582880+1568500+84600+215000</f>
        <v>19667470</v>
      </c>
      <c r="H465" s="25">
        <f>578400-16185-27673</f>
        <v>534542</v>
      </c>
      <c r="I465" s="25"/>
      <c r="J465" s="25">
        <v>25165550.359999999</v>
      </c>
      <c r="K465" s="25">
        <v>19667470</v>
      </c>
      <c r="L465" s="25">
        <v>499126.95</v>
      </c>
      <c r="M465" s="181">
        <f t="shared" si="307"/>
        <v>99.836267975391735</v>
      </c>
      <c r="N465" s="25">
        <f>P465+S465</f>
        <v>0</v>
      </c>
      <c r="O465" s="25"/>
      <c r="P465" s="25"/>
      <c r="Q465" s="25"/>
      <c r="R465" s="25"/>
      <c r="S465" s="25"/>
      <c r="T465" s="15">
        <f t="shared" si="297"/>
        <v>65326.9</v>
      </c>
      <c r="U465" s="25"/>
      <c r="V465" s="25">
        <v>5678.4</v>
      </c>
      <c r="W465" s="25"/>
      <c r="X465" s="25"/>
      <c r="Y465" s="25">
        <v>59648.5</v>
      </c>
      <c r="Z465" s="181"/>
      <c r="AA465" s="25">
        <f t="shared" si="299"/>
        <v>25230877.259999998</v>
      </c>
      <c r="AB465" s="25">
        <f t="shared" ref="AB465:AB477" si="361">E465+N465</f>
        <v>25206822</v>
      </c>
      <c r="AC465" s="198"/>
    </row>
    <row r="466" spans="1:30" s="31" customFormat="1" ht="101.45" customHeight="1" x14ac:dyDescent="0.25">
      <c r="A466" s="27"/>
      <c r="B466" s="28"/>
      <c r="C466" s="28"/>
      <c r="D466" s="48" t="s">
        <v>618</v>
      </c>
      <c r="E466" s="30">
        <f t="shared" si="360"/>
        <v>103200</v>
      </c>
      <c r="F466" s="30">
        <v>103200</v>
      </c>
      <c r="G466" s="30">
        <v>84600</v>
      </c>
      <c r="H466" s="30"/>
      <c r="I466" s="30"/>
      <c r="J466" s="30">
        <v>103200</v>
      </c>
      <c r="K466" s="30">
        <v>84600</v>
      </c>
      <c r="L466" s="30"/>
      <c r="M466" s="182">
        <f t="shared" ref="M466:M487" si="362">J466/E466*100</f>
        <v>100</v>
      </c>
      <c r="N466" s="30">
        <f>P466+S466</f>
        <v>0</v>
      </c>
      <c r="O466" s="30"/>
      <c r="P466" s="30"/>
      <c r="Q466" s="30"/>
      <c r="R466" s="30"/>
      <c r="S466" s="30"/>
      <c r="T466" s="15">
        <f t="shared" ref="T466:T482" si="363">V466+Y466</f>
        <v>0</v>
      </c>
      <c r="U466" s="30"/>
      <c r="V466" s="30"/>
      <c r="W466" s="30"/>
      <c r="X466" s="30"/>
      <c r="Y466" s="30"/>
      <c r="Z466" s="182"/>
      <c r="AA466" s="30">
        <f t="shared" ref="AA466:AA482" si="364">J466+T466</f>
        <v>103200</v>
      </c>
      <c r="AB466" s="30">
        <f t="shared" si="361"/>
        <v>103200</v>
      </c>
      <c r="AC466" s="198"/>
    </row>
    <row r="467" spans="1:30" s="26" customFormat="1" ht="30.75" customHeight="1" x14ac:dyDescent="0.25">
      <c r="A467" s="22" t="s">
        <v>249</v>
      </c>
      <c r="B467" s="23" t="str">
        <f>'дод 5'!A290</f>
        <v>7640</v>
      </c>
      <c r="C467" s="23" t="str">
        <f>'дод 5'!B290</f>
        <v>0470</v>
      </c>
      <c r="D467" s="24" t="s">
        <v>402</v>
      </c>
      <c r="E467" s="25">
        <f t="shared" si="360"/>
        <v>600399</v>
      </c>
      <c r="F467" s="25">
        <f>665000+14400-40000+15000-34001-20000</f>
        <v>600399</v>
      </c>
      <c r="G467" s="25"/>
      <c r="H467" s="25"/>
      <c r="I467" s="25"/>
      <c r="J467" s="25">
        <v>228764.38</v>
      </c>
      <c r="K467" s="25"/>
      <c r="L467" s="25"/>
      <c r="M467" s="181">
        <f t="shared" si="362"/>
        <v>38.102058797566286</v>
      </c>
      <c r="N467" s="25">
        <f t="shared" ref="N467:N476" si="365">P467+S467</f>
        <v>0</v>
      </c>
      <c r="O467" s="25"/>
      <c r="P467" s="25"/>
      <c r="Q467" s="25"/>
      <c r="R467" s="25"/>
      <c r="S467" s="25"/>
      <c r="T467" s="15">
        <f t="shared" si="363"/>
        <v>0</v>
      </c>
      <c r="U467" s="25"/>
      <c r="V467" s="25"/>
      <c r="W467" s="25"/>
      <c r="X467" s="25"/>
      <c r="Y467" s="25"/>
      <c r="Z467" s="181"/>
      <c r="AA467" s="25">
        <f t="shared" si="364"/>
        <v>228764.38</v>
      </c>
      <c r="AB467" s="25">
        <f t="shared" si="361"/>
        <v>600399</v>
      </c>
      <c r="AC467" s="117">
        <v>18</v>
      </c>
    </row>
    <row r="468" spans="1:30" s="26" customFormat="1" ht="42.75" customHeight="1" x14ac:dyDescent="0.25">
      <c r="A468" s="22" t="s">
        <v>316</v>
      </c>
      <c r="B468" s="23" t="str">
        <f>'дод 5'!A301</f>
        <v>7693</v>
      </c>
      <c r="C468" s="23" t="str">
        <f>'дод 5'!B301</f>
        <v>0490</v>
      </c>
      <c r="D468" s="24" t="str">
        <f>'дод 5'!C301</f>
        <v>Інші заходи, пов'язані з економічною діяльністю, у т.ч. за рахунок:</v>
      </c>
      <c r="E468" s="25">
        <f>F468+I468</f>
        <v>50800</v>
      </c>
      <c r="F468" s="25">
        <f>177700-126900</f>
        <v>50800</v>
      </c>
      <c r="G468" s="25"/>
      <c r="H468" s="25"/>
      <c r="I468" s="25"/>
      <c r="J468" s="25">
        <v>46097.97</v>
      </c>
      <c r="K468" s="25"/>
      <c r="L468" s="25"/>
      <c r="M468" s="181">
        <f t="shared" si="362"/>
        <v>90.744035433070863</v>
      </c>
      <c r="N468" s="25">
        <f t="shared" si="365"/>
        <v>0</v>
      </c>
      <c r="O468" s="25"/>
      <c r="P468" s="25"/>
      <c r="Q468" s="25"/>
      <c r="R468" s="25"/>
      <c r="S468" s="25"/>
      <c r="T468" s="15">
        <f t="shared" si="363"/>
        <v>0</v>
      </c>
      <c r="U468" s="25"/>
      <c r="V468" s="25"/>
      <c r="W468" s="25"/>
      <c r="X468" s="25"/>
      <c r="Y468" s="25"/>
      <c r="Z468" s="181"/>
      <c r="AA468" s="25">
        <f t="shared" si="364"/>
        <v>46097.97</v>
      </c>
      <c r="AB468" s="25">
        <f t="shared" si="361"/>
        <v>50800</v>
      </c>
      <c r="AC468" s="117"/>
    </row>
    <row r="469" spans="1:30" s="26" customFormat="1" ht="48.75" hidden="1" customHeight="1" x14ac:dyDescent="0.25">
      <c r="A469" s="22" t="s">
        <v>592</v>
      </c>
      <c r="B469" s="23">
        <v>7700</v>
      </c>
      <c r="C469" s="22" t="s">
        <v>89</v>
      </c>
      <c r="D469" s="24" t="s">
        <v>348</v>
      </c>
      <c r="E469" s="25">
        <f t="shared" si="360"/>
        <v>0</v>
      </c>
      <c r="F469" s="25"/>
      <c r="G469" s="25"/>
      <c r="H469" s="25"/>
      <c r="I469" s="25"/>
      <c r="J469" s="25"/>
      <c r="K469" s="25"/>
      <c r="L469" s="25"/>
      <c r="M469" s="181" t="e">
        <f t="shared" si="362"/>
        <v>#DIV/0!</v>
      </c>
      <c r="N469" s="25">
        <f t="shared" si="365"/>
        <v>0</v>
      </c>
      <c r="O469" s="25"/>
      <c r="P469" s="25"/>
      <c r="Q469" s="25"/>
      <c r="R469" s="25"/>
      <c r="S469" s="25"/>
      <c r="T469" s="15">
        <f t="shared" si="363"/>
        <v>0</v>
      </c>
      <c r="U469" s="25"/>
      <c r="V469" s="25"/>
      <c r="W469" s="25"/>
      <c r="X469" s="25"/>
      <c r="Y469" s="25"/>
      <c r="Z469" s="181"/>
      <c r="AA469" s="25">
        <f t="shared" si="364"/>
        <v>0</v>
      </c>
      <c r="AB469" s="25">
        <f t="shared" si="361"/>
        <v>0</v>
      </c>
      <c r="AC469" s="117"/>
    </row>
    <row r="470" spans="1:30" s="26" customFormat="1" ht="31.5" customHeight="1" x14ac:dyDescent="0.25">
      <c r="A470" s="22">
        <v>3718330</v>
      </c>
      <c r="B470" s="23">
        <f>'дод 5'!A326</f>
        <v>8330</v>
      </c>
      <c r="C470" s="22" t="s">
        <v>88</v>
      </c>
      <c r="D470" s="24" t="str">
        <f>'дод 5'!C326</f>
        <v xml:space="preserve">Інша діяльність у сфері екології та охорони природних ресурсів </v>
      </c>
      <c r="E470" s="25">
        <f t="shared" si="360"/>
        <v>75000</v>
      </c>
      <c r="F470" s="25">
        <v>75000</v>
      </c>
      <c r="G470" s="25"/>
      <c r="H470" s="25"/>
      <c r="I470" s="25"/>
      <c r="J470" s="25">
        <v>31477.89</v>
      </c>
      <c r="K470" s="25"/>
      <c r="L470" s="25"/>
      <c r="M470" s="181">
        <f t="shared" si="362"/>
        <v>41.97052</v>
      </c>
      <c r="N470" s="25">
        <f t="shared" si="365"/>
        <v>0</v>
      </c>
      <c r="O470" s="25"/>
      <c r="P470" s="25"/>
      <c r="Q470" s="25"/>
      <c r="R470" s="25"/>
      <c r="S470" s="25"/>
      <c r="T470" s="15">
        <f t="shared" si="363"/>
        <v>0</v>
      </c>
      <c r="U470" s="25"/>
      <c r="V470" s="25"/>
      <c r="W470" s="25"/>
      <c r="X470" s="25"/>
      <c r="Y470" s="25"/>
      <c r="Z470" s="181"/>
      <c r="AA470" s="25">
        <f t="shared" si="364"/>
        <v>31477.89</v>
      </c>
      <c r="AB470" s="25">
        <f t="shared" si="361"/>
        <v>75000</v>
      </c>
      <c r="AC470" s="117"/>
    </row>
    <row r="471" spans="1:30" s="26" customFormat="1" ht="30" customHeight="1" x14ac:dyDescent="0.25">
      <c r="A471" s="22" t="s">
        <v>213</v>
      </c>
      <c r="B471" s="23" t="str">
        <f>'дод 5'!A327</f>
        <v>8340</v>
      </c>
      <c r="C471" s="22" t="str">
        <f>'дод 5'!B327</f>
        <v>0540</v>
      </c>
      <c r="D471" s="24" t="str">
        <f>'дод 5'!C327</f>
        <v>Природоохоронні заходи за рахунок цільових фондів</v>
      </c>
      <c r="E471" s="25">
        <f t="shared" si="360"/>
        <v>0</v>
      </c>
      <c r="F471" s="25"/>
      <c r="G471" s="25"/>
      <c r="H471" s="25"/>
      <c r="I471" s="25"/>
      <c r="J471" s="25"/>
      <c r="K471" s="25"/>
      <c r="L471" s="25"/>
      <c r="M471" s="181"/>
      <c r="N471" s="25">
        <f t="shared" si="365"/>
        <v>289600</v>
      </c>
      <c r="O471" s="25"/>
      <c r="P471" s="25">
        <v>289600</v>
      </c>
      <c r="Q471" s="25"/>
      <c r="R471" s="25"/>
      <c r="S471" s="25"/>
      <c r="T471" s="15">
        <f t="shared" si="363"/>
        <v>185200.84</v>
      </c>
      <c r="U471" s="25"/>
      <c r="V471" s="25">
        <v>185200.84</v>
      </c>
      <c r="W471" s="25"/>
      <c r="X471" s="25"/>
      <c r="Y471" s="25"/>
      <c r="Z471" s="181">
        <f t="shared" ref="Z471:Z489" si="366">T471/N471*100</f>
        <v>63.950566298342537</v>
      </c>
      <c r="AA471" s="25">
        <f t="shared" si="364"/>
        <v>185200.84</v>
      </c>
      <c r="AB471" s="25">
        <f t="shared" si="361"/>
        <v>289600</v>
      </c>
      <c r="AC471" s="117"/>
    </row>
    <row r="472" spans="1:30" s="26" customFormat="1" ht="35.25" customHeight="1" x14ac:dyDescent="0.25">
      <c r="A472" s="22" t="s">
        <v>750</v>
      </c>
      <c r="B472" s="23">
        <v>8500</v>
      </c>
      <c r="C472" s="22" t="s">
        <v>43</v>
      </c>
      <c r="D472" s="24" t="s">
        <v>751</v>
      </c>
      <c r="E472" s="25">
        <f t="shared" si="360"/>
        <v>0</v>
      </c>
      <c r="F472" s="25"/>
      <c r="G472" s="25"/>
      <c r="H472" s="25"/>
      <c r="I472" s="25"/>
      <c r="J472" s="25"/>
      <c r="K472" s="25"/>
      <c r="L472" s="25"/>
      <c r="M472" s="181"/>
      <c r="N472" s="25">
        <f t="shared" si="365"/>
        <v>2892900</v>
      </c>
      <c r="O472" s="25"/>
      <c r="P472" s="25">
        <v>2892900</v>
      </c>
      <c r="Q472" s="25"/>
      <c r="R472" s="25"/>
      <c r="S472" s="25"/>
      <c r="T472" s="15">
        <f t="shared" si="363"/>
        <v>0</v>
      </c>
      <c r="U472" s="25"/>
      <c r="V472" s="25"/>
      <c r="W472" s="25"/>
      <c r="X472" s="25"/>
      <c r="Y472" s="25"/>
      <c r="Z472" s="181">
        <f t="shared" si="366"/>
        <v>0</v>
      </c>
      <c r="AA472" s="25">
        <f t="shared" si="364"/>
        <v>0</v>
      </c>
      <c r="AB472" s="25">
        <f t="shared" si="361"/>
        <v>2892900</v>
      </c>
      <c r="AC472" s="117"/>
    </row>
    <row r="473" spans="1:30" s="31" customFormat="1" ht="65.650000000000006" customHeight="1" x14ac:dyDescent="0.25">
      <c r="A473" s="27"/>
      <c r="B473" s="28"/>
      <c r="C473" s="27"/>
      <c r="D473" s="29" t="s">
        <v>753</v>
      </c>
      <c r="E473" s="30">
        <f t="shared" si="360"/>
        <v>0</v>
      </c>
      <c r="F473" s="30"/>
      <c r="G473" s="30"/>
      <c r="H473" s="30"/>
      <c r="I473" s="30"/>
      <c r="J473" s="30"/>
      <c r="K473" s="30"/>
      <c r="L473" s="30"/>
      <c r="M473" s="182"/>
      <c r="N473" s="25">
        <f t="shared" si="365"/>
        <v>2892900</v>
      </c>
      <c r="O473" s="30"/>
      <c r="P473" s="30">
        <v>2892900</v>
      </c>
      <c r="Q473" s="30"/>
      <c r="R473" s="30"/>
      <c r="S473" s="30"/>
      <c r="T473" s="15">
        <f t="shared" si="363"/>
        <v>0</v>
      </c>
      <c r="U473" s="30"/>
      <c r="V473" s="30"/>
      <c r="W473" s="30"/>
      <c r="X473" s="30"/>
      <c r="Y473" s="30"/>
      <c r="Z473" s="182">
        <f t="shared" si="366"/>
        <v>0</v>
      </c>
      <c r="AA473" s="30">
        <f t="shared" si="364"/>
        <v>0</v>
      </c>
      <c r="AB473" s="30">
        <f t="shared" si="361"/>
        <v>2892900</v>
      </c>
      <c r="AC473" s="117"/>
    </row>
    <row r="474" spans="1:30" s="26" customFormat="1" ht="21.75" customHeight="1" x14ac:dyDescent="0.25">
      <c r="A474" s="22" t="s">
        <v>214</v>
      </c>
      <c r="B474" s="23" t="str">
        <f>'дод 5'!A332</f>
        <v>8600</v>
      </c>
      <c r="C474" s="23" t="str">
        <f>'дод 5'!B332</f>
        <v>0170</v>
      </c>
      <c r="D474" s="24" t="str">
        <f>'дод 5'!C332</f>
        <v>Обслуговування місцевого боргу</v>
      </c>
      <c r="E474" s="25">
        <f t="shared" si="360"/>
        <v>1617069</v>
      </c>
      <c r="F474" s="25">
        <f>3017069-1400000</f>
        <v>1617069</v>
      </c>
      <c r="G474" s="25"/>
      <c r="H474" s="25"/>
      <c r="I474" s="25"/>
      <c r="J474" s="25">
        <v>1574262.02</v>
      </c>
      <c r="K474" s="25"/>
      <c r="L474" s="25"/>
      <c r="M474" s="181">
        <f t="shared" si="362"/>
        <v>97.352804363944884</v>
      </c>
      <c r="N474" s="25">
        <f t="shared" si="365"/>
        <v>0</v>
      </c>
      <c r="O474" s="25"/>
      <c r="P474" s="25"/>
      <c r="Q474" s="25"/>
      <c r="R474" s="25"/>
      <c r="S474" s="25"/>
      <c r="T474" s="15">
        <f t="shared" si="363"/>
        <v>0</v>
      </c>
      <c r="U474" s="25"/>
      <c r="V474" s="25"/>
      <c r="W474" s="25"/>
      <c r="X474" s="25"/>
      <c r="Y474" s="25"/>
      <c r="Z474" s="181"/>
      <c r="AA474" s="25">
        <f t="shared" si="364"/>
        <v>1574262.02</v>
      </c>
      <c r="AB474" s="25">
        <f t="shared" si="361"/>
        <v>1617069</v>
      </c>
      <c r="AC474" s="117"/>
    </row>
    <row r="475" spans="1:30" s="26" customFormat="1" ht="24.75" customHeight="1" x14ac:dyDescent="0.25">
      <c r="A475" s="22" t="s">
        <v>475</v>
      </c>
      <c r="B475" s="23">
        <v>8710</v>
      </c>
      <c r="C475" s="23" t="str">
        <f>'дод 5'!B334</f>
        <v>0133</v>
      </c>
      <c r="D475" s="24" t="str">
        <f>'дод 5'!C334</f>
        <v>Резервний фонд місцевого бюджету</v>
      </c>
      <c r="E475" s="25">
        <f>80000000+20000000+100000000+30000000-18036300-500000+10000000-15714580+12700-5000-5000-213795+173300-428200-300000+137824-3283700+410600-78828579-3000000-3700000+341000-2300000+47414669+120000-13120000-10670000-13121284+5000000-4585060-1000000-20105000-1300000+4000000-14736631-141416+1060000-400000-3500000-71937477-2331018.88-180000-114370-3854958.56-8979020-1644952-200000-179000+3071.42-110000</f>
        <v>147822.98000000053</v>
      </c>
      <c r="F475" s="25"/>
      <c r="G475" s="25"/>
      <c r="H475" s="25"/>
      <c r="I475" s="25"/>
      <c r="J475" s="25"/>
      <c r="K475" s="25"/>
      <c r="L475" s="25"/>
      <c r="M475" s="181">
        <f t="shared" si="362"/>
        <v>0</v>
      </c>
      <c r="N475" s="25">
        <f t="shared" si="365"/>
        <v>0</v>
      </c>
      <c r="O475" s="25"/>
      <c r="P475" s="25"/>
      <c r="Q475" s="25"/>
      <c r="R475" s="25"/>
      <c r="S475" s="25"/>
      <c r="T475" s="15">
        <f t="shared" si="363"/>
        <v>0</v>
      </c>
      <c r="U475" s="25"/>
      <c r="V475" s="25"/>
      <c r="W475" s="25"/>
      <c r="X475" s="25"/>
      <c r="Y475" s="25"/>
      <c r="Z475" s="181"/>
      <c r="AA475" s="25">
        <f t="shared" si="364"/>
        <v>0</v>
      </c>
      <c r="AB475" s="25">
        <f t="shared" si="361"/>
        <v>147822.98000000053</v>
      </c>
      <c r="AC475" s="117"/>
      <c r="AD475" s="26" t="s">
        <v>736</v>
      </c>
    </row>
    <row r="476" spans="1:30" s="26" customFormat="1" ht="24.75" hidden="1" customHeight="1" x14ac:dyDescent="0.25">
      <c r="A476" s="22" t="s">
        <v>224</v>
      </c>
      <c r="B476" s="23" t="str">
        <f>'дод 5'!A338</f>
        <v>9110</v>
      </c>
      <c r="C476" s="23" t="str">
        <f>'дод 5'!B338</f>
        <v>0180</v>
      </c>
      <c r="D476" s="24" t="str">
        <f>'дод 5'!C338</f>
        <v>Реверсна дотація</v>
      </c>
      <c r="E476" s="25">
        <f>F476+I476</f>
        <v>0</v>
      </c>
      <c r="F476" s="25"/>
      <c r="G476" s="25"/>
      <c r="H476" s="25"/>
      <c r="I476" s="25"/>
      <c r="J476" s="25"/>
      <c r="K476" s="25"/>
      <c r="L476" s="25"/>
      <c r="M476" s="181" t="e">
        <f t="shared" si="362"/>
        <v>#DIV/0!</v>
      </c>
      <c r="N476" s="25">
        <f t="shared" si="365"/>
        <v>0</v>
      </c>
      <c r="O476" s="25"/>
      <c r="P476" s="25"/>
      <c r="Q476" s="25"/>
      <c r="R476" s="25"/>
      <c r="S476" s="25"/>
      <c r="T476" s="15">
        <f t="shared" si="363"/>
        <v>0</v>
      </c>
      <c r="U476" s="25"/>
      <c r="V476" s="25"/>
      <c r="W476" s="25"/>
      <c r="X476" s="25"/>
      <c r="Y476" s="25"/>
      <c r="Z476" s="181"/>
      <c r="AA476" s="25">
        <f t="shared" si="364"/>
        <v>0</v>
      </c>
      <c r="AB476" s="25">
        <f t="shared" si="361"/>
        <v>0</v>
      </c>
      <c r="AC476" s="117"/>
    </row>
    <row r="477" spans="1:30" s="26" customFormat="1" ht="24.75" customHeight="1" x14ac:dyDescent="0.25">
      <c r="A477" s="22" t="s">
        <v>708</v>
      </c>
      <c r="B477" s="45" t="s">
        <v>14</v>
      </c>
      <c r="C477" s="23" t="s">
        <v>43</v>
      </c>
      <c r="D477" s="35" t="s">
        <v>342</v>
      </c>
      <c r="E477" s="25">
        <f t="shared" ref="E477" si="367">F477+I477</f>
        <v>353797</v>
      </c>
      <c r="F477" s="25">
        <v>353797</v>
      </c>
      <c r="G477" s="25"/>
      <c r="H477" s="25"/>
      <c r="I477" s="25"/>
      <c r="J477" s="25">
        <v>353797</v>
      </c>
      <c r="K477" s="25"/>
      <c r="L477" s="25"/>
      <c r="M477" s="181">
        <f t="shared" si="362"/>
        <v>100</v>
      </c>
      <c r="N477" s="25"/>
      <c r="O477" s="25"/>
      <c r="P477" s="25"/>
      <c r="Q477" s="25"/>
      <c r="R477" s="25"/>
      <c r="S477" s="25"/>
      <c r="T477" s="15">
        <f t="shared" si="363"/>
        <v>0</v>
      </c>
      <c r="U477" s="25"/>
      <c r="V477" s="25"/>
      <c r="W477" s="25"/>
      <c r="X477" s="25"/>
      <c r="Y477" s="25"/>
      <c r="Z477" s="181"/>
      <c r="AA477" s="25">
        <f t="shared" si="364"/>
        <v>353797</v>
      </c>
      <c r="AB477" s="25">
        <f t="shared" si="361"/>
        <v>353797</v>
      </c>
      <c r="AC477" s="117"/>
    </row>
    <row r="478" spans="1:30" s="26" customFormat="1" ht="36.75" customHeight="1" x14ac:dyDescent="0.25">
      <c r="A478" s="37" t="s">
        <v>642</v>
      </c>
      <c r="B478" s="23"/>
      <c r="C478" s="23"/>
      <c r="D478" s="39" t="s">
        <v>647</v>
      </c>
      <c r="E478" s="15">
        <f>E479</f>
        <v>10662043.6</v>
      </c>
      <c r="F478" s="15">
        <f t="shared" ref="F478:AA478" si="368">F479</f>
        <v>10662043.6</v>
      </c>
      <c r="G478" s="15">
        <f t="shared" si="368"/>
        <v>8166571</v>
      </c>
      <c r="H478" s="15">
        <f t="shared" si="368"/>
        <v>115100</v>
      </c>
      <c r="I478" s="15">
        <f t="shared" si="368"/>
        <v>0</v>
      </c>
      <c r="J478" s="15">
        <f t="shared" si="368"/>
        <v>9621932.7100000009</v>
      </c>
      <c r="K478" s="15">
        <f t="shared" si="368"/>
        <v>7381969.2000000002</v>
      </c>
      <c r="L478" s="15">
        <f t="shared" si="368"/>
        <v>114608.98</v>
      </c>
      <c r="M478" s="121">
        <f t="shared" si="362"/>
        <v>90.244732351310219</v>
      </c>
      <c r="N478" s="15">
        <f t="shared" si="368"/>
        <v>748156.4</v>
      </c>
      <c r="O478" s="15">
        <f t="shared" si="368"/>
        <v>748156.4</v>
      </c>
      <c r="P478" s="15">
        <f t="shared" si="368"/>
        <v>0</v>
      </c>
      <c r="Q478" s="15">
        <f t="shared" si="368"/>
        <v>0</v>
      </c>
      <c r="R478" s="15">
        <f t="shared" si="368"/>
        <v>0</v>
      </c>
      <c r="S478" s="15">
        <f t="shared" si="368"/>
        <v>748156.4</v>
      </c>
      <c r="T478" s="15">
        <f t="shared" si="368"/>
        <v>941206.4</v>
      </c>
      <c r="U478" s="15">
        <f t="shared" si="368"/>
        <v>748156.4</v>
      </c>
      <c r="V478" s="15">
        <f t="shared" si="368"/>
        <v>193050</v>
      </c>
      <c r="W478" s="15">
        <f t="shared" si="368"/>
        <v>0</v>
      </c>
      <c r="X478" s="15">
        <f t="shared" si="368"/>
        <v>0</v>
      </c>
      <c r="Y478" s="15">
        <f t="shared" si="368"/>
        <v>748156.4</v>
      </c>
      <c r="Z478" s="121" t="s">
        <v>772</v>
      </c>
      <c r="AA478" s="15">
        <f t="shared" si="368"/>
        <v>10563139.110000001</v>
      </c>
      <c r="AB478" s="15">
        <f t="shared" ref="AB478:AB482" si="369">E478+N478</f>
        <v>11410200</v>
      </c>
      <c r="AC478" s="117"/>
    </row>
    <row r="479" spans="1:30" s="26" customFormat="1" ht="38.25" customHeight="1" x14ac:dyDescent="0.25">
      <c r="A479" s="17" t="s">
        <v>642</v>
      </c>
      <c r="B479" s="23"/>
      <c r="C479" s="23"/>
      <c r="D479" s="19" t="s">
        <v>703</v>
      </c>
      <c r="E479" s="20">
        <f t="shared" ref="E479" si="370">E481</f>
        <v>10662043.6</v>
      </c>
      <c r="F479" s="20">
        <f t="shared" ref="F479:AA479" si="371">F481</f>
        <v>10662043.6</v>
      </c>
      <c r="G479" s="20">
        <f t="shared" si="371"/>
        <v>8166571</v>
      </c>
      <c r="H479" s="20">
        <f t="shared" si="371"/>
        <v>115100</v>
      </c>
      <c r="I479" s="20">
        <f t="shared" si="371"/>
        <v>0</v>
      </c>
      <c r="J479" s="20">
        <f t="shared" si="371"/>
        <v>9621932.7100000009</v>
      </c>
      <c r="K479" s="20">
        <f t="shared" si="371"/>
        <v>7381969.2000000002</v>
      </c>
      <c r="L479" s="20">
        <f t="shared" si="371"/>
        <v>114608.98</v>
      </c>
      <c r="M479" s="187">
        <f t="shared" si="362"/>
        <v>90.244732351310219</v>
      </c>
      <c r="N479" s="20">
        <f t="shared" si="371"/>
        <v>748156.4</v>
      </c>
      <c r="O479" s="20">
        <f t="shared" si="371"/>
        <v>748156.4</v>
      </c>
      <c r="P479" s="20">
        <f t="shared" si="371"/>
        <v>0</v>
      </c>
      <c r="Q479" s="20">
        <f t="shared" si="371"/>
        <v>0</v>
      </c>
      <c r="R479" s="20">
        <f t="shared" si="371"/>
        <v>0</v>
      </c>
      <c r="S479" s="20">
        <f t="shared" si="371"/>
        <v>748156.4</v>
      </c>
      <c r="T479" s="20">
        <f t="shared" si="371"/>
        <v>941206.4</v>
      </c>
      <c r="U479" s="20">
        <f t="shared" si="371"/>
        <v>748156.4</v>
      </c>
      <c r="V479" s="20">
        <f t="shared" si="371"/>
        <v>193050</v>
      </c>
      <c r="W479" s="20">
        <f t="shared" si="371"/>
        <v>0</v>
      </c>
      <c r="X479" s="20">
        <f t="shared" si="371"/>
        <v>0</v>
      </c>
      <c r="Y479" s="20">
        <f t="shared" si="371"/>
        <v>748156.4</v>
      </c>
      <c r="Z479" s="187" t="s">
        <v>772</v>
      </c>
      <c r="AA479" s="20">
        <f t="shared" si="371"/>
        <v>10563139.110000001</v>
      </c>
      <c r="AB479" s="20">
        <f t="shared" si="369"/>
        <v>11410200</v>
      </c>
      <c r="AC479" s="117"/>
    </row>
    <row r="480" spans="1:30" s="26" customFormat="1" ht="106.5" customHeight="1" x14ac:dyDescent="0.25">
      <c r="A480" s="17"/>
      <c r="B480" s="23"/>
      <c r="C480" s="23"/>
      <c r="D480" s="54" t="s">
        <v>618</v>
      </c>
      <c r="E480" s="20">
        <f>E482</f>
        <v>2702100</v>
      </c>
      <c r="F480" s="20">
        <f t="shared" ref="F480:AA480" si="372">F482</f>
        <v>2702100</v>
      </c>
      <c r="G480" s="20">
        <f t="shared" si="372"/>
        <v>2183571</v>
      </c>
      <c r="H480" s="20">
        <f t="shared" si="372"/>
        <v>0</v>
      </c>
      <c r="I480" s="20">
        <f t="shared" si="372"/>
        <v>0</v>
      </c>
      <c r="J480" s="20">
        <f t="shared" si="372"/>
        <v>2702100</v>
      </c>
      <c r="K480" s="20">
        <f t="shared" si="372"/>
        <v>2183571</v>
      </c>
      <c r="L480" s="20">
        <f t="shared" si="372"/>
        <v>0</v>
      </c>
      <c r="M480" s="187">
        <f t="shared" si="362"/>
        <v>100</v>
      </c>
      <c r="N480" s="20">
        <f t="shared" si="372"/>
        <v>312000</v>
      </c>
      <c r="O480" s="20">
        <f t="shared" si="372"/>
        <v>312000</v>
      </c>
      <c r="P480" s="20">
        <f t="shared" si="372"/>
        <v>0</v>
      </c>
      <c r="Q480" s="20">
        <f t="shared" si="372"/>
        <v>0</v>
      </c>
      <c r="R480" s="20">
        <f t="shared" si="372"/>
        <v>0</v>
      </c>
      <c r="S480" s="20">
        <f t="shared" si="372"/>
        <v>312000</v>
      </c>
      <c r="T480" s="20">
        <f t="shared" si="372"/>
        <v>312000</v>
      </c>
      <c r="U480" s="20">
        <f t="shared" si="372"/>
        <v>312000</v>
      </c>
      <c r="V480" s="20">
        <f t="shared" si="372"/>
        <v>0</v>
      </c>
      <c r="W480" s="20">
        <f t="shared" si="372"/>
        <v>0</v>
      </c>
      <c r="X480" s="20">
        <f t="shared" si="372"/>
        <v>0</v>
      </c>
      <c r="Y480" s="20">
        <f t="shared" si="372"/>
        <v>312000</v>
      </c>
      <c r="Z480" s="187">
        <f t="shared" si="366"/>
        <v>100</v>
      </c>
      <c r="AA480" s="20">
        <f t="shared" si="372"/>
        <v>3014100</v>
      </c>
      <c r="AB480" s="20">
        <f t="shared" ref="AB480" si="373">AB482</f>
        <v>3014100</v>
      </c>
      <c r="AC480" s="117"/>
    </row>
    <row r="481" spans="1:30" s="26" customFormat="1" ht="51.75" customHeight="1" x14ac:dyDescent="0.25">
      <c r="A481" s="22" t="s">
        <v>643</v>
      </c>
      <c r="B481" s="22" t="s">
        <v>114</v>
      </c>
      <c r="C481" s="23" t="s">
        <v>44</v>
      </c>
      <c r="D481" s="24" t="s">
        <v>701</v>
      </c>
      <c r="E481" s="25">
        <f t="shared" ref="E481:E482" si="374">F481+I481</f>
        <v>10662043.6</v>
      </c>
      <c r="F481" s="25">
        <f>7421100+5000+620000+7970+1849200-274000+1126900-64127.4-29999</f>
        <v>10662043.6</v>
      </c>
      <c r="G481" s="25">
        <f>5470600+4100+508300+1259900+923671</f>
        <v>8166571</v>
      </c>
      <c r="H481" s="25">
        <f>92800+22300</f>
        <v>115100</v>
      </c>
      <c r="I481" s="25"/>
      <c r="J481" s="25">
        <v>9621932.7100000009</v>
      </c>
      <c r="K481" s="25">
        <v>7381969.2000000002</v>
      </c>
      <c r="L481" s="25">
        <v>114608.98</v>
      </c>
      <c r="M481" s="181">
        <f t="shared" si="362"/>
        <v>90.244732351310219</v>
      </c>
      <c r="N481" s="25">
        <f t="shared" ref="N481:N482" si="375">P481+S481</f>
        <v>748156.4</v>
      </c>
      <c r="O481" s="25">
        <f>350000-7970+38000+274000+64127.4+29999</f>
        <v>748156.4</v>
      </c>
      <c r="P481" s="25"/>
      <c r="Q481" s="25"/>
      <c r="R481" s="25"/>
      <c r="S481" s="25">
        <f>350000-7970+38000+274000+64127.4+29999</f>
        <v>748156.4</v>
      </c>
      <c r="T481" s="15">
        <f t="shared" si="363"/>
        <v>941206.4</v>
      </c>
      <c r="U481" s="25">
        <v>748156.4</v>
      </c>
      <c r="V481" s="25">
        <v>193050</v>
      </c>
      <c r="W481" s="25"/>
      <c r="X481" s="25"/>
      <c r="Y481" s="25">
        <v>748156.4</v>
      </c>
      <c r="Z481" s="181" t="s">
        <v>772</v>
      </c>
      <c r="AA481" s="25">
        <f t="shared" si="364"/>
        <v>10563139.110000001</v>
      </c>
      <c r="AB481" s="25">
        <f t="shared" si="369"/>
        <v>11410200</v>
      </c>
      <c r="AC481" s="117"/>
    </row>
    <row r="482" spans="1:30" s="31" customFormat="1" ht="108" customHeight="1" x14ac:dyDescent="0.25">
      <c r="A482" s="27"/>
      <c r="B482" s="27"/>
      <c r="C482" s="28"/>
      <c r="D482" s="48" t="s">
        <v>618</v>
      </c>
      <c r="E482" s="30">
        <f t="shared" si="374"/>
        <v>2702100</v>
      </c>
      <c r="F482" s="30">
        <f>1849200-274000+1126900</f>
        <v>2702100</v>
      </c>
      <c r="G482" s="30">
        <f>1259900+923671</f>
        <v>2183571</v>
      </c>
      <c r="H482" s="30"/>
      <c r="I482" s="30"/>
      <c r="J482" s="30">
        <v>2702100</v>
      </c>
      <c r="K482" s="30">
        <v>2183571</v>
      </c>
      <c r="L482" s="30"/>
      <c r="M482" s="182">
        <f t="shared" si="362"/>
        <v>100</v>
      </c>
      <c r="N482" s="30">
        <f t="shared" si="375"/>
        <v>312000</v>
      </c>
      <c r="O482" s="30">
        <f>38000+274000</f>
        <v>312000</v>
      </c>
      <c r="P482" s="30"/>
      <c r="Q482" s="30"/>
      <c r="R482" s="30"/>
      <c r="S482" s="30">
        <f>38000+274000</f>
        <v>312000</v>
      </c>
      <c r="T482" s="15">
        <f t="shared" si="363"/>
        <v>312000</v>
      </c>
      <c r="U482" s="30">
        <v>312000</v>
      </c>
      <c r="V482" s="30"/>
      <c r="W482" s="30"/>
      <c r="X482" s="30"/>
      <c r="Y482" s="30">
        <v>312000</v>
      </c>
      <c r="Z482" s="182">
        <f t="shared" si="366"/>
        <v>100</v>
      </c>
      <c r="AA482" s="30">
        <f t="shared" si="364"/>
        <v>3014100</v>
      </c>
      <c r="AB482" s="30">
        <f t="shared" si="369"/>
        <v>3014100</v>
      </c>
      <c r="AC482" s="117"/>
    </row>
    <row r="483" spans="1:30" s="16" customFormat="1" ht="22.5" customHeight="1" x14ac:dyDescent="0.25">
      <c r="A483" s="37"/>
      <c r="B483" s="38"/>
      <c r="C483" s="157"/>
      <c r="D483" s="39" t="s">
        <v>388</v>
      </c>
      <c r="E483" s="15">
        <f t="shared" ref="E483:AB483" si="376">E17+E77+E175+E221+E273+E282+E296+E374+E381+E417+E425+E432+E461+E377+E450+E440+E428+E478</f>
        <v>3097198343.6500001</v>
      </c>
      <c r="F483" s="15">
        <f t="shared" ref="F483:AA483" si="377">F17+F77+F175+F221+F273+F282+F296+F374+F381+F417+F425+F432+F461+F377+F450+F440+F428+F478</f>
        <v>2884120326.5</v>
      </c>
      <c r="G483" s="15">
        <f t="shared" si="377"/>
        <v>1394849312</v>
      </c>
      <c r="H483" s="15">
        <f t="shared" si="377"/>
        <v>198262168.58000001</v>
      </c>
      <c r="I483" s="15">
        <f t="shared" si="377"/>
        <v>212930194.16999999</v>
      </c>
      <c r="J483" s="15">
        <f t="shared" si="377"/>
        <v>3000974020.4000001</v>
      </c>
      <c r="K483" s="15">
        <f t="shared" si="377"/>
        <v>1388769017.8099999</v>
      </c>
      <c r="L483" s="15">
        <f t="shared" si="377"/>
        <v>172953190.71999997</v>
      </c>
      <c r="M483" s="121">
        <f t="shared" si="362"/>
        <v>96.893181754172033</v>
      </c>
      <c r="N483" s="15">
        <f t="shared" si="377"/>
        <v>1227588610.9400001</v>
      </c>
      <c r="O483" s="15">
        <f t="shared" si="377"/>
        <v>994879965.43999994</v>
      </c>
      <c r="P483" s="15">
        <f t="shared" si="377"/>
        <v>144567839</v>
      </c>
      <c r="Q483" s="15">
        <f t="shared" si="377"/>
        <v>10161379</v>
      </c>
      <c r="R483" s="15">
        <f t="shared" si="377"/>
        <v>5905712</v>
      </c>
      <c r="S483" s="15">
        <f t="shared" si="377"/>
        <v>1083020771.9400001</v>
      </c>
      <c r="T483" s="15">
        <f t="shared" si="377"/>
        <v>959937576.59999979</v>
      </c>
      <c r="U483" s="15">
        <f t="shared" si="377"/>
        <v>719718745.21999991</v>
      </c>
      <c r="V483" s="15">
        <f t="shared" si="377"/>
        <v>115142032.47</v>
      </c>
      <c r="W483" s="15">
        <f t="shared" si="377"/>
        <v>17119523.579999998</v>
      </c>
      <c r="X483" s="15">
        <f t="shared" si="377"/>
        <v>5081628.22</v>
      </c>
      <c r="Y483" s="15">
        <f t="shared" si="377"/>
        <v>844795544.12999988</v>
      </c>
      <c r="Z483" s="121">
        <f t="shared" si="366"/>
        <v>78.197009001651438</v>
      </c>
      <c r="AA483" s="15">
        <f t="shared" si="377"/>
        <v>3960911596.9999995</v>
      </c>
      <c r="AB483" s="15">
        <f t="shared" si="376"/>
        <v>4324786954.5900002</v>
      </c>
      <c r="AC483" s="117"/>
    </row>
    <row r="484" spans="1:30" s="21" customFormat="1" ht="26.45" customHeight="1" x14ac:dyDescent="0.25">
      <c r="A484" s="17"/>
      <c r="B484" s="40"/>
      <c r="C484" s="18"/>
      <c r="D484" s="19" t="s">
        <v>728</v>
      </c>
      <c r="E484" s="20">
        <f>E79+E80+E383+E305+E224+E81+E225+E384+E185+E82+E84+E20+E186+E307+E385+E464+E480+E284+E83+E21+E442+E463</f>
        <v>665070485.88999999</v>
      </c>
      <c r="F484" s="20">
        <f t="shared" ref="F484:AA484" si="378">F79+F80+F383+F305+F224+F81+F225+F384+F185+F82+F84+F20+F186+F307+F385+F464+F480+F284+F83+F21+F442+F463</f>
        <v>652966458.88999999</v>
      </c>
      <c r="G484" s="20">
        <f t="shared" si="378"/>
        <v>455205701</v>
      </c>
      <c r="H484" s="20">
        <f t="shared" si="378"/>
        <v>0</v>
      </c>
      <c r="I484" s="20">
        <f t="shared" si="378"/>
        <v>12104027</v>
      </c>
      <c r="J484" s="20">
        <f t="shared" si="378"/>
        <v>647786666.54999995</v>
      </c>
      <c r="K484" s="20">
        <f t="shared" si="378"/>
        <v>452533749.14999998</v>
      </c>
      <c r="L484" s="20">
        <f t="shared" si="378"/>
        <v>0</v>
      </c>
      <c r="M484" s="187">
        <f t="shared" si="362"/>
        <v>97.40120487877752</v>
      </c>
      <c r="N484" s="20">
        <f t="shared" si="378"/>
        <v>267689767</v>
      </c>
      <c r="O484" s="20">
        <f t="shared" si="378"/>
        <v>242263267</v>
      </c>
      <c r="P484" s="20">
        <f t="shared" si="378"/>
        <v>25426500</v>
      </c>
      <c r="Q484" s="20">
        <f t="shared" si="378"/>
        <v>0</v>
      </c>
      <c r="R484" s="20">
        <f t="shared" si="378"/>
        <v>0</v>
      </c>
      <c r="S484" s="20">
        <f t="shared" si="378"/>
        <v>242263267</v>
      </c>
      <c r="T484" s="20">
        <f t="shared" si="378"/>
        <v>172257588.87</v>
      </c>
      <c r="U484" s="20">
        <f t="shared" si="378"/>
        <v>172257588.87</v>
      </c>
      <c r="V484" s="20">
        <f t="shared" si="378"/>
        <v>0</v>
      </c>
      <c r="W484" s="20">
        <f t="shared" si="378"/>
        <v>0</v>
      </c>
      <c r="X484" s="20">
        <f t="shared" si="378"/>
        <v>0</v>
      </c>
      <c r="Y484" s="20">
        <f t="shared" si="378"/>
        <v>172257588.87</v>
      </c>
      <c r="Z484" s="187">
        <f t="shared" si="366"/>
        <v>64.349710039532454</v>
      </c>
      <c r="AA484" s="20">
        <f t="shared" si="378"/>
        <v>820044255.41999996</v>
      </c>
      <c r="AB484" s="20">
        <f t="shared" ref="AB484" si="379">AB79+AB80+AB383+AB305+AB224+AB81+AB225+AB384+AB185+AB82+AB84+AB20+AB186+AB307+AB385+AB464+AB480+AB284+AB83+AB21+AB442+AB463</f>
        <v>932760252.88999999</v>
      </c>
      <c r="AC484" s="117"/>
    </row>
    <row r="485" spans="1:30" s="21" customFormat="1" ht="126" x14ac:dyDescent="0.25">
      <c r="A485" s="17"/>
      <c r="B485" s="40"/>
      <c r="C485" s="18"/>
      <c r="D485" s="54" t="s">
        <v>618</v>
      </c>
      <c r="E485" s="20">
        <f>E20+E84+E186+E225+E284+E307+E385+E464+E480+E442+E224-E115</f>
        <v>97857572</v>
      </c>
      <c r="F485" s="20">
        <f t="shared" ref="F485:AA485" si="380">F20+F84+F186+F225+F284+F307+F385+F464+F480+F442+F224-F115</f>
        <v>85753545</v>
      </c>
      <c r="G485" s="20">
        <f t="shared" si="380"/>
        <v>2531101</v>
      </c>
      <c r="H485" s="20">
        <f t="shared" si="380"/>
        <v>0</v>
      </c>
      <c r="I485" s="20">
        <f t="shared" si="380"/>
        <v>12104027</v>
      </c>
      <c r="J485" s="20">
        <f t="shared" si="380"/>
        <v>97111384.290000007</v>
      </c>
      <c r="K485" s="20">
        <f t="shared" si="380"/>
        <v>2531101</v>
      </c>
      <c r="L485" s="20">
        <f t="shared" si="380"/>
        <v>0</v>
      </c>
      <c r="M485" s="187">
        <f t="shared" si="362"/>
        <v>99.237475757113629</v>
      </c>
      <c r="N485" s="20">
        <f t="shared" si="380"/>
        <v>12511985</v>
      </c>
      <c r="O485" s="20">
        <f t="shared" si="380"/>
        <v>12511985</v>
      </c>
      <c r="P485" s="20">
        <f t="shared" si="380"/>
        <v>0</v>
      </c>
      <c r="Q485" s="20">
        <f t="shared" si="380"/>
        <v>0</v>
      </c>
      <c r="R485" s="20">
        <f t="shared" si="380"/>
        <v>0</v>
      </c>
      <c r="S485" s="20">
        <f t="shared" si="380"/>
        <v>12511985</v>
      </c>
      <c r="T485" s="20">
        <f t="shared" si="380"/>
        <v>10389939.880000001</v>
      </c>
      <c r="U485" s="20">
        <f t="shared" si="380"/>
        <v>10389939.880000001</v>
      </c>
      <c r="V485" s="20">
        <f t="shared" si="380"/>
        <v>0</v>
      </c>
      <c r="W485" s="20">
        <f t="shared" si="380"/>
        <v>0</v>
      </c>
      <c r="X485" s="20">
        <f t="shared" si="380"/>
        <v>0</v>
      </c>
      <c r="Y485" s="20">
        <f t="shared" si="380"/>
        <v>10389939.880000001</v>
      </c>
      <c r="Z485" s="187">
        <f t="shared" si="366"/>
        <v>83.039900383512304</v>
      </c>
      <c r="AA485" s="20">
        <f t="shared" si="380"/>
        <v>107501324.17</v>
      </c>
      <c r="AB485" s="20">
        <f t="shared" ref="AB485" si="381">AB20+AB84+AB186+AB225+AB284+AB307+AB385+AB464+AB480-AB115+AB442+AB224</f>
        <v>110369557</v>
      </c>
      <c r="AC485" s="117"/>
    </row>
    <row r="486" spans="1:30" s="21" customFormat="1" ht="44.65" customHeight="1" x14ac:dyDescent="0.25">
      <c r="A486" s="17"/>
      <c r="B486" s="40"/>
      <c r="C486" s="18"/>
      <c r="D486" s="19" t="s">
        <v>650</v>
      </c>
      <c r="E486" s="20">
        <f t="shared" ref="E486:AB486" si="382">E85+E92+E306+E86+E87+E88+E226+E227+E89+E228+E229</f>
        <v>8187970.5999999996</v>
      </c>
      <c r="F486" s="20">
        <f t="shared" ref="F486:AA486" si="383">F85+F92+F306+F86+F87+F88+F226+F227+F89+F228+F229</f>
        <v>8187970.5999999996</v>
      </c>
      <c r="G486" s="20">
        <f t="shared" si="383"/>
        <v>4411615</v>
      </c>
      <c r="H486" s="20">
        <f t="shared" si="383"/>
        <v>0</v>
      </c>
      <c r="I486" s="20">
        <f t="shared" si="383"/>
        <v>0</v>
      </c>
      <c r="J486" s="20">
        <f t="shared" si="383"/>
        <v>7234966.2600000007</v>
      </c>
      <c r="K486" s="20">
        <f t="shared" si="383"/>
        <v>4256912.1500000004</v>
      </c>
      <c r="L486" s="20">
        <f t="shared" si="383"/>
        <v>0</v>
      </c>
      <c r="M486" s="187">
        <f t="shared" si="362"/>
        <v>88.360921325242685</v>
      </c>
      <c r="N486" s="20">
        <f t="shared" si="383"/>
        <v>135237612.44999999</v>
      </c>
      <c r="O486" s="20">
        <f t="shared" si="383"/>
        <v>50018655.789999999</v>
      </c>
      <c r="P486" s="20">
        <f t="shared" si="383"/>
        <v>4558902</v>
      </c>
      <c r="Q486" s="20">
        <f t="shared" si="383"/>
        <v>0</v>
      </c>
      <c r="R486" s="20">
        <f t="shared" si="383"/>
        <v>0</v>
      </c>
      <c r="S486" s="20">
        <f t="shared" si="383"/>
        <v>130678710.44999999</v>
      </c>
      <c r="T486" s="20">
        <f t="shared" si="383"/>
        <v>122027970.52</v>
      </c>
      <c r="U486" s="20">
        <f t="shared" si="383"/>
        <v>45028368.879999995</v>
      </c>
      <c r="V486" s="20">
        <f t="shared" si="383"/>
        <v>3507058.64</v>
      </c>
      <c r="W486" s="20">
        <f t="shared" si="383"/>
        <v>0</v>
      </c>
      <c r="X486" s="20">
        <f t="shared" si="383"/>
        <v>0</v>
      </c>
      <c r="Y486" s="20">
        <f t="shared" si="383"/>
        <v>118520911.88</v>
      </c>
      <c r="Z486" s="187">
        <f t="shared" si="366"/>
        <v>90.232272153662976</v>
      </c>
      <c r="AA486" s="20">
        <f t="shared" si="383"/>
        <v>129262936.77999997</v>
      </c>
      <c r="AB486" s="20">
        <f t="shared" si="382"/>
        <v>143425583.04999998</v>
      </c>
      <c r="AC486" s="117"/>
    </row>
    <row r="487" spans="1:30" s="21" customFormat="1" ht="27.75" customHeight="1" x14ac:dyDescent="0.25">
      <c r="A487" s="17"/>
      <c r="B487" s="40"/>
      <c r="C487" s="18"/>
      <c r="D487" s="19" t="s">
        <v>651</v>
      </c>
      <c r="E487" s="20">
        <f t="shared" ref="E487:AB487" si="384">E223+E19+E91+E308+E22+E187</f>
        <v>11797475.810000001</v>
      </c>
      <c r="F487" s="20">
        <f t="shared" ref="F487:AA487" si="385">F223+F19+F91+F308+F22+F187</f>
        <v>11797475.810000001</v>
      </c>
      <c r="G487" s="20">
        <f t="shared" si="385"/>
        <v>336800</v>
      </c>
      <c r="H487" s="20">
        <f t="shared" si="385"/>
        <v>0</v>
      </c>
      <c r="I487" s="20">
        <f t="shared" si="385"/>
        <v>0</v>
      </c>
      <c r="J487" s="20">
        <f t="shared" si="385"/>
        <v>6096721.1399999997</v>
      </c>
      <c r="K487" s="20">
        <f t="shared" si="385"/>
        <v>336750</v>
      </c>
      <c r="L487" s="20">
        <f t="shared" si="385"/>
        <v>0</v>
      </c>
      <c r="M487" s="187">
        <f t="shared" si="362"/>
        <v>51.678183012947407</v>
      </c>
      <c r="N487" s="20">
        <f t="shared" si="385"/>
        <v>7792296</v>
      </c>
      <c r="O487" s="20">
        <f t="shared" si="385"/>
        <v>1228100</v>
      </c>
      <c r="P487" s="20">
        <f t="shared" si="385"/>
        <v>6564196</v>
      </c>
      <c r="Q487" s="20">
        <f t="shared" si="385"/>
        <v>0</v>
      </c>
      <c r="R487" s="20">
        <f t="shared" si="385"/>
        <v>0</v>
      </c>
      <c r="S487" s="20">
        <f t="shared" si="385"/>
        <v>1228100</v>
      </c>
      <c r="T487" s="20">
        <f t="shared" si="385"/>
        <v>2046111.5</v>
      </c>
      <c r="U487" s="20">
        <f t="shared" si="385"/>
        <v>1034500</v>
      </c>
      <c r="V487" s="20">
        <f t="shared" si="385"/>
        <v>1011611.5</v>
      </c>
      <c r="W487" s="20">
        <f t="shared" si="385"/>
        <v>0</v>
      </c>
      <c r="X487" s="20">
        <f t="shared" si="385"/>
        <v>0</v>
      </c>
      <c r="Y487" s="20">
        <f t="shared" si="385"/>
        <v>1034500</v>
      </c>
      <c r="Z487" s="187">
        <f t="shared" si="366"/>
        <v>26.25813367459347</v>
      </c>
      <c r="AA487" s="20">
        <f t="shared" si="385"/>
        <v>8142832.6399999997</v>
      </c>
      <c r="AB487" s="20">
        <f t="shared" si="384"/>
        <v>19589771.810000002</v>
      </c>
      <c r="AC487" s="117"/>
    </row>
    <row r="488" spans="1:30" s="21" customFormat="1" ht="20.25" customHeight="1" x14ac:dyDescent="0.25">
      <c r="A488" s="17"/>
      <c r="B488" s="40"/>
      <c r="C488" s="40"/>
      <c r="D488" s="19" t="s">
        <v>399</v>
      </c>
      <c r="E488" s="20">
        <f t="shared" ref="E488:AB488" si="386">E184+E386+E303+E387</f>
        <v>0</v>
      </c>
      <c r="F488" s="20">
        <f t="shared" ref="F488:AA488" si="387">F184+F386+F303+F387</f>
        <v>0</v>
      </c>
      <c r="G488" s="20">
        <f t="shared" si="387"/>
        <v>0</v>
      </c>
      <c r="H488" s="20">
        <f t="shared" si="387"/>
        <v>0</v>
      </c>
      <c r="I488" s="20">
        <f t="shared" si="387"/>
        <v>0</v>
      </c>
      <c r="J488" s="20">
        <f t="shared" si="387"/>
        <v>0</v>
      </c>
      <c r="K488" s="20">
        <f t="shared" si="387"/>
        <v>0</v>
      </c>
      <c r="L488" s="20">
        <f t="shared" si="387"/>
        <v>0</v>
      </c>
      <c r="M488" s="187"/>
      <c r="N488" s="20">
        <f t="shared" si="387"/>
        <v>104076609</v>
      </c>
      <c r="O488" s="20">
        <f t="shared" si="387"/>
        <v>104076609</v>
      </c>
      <c r="P488" s="20">
        <f t="shared" si="387"/>
        <v>0</v>
      </c>
      <c r="Q488" s="20">
        <f t="shared" si="387"/>
        <v>0</v>
      </c>
      <c r="R488" s="20">
        <f t="shared" si="387"/>
        <v>0</v>
      </c>
      <c r="S488" s="20">
        <f t="shared" si="387"/>
        <v>104076609</v>
      </c>
      <c r="T488" s="20">
        <f t="shared" si="387"/>
        <v>1136625.77</v>
      </c>
      <c r="U488" s="20">
        <f t="shared" si="387"/>
        <v>1136625.77</v>
      </c>
      <c r="V488" s="20">
        <f t="shared" si="387"/>
        <v>0</v>
      </c>
      <c r="W488" s="20">
        <f t="shared" si="387"/>
        <v>0</v>
      </c>
      <c r="X488" s="20">
        <f t="shared" si="387"/>
        <v>0</v>
      </c>
      <c r="Y488" s="20">
        <f t="shared" si="387"/>
        <v>1136625.77</v>
      </c>
      <c r="Z488" s="187">
        <f t="shared" si="366"/>
        <v>1.0921049224422752</v>
      </c>
      <c r="AA488" s="20">
        <f t="shared" si="387"/>
        <v>1136625.77</v>
      </c>
      <c r="AB488" s="20">
        <f t="shared" si="386"/>
        <v>104076609</v>
      </c>
      <c r="AC488" s="117"/>
    </row>
    <row r="489" spans="1:30" s="21" customFormat="1" ht="20.25" customHeight="1" x14ac:dyDescent="0.25">
      <c r="A489" s="17"/>
      <c r="B489" s="40"/>
      <c r="C489" s="40"/>
      <c r="D489" s="19" t="s">
        <v>597</v>
      </c>
      <c r="E489" s="20">
        <f t="shared" ref="E489:AB489" si="388">E23+E309</f>
        <v>0</v>
      </c>
      <c r="F489" s="20">
        <f t="shared" ref="F489:AA489" si="389">F23+F309</f>
        <v>0</v>
      </c>
      <c r="G489" s="20">
        <f t="shared" si="389"/>
        <v>0</v>
      </c>
      <c r="H489" s="20">
        <f t="shared" si="389"/>
        <v>0</v>
      </c>
      <c r="I489" s="20">
        <f t="shared" si="389"/>
        <v>0</v>
      </c>
      <c r="J489" s="20">
        <f t="shared" si="389"/>
        <v>0</v>
      </c>
      <c r="K489" s="20">
        <f t="shared" si="389"/>
        <v>0</v>
      </c>
      <c r="L489" s="20">
        <f t="shared" si="389"/>
        <v>0</v>
      </c>
      <c r="M489" s="187"/>
      <c r="N489" s="20">
        <f t="shared" si="389"/>
        <v>5904588</v>
      </c>
      <c r="O489" s="20">
        <f t="shared" si="389"/>
        <v>0</v>
      </c>
      <c r="P489" s="20">
        <f t="shared" si="389"/>
        <v>447641</v>
      </c>
      <c r="Q489" s="20">
        <f t="shared" si="389"/>
        <v>0</v>
      </c>
      <c r="R489" s="20">
        <f t="shared" si="389"/>
        <v>0</v>
      </c>
      <c r="S489" s="20">
        <f t="shared" si="389"/>
        <v>5456947</v>
      </c>
      <c r="T489" s="20">
        <f t="shared" si="389"/>
        <v>5715593.0999999996</v>
      </c>
      <c r="U489" s="20">
        <f t="shared" si="389"/>
        <v>0</v>
      </c>
      <c r="V489" s="20">
        <f t="shared" si="389"/>
        <v>415601.1</v>
      </c>
      <c r="W489" s="20">
        <f t="shared" si="389"/>
        <v>0</v>
      </c>
      <c r="X489" s="20">
        <f t="shared" si="389"/>
        <v>0</v>
      </c>
      <c r="Y489" s="20">
        <f t="shared" si="389"/>
        <v>5299992</v>
      </c>
      <c r="Z489" s="187">
        <f t="shared" si="366"/>
        <v>96.799185650209623</v>
      </c>
      <c r="AA489" s="20">
        <f t="shared" si="389"/>
        <v>5715593.0999999996</v>
      </c>
      <c r="AB489" s="20">
        <f t="shared" si="388"/>
        <v>5904588</v>
      </c>
      <c r="AC489" s="117"/>
    </row>
    <row r="490" spans="1:30" s="166" customFormat="1" ht="20.25" customHeight="1" x14ac:dyDescent="0.25">
      <c r="A490" s="161"/>
      <c r="B490" s="162"/>
      <c r="C490" s="162"/>
      <c r="D490" s="163"/>
      <c r="E490" s="164"/>
      <c r="F490" s="164"/>
      <c r="G490" s="164"/>
      <c r="H490" s="164"/>
      <c r="I490" s="164"/>
      <c r="J490" s="164"/>
      <c r="K490" s="164"/>
      <c r="L490" s="164"/>
      <c r="M490" s="133"/>
      <c r="N490" s="164"/>
      <c r="O490" s="164"/>
      <c r="P490" s="164"/>
      <c r="Q490" s="164"/>
      <c r="R490" s="164"/>
      <c r="S490" s="164"/>
      <c r="T490" s="164"/>
      <c r="U490" s="164"/>
      <c r="V490" s="164"/>
      <c r="W490" s="164"/>
      <c r="X490" s="164"/>
      <c r="Y490" s="164"/>
      <c r="Z490" s="133"/>
      <c r="AA490" s="164"/>
      <c r="AB490" s="164"/>
      <c r="AC490" s="165"/>
      <c r="AD490" s="16"/>
    </row>
    <row r="491" spans="1:30" s="166" customFormat="1" ht="20.25" customHeight="1" x14ac:dyDescent="0.25">
      <c r="A491" s="161"/>
      <c r="B491" s="162"/>
      <c r="C491" s="162"/>
      <c r="D491" s="163"/>
      <c r="E491" s="164"/>
      <c r="F491" s="164"/>
      <c r="G491" s="164"/>
      <c r="H491" s="164"/>
      <c r="I491" s="164"/>
      <c r="J491" s="164"/>
      <c r="K491" s="164"/>
      <c r="L491" s="164"/>
      <c r="M491" s="133"/>
      <c r="N491" s="164"/>
      <c r="O491" s="164"/>
      <c r="P491" s="164"/>
      <c r="Q491" s="164"/>
      <c r="R491" s="164"/>
      <c r="S491" s="164"/>
      <c r="T491" s="164"/>
      <c r="U491" s="164"/>
      <c r="V491" s="164"/>
      <c r="W491" s="164"/>
      <c r="X491" s="164"/>
      <c r="Y491" s="164"/>
      <c r="Z491" s="133"/>
      <c r="AA491" s="164"/>
      <c r="AB491" s="164"/>
      <c r="AC491" s="165"/>
      <c r="AD491" s="16"/>
    </row>
    <row r="492" spans="1:30" s="21" customFormat="1" ht="20.25" customHeight="1" x14ac:dyDescent="0.25">
      <c r="A492" s="129"/>
      <c r="B492" s="130"/>
      <c r="C492" s="130"/>
      <c r="D492" s="131"/>
      <c r="E492" s="132"/>
      <c r="F492" s="132"/>
      <c r="G492" s="132"/>
      <c r="H492" s="132"/>
      <c r="I492" s="132"/>
      <c r="J492" s="132"/>
      <c r="K492" s="132"/>
      <c r="L492" s="132"/>
      <c r="M492" s="133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3"/>
      <c r="AA492" s="132"/>
      <c r="AB492" s="132"/>
      <c r="AC492" s="117"/>
    </row>
    <row r="493" spans="1:30" s="21" customFormat="1" ht="91.5" customHeight="1" x14ac:dyDescent="0.25">
      <c r="A493" s="56"/>
      <c r="B493" s="57"/>
      <c r="C493" s="57"/>
      <c r="D493" s="58"/>
      <c r="E493" s="59"/>
      <c r="F493" s="59"/>
      <c r="G493" s="59"/>
      <c r="H493" s="59"/>
      <c r="I493" s="59"/>
      <c r="J493" s="59"/>
      <c r="K493" s="59"/>
      <c r="L493" s="59"/>
      <c r="M493" s="188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188"/>
      <c r="AA493" s="59"/>
      <c r="AB493" s="59"/>
      <c r="AC493" s="117"/>
    </row>
    <row r="494" spans="1:30" s="21" customFormat="1" ht="45.4" customHeight="1" x14ac:dyDescent="0.25">
      <c r="A494" s="209" t="s">
        <v>760</v>
      </c>
      <c r="B494" s="209"/>
      <c r="C494" s="209"/>
      <c r="D494" s="209"/>
      <c r="E494" s="209"/>
      <c r="F494" s="209"/>
      <c r="G494" s="123"/>
      <c r="H494" s="123"/>
      <c r="I494" s="123"/>
      <c r="J494" s="123"/>
      <c r="K494" s="123"/>
      <c r="L494" s="123"/>
      <c r="M494" s="148"/>
      <c r="N494" s="123"/>
      <c r="O494" s="123"/>
      <c r="P494" s="123"/>
      <c r="Q494" s="123"/>
      <c r="R494" s="123"/>
      <c r="S494" s="123"/>
      <c r="T494" s="124"/>
      <c r="U494" s="124"/>
      <c r="V494" s="124"/>
      <c r="W494" s="124"/>
      <c r="X494" s="210" t="s">
        <v>761</v>
      </c>
      <c r="Y494" s="210"/>
      <c r="Z494" s="210"/>
      <c r="AA494" s="210"/>
      <c r="AB494" s="59"/>
      <c r="AC494" s="117"/>
    </row>
    <row r="495" spans="1:30" ht="69.75" customHeight="1" x14ac:dyDescent="0.45">
      <c r="A495" s="154"/>
      <c r="B495" s="154"/>
      <c r="C495" s="154"/>
      <c r="D495" s="154"/>
      <c r="E495" s="154"/>
      <c r="F495" s="154"/>
      <c r="G495" s="123"/>
      <c r="H495" s="123"/>
      <c r="I495" s="123"/>
      <c r="J495" s="123"/>
      <c r="K495" s="123"/>
      <c r="L495" s="123"/>
      <c r="M495" s="148"/>
      <c r="N495" s="123"/>
      <c r="O495" s="123"/>
      <c r="P495" s="123"/>
      <c r="Q495" s="123"/>
      <c r="R495" s="123"/>
      <c r="S495" s="123"/>
      <c r="T495" s="124"/>
      <c r="U495" s="124"/>
      <c r="V495" s="124"/>
      <c r="W495" s="124"/>
      <c r="X495" s="155"/>
      <c r="Y495" s="155"/>
      <c r="Z495" s="195"/>
      <c r="AA495" s="145"/>
      <c r="AB495" s="122"/>
      <c r="AC495" s="117"/>
    </row>
    <row r="496" spans="1:30" ht="66.75" customHeight="1" x14ac:dyDescent="0.25">
      <c r="A496" s="125" t="s">
        <v>780</v>
      </c>
      <c r="B496" s="126"/>
      <c r="C496" s="126"/>
      <c r="D496" s="127"/>
      <c r="E496" s="123"/>
      <c r="F496" s="123"/>
      <c r="G496" s="123"/>
      <c r="H496" s="123"/>
      <c r="I496" s="123"/>
      <c r="J496" s="123"/>
      <c r="K496" s="123"/>
      <c r="L496" s="123"/>
      <c r="M496" s="148"/>
      <c r="N496" s="123"/>
      <c r="O496" s="128"/>
      <c r="P496" s="123"/>
      <c r="Q496" s="123"/>
      <c r="R496" s="123"/>
      <c r="S496" s="123"/>
      <c r="T496" s="124"/>
      <c r="U496" s="124"/>
      <c r="V496" s="124"/>
      <c r="W496" s="124"/>
      <c r="X496" s="124"/>
      <c r="Y496" s="124"/>
      <c r="Z496" s="146"/>
      <c r="AA496" s="147"/>
      <c r="AB496" s="5"/>
      <c r="AC496" s="117"/>
    </row>
    <row r="497" spans="1:29" s="62" customFormat="1" ht="23.65" customHeight="1" x14ac:dyDescent="0.4">
      <c r="A497" s="60"/>
      <c r="B497" s="61"/>
      <c r="C497" s="61"/>
      <c r="D497" s="39" t="s">
        <v>388</v>
      </c>
      <c r="E497" s="167">
        <f>E483-'дод 5'!D348</f>
        <v>0</v>
      </c>
      <c r="F497" s="167">
        <f>F483-'дод 5'!E348</f>
        <v>0</v>
      </c>
      <c r="G497" s="167">
        <f>G483-'дод 5'!F348</f>
        <v>0</v>
      </c>
      <c r="H497" s="167">
        <f>H483-'дод 5'!G348</f>
        <v>0</v>
      </c>
      <c r="I497" s="167">
        <f>I483-'дод 5'!H348</f>
        <v>0</v>
      </c>
      <c r="J497" s="167">
        <f>J483-'дод 5'!I348</f>
        <v>0</v>
      </c>
      <c r="K497" s="167">
        <f>K483-'дод 5'!J348</f>
        <v>0</v>
      </c>
      <c r="L497" s="167">
        <f>L483-'дод 5'!K348</f>
        <v>0</v>
      </c>
      <c r="M497" s="189">
        <f>M483-'дод 5'!L348</f>
        <v>0</v>
      </c>
      <c r="N497" s="167">
        <f>N483-'дод 5'!M348</f>
        <v>0</v>
      </c>
      <c r="O497" s="167">
        <f>O483-'дод 5'!N348</f>
        <v>0</v>
      </c>
      <c r="P497" s="167">
        <f>P483-'дод 5'!O348</f>
        <v>0</v>
      </c>
      <c r="Q497" s="167">
        <f>Q483-'дод 5'!P348</f>
        <v>0</v>
      </c>
      <c r="R497" s="167">
        <f>R483-'дод 5'!Q348</f>
        <v>0</v>
      </c>
      <c r="S497" s="167">
        <f>S483-'дод 5'!R348</f>
        <v>0</v>
      </c>
      <c r="T497" s="167">
        <f>T483-'дод 5'!S348</f>
        <v>0</v>
      </c>
      <c r="U497" s="167">
        <f>U483-'дод 5'!T348</f>
        <v>0</v>
      </c>
      <c r="V497" s="167">
        <f>V483-'дод 5'!U348</f>
        <v>0</v>
      </c>
      <c r="W497" s="167">
        <f>W483-'дод 5'!V348</f>
        <v>0</v>
      </c>
      <c r="X497" s="167">
        <f>X483-'дод 5'!W348</f>
        <v>0</v>
      </c>
      <c r="Y497" s="167">
        <f>Y483-'дод 5'!X348</f>
        <v>0</v>
      </c>
      <c r="Z497" s="189">
        <f>Z483-'дод 5'!Y348</f>
        <v>0</v>
      </c>
      <c r="AA497" s="168">
        <f>AA483-'дод 5'!Z348</f>
        <v>0</v>
      </c>
      <c r="AB497" s="167">
        <f>AB483-'дод 5'!AA348</f>
        <v>0</v>
      </c>
      <c r="AC497" s="109"/>
    </row>
    <row r="498" spans="1:29" ht="15.75" x14ac:dyDescent="0.25">
      <c r="D498" s="19" t="s">
        <v>649</v>
      </c>
      <c r="E498" s="169">
        <f>E484-'дод 5'!D349</f>
        <v>0</v>
      </c>
      <c r="F498" s="169">
        <f>F484-'дод 5'!E349</f>
        <v>0</v>
      </c>
      <c r="G498" s="169">
        <f>G484-'дод 5'!F349</f>
        <v>0</v>
      </c>
      <c r="H498" s="169">
        <f>H484-'дод 5'!G349</f>
        <v>0</v>
      </c>
      <c r="I498" s="169">
        <f>I484-'дод 5'!H349</f>
        <v>0</v>
      </c>
      <c r="J498" s="169">
        <f>J484-'дод 5'!I349</f>
        <v>0</v>
      </c>
      <c r="K498" s="169">
        <f>K484-'дод 5'!J349</f>
        <v>0</v>
      </c>
      <c r="L498" s="169">
        <f>L484-'дод 5'!K349</f>
        <v>0</v>
      </c>
      <c r="M498" s="190">
        <f>M484-'дод 5'!L349</f>
        <v>0</v>
      </c>
      <c r="N498" s="169">
        <f>N484-'дод 5'!M349</f>
        <v>0</v>
      </c>
      <c r="O498" s="169">
        <f>O484-'дод 5'!N349</f>
        <v>0</v>
      </c>
      <c r="P498" s="169">
        <f>P484-'дод 5'!O349</f>
        <v>0</v>
      </c>
      <c r="Q498" s="169">
        <f>Q484-'дод 5'!P349</f>
        <v>0</v>
      </c>
      <c r="R498" s="169">
        <f>R484-'дод 5'!Q349</f>
        <v>0</v>
      </c>
      <c r="S498" s="169">
        <f>S484-'дод 5'!R349</f>
        <v>0</v>
      </c>
      <c r="T498" s="169">
        <f>T484-'дод 5'!S349</f>
        <v>0</v>
      </c>
      <c r="U498" s="169">
        <f>U484-'дод 5'!T349</f>
        <v>0</v>
      </c>
      <c r="V498" s="169">
        <f>V484-'дод 5'!U349</f>
        <v>0</v>
      </c>
      <c r="W498" s="169">
        <f>W484-'дод 5'!V349</f>
        <v>0</v>
      </c>
      <c r="X498" s="169">
        <f>X484-'дод 5'!W349</f>
        <v>0</v>
      </c>
      <c r="Y498" s="169">
        <f>Y484-'дод 5'!X349</f>
        <v>0</v>
      </c>
      <c r="Z498" s="190">
        <f>Z484-'дод 5'!Y349</f>
        <v>0</v>
      </c>
      <c r="AA498" s="170">
        <f>AA484-'дод 5'!Z349</f>
        <v>0</v>
      </c>
      <c r="AB498" s="169">
        <f>AB484-'дод 5'!AA349</f>
        <v>0</v>
      </c>
    </row>
    <row r="499" spans="1:29" ht="15.75" x14ac:dyDescent="0.25">
      <c r="D499" s="19" t="s">
        <v>727</v>
      </c>
      <c r="E499" s="169">
        <f>E485-'дод 5'!D350</f>
        <v>0</v>
      </c>
      <c r="F499" s="169">
        <f>F485-'дод 5'!E350</f>
        <v>0</v>
      </c>
      <c r="G499" s="169">
        <f>G485-'дод 5'!F350</f>
        <v>0</v>
      </c>
      <c r="H499" s="169">
        <f>H485-'дод 5'!G350</f>
        <v>0</v>
      </c>
      <c r="I499" s="169">
        <f>I485-'дод 5'!H350</f>
        <v>0</v>
      </c>
      <c r="J499" s="169">
        <f>J485-'дод 5'!I350</f>
        <v>0</v>
      </c>
      <c r="K499" s="169">
        <f>K485-'дод 5'!J350</f>
        <v>0</v>
      </c>
      <c r="L499" s="169">
        <f>L485-'дод 5'!K350</f>
        <v>0</v>
      </c>
      <c r="M499" s="190">
        <f>M485-'дод 5'!L350</f>
        <v>0</v>
      </c>
      <c r="N499" s="169">
        <f>N485-'дод 5'!M350</f>
        <v>0</v>
      </c>
      <c r="O499" s="169">
        <f>O485-'дод 5'!N350</f>
        <v>0</v>
      </c>
      <c r="P499" s="169">
        <f>P485-'дод 5'!O350</f>
        <v>0</v>
      </c>
      <c r="Q499" s="169">
        <f>Q485-'дод 5'!P350</f>
        <v>0</v>
      </c>
      <c r="R499" s="169">
        <f>R485-'дод 5'!Q350</f>
        <v>0</v>
      </c>
      <c r="S499" s="169">
        <f>S485-'дод 5'!R350</f>
        <v>0</v>
      </c>
      <c r="T499" s="169">
        <f>T485-'дод 5'!S350</f>
        <v>0</v>
      </c>
      <c r="U499" s="169">
        <f>U485-'дод 5'!T350</f>
        <v>0</v>
      </c>
      <c r="V499" s="169">
        <f>V485-'дод 5'!U350</f>
        <v>0</v>
      </c>
      <c r="W499" s="169">
        <f>W485-'дод 5'!V350</f>
        <v>0</v>
      </c>
      <c r="X499" s="169">
        <f>X485-'дод 5'!W350</f>
        <v>0</v>
      </c>
      <c r="Y499" s="169">
        <f>Y485-'дод 5'!X350</f>
        <v>0</v>
      </c>
      <c r="Z499" s="190">
        <f>Z485-'дод 5'!Y350</f>
        <v>0</v>
      </c>
      <c r="AA499" s="170">
        <f>AA485-'дод 5'!Z350</f>
        <v>0</v>
      </c>
      <c r="AB499" s="169">
        <f>AB485-'дод 5'!AA350</f>
        <v>0</v>
      </c>
    </row>
    <row r="500" spans="1:29" ht="47.25" x14ac:dyDescent="0.25">
      <c r="D500" s="19" t="s">
        <v>650</v>
      </c>
      <c r="E500" s="169">
        <f>E486-'дод 5'!D351</f>
        <v>0</v>
      </c>
      <c r="F500" s="169">
        <f>F486-'дод 5'!E351</f>
        <v>0</v>
      </c>
      <c r="G500" s="169">
        <f>G486-'дод 5'!F351</f>
        <v>0</v>
      </c>
      <c r="H500" s="169">
        <f>H486-'дод 5'!G351</f>
        <v>0</v>
      </c>
      <c r="I500" s="169">
        <f>I486-'дод 5'!H351</f>
        <v>0</v>
      </c>
      <c r="J500" s="169">
        <f>J486-'дод 5'!I351</f>
        <v>0</v>
      </c>
      <c r="K500" s="169">
        <f>K486-'дод 5'!J351</f>
        <v>0</v>
      </c>
      <c r="L500" s="169">
        <f>L486-'дод 5'!K351</f>
        <v>0</v>
      </c>
      <c r="M500" s="190">
        <f>M486-'дод 5'!L351</f>
        <v>0</v>
      </c>
      <c r="N500" s="169">
        <f>N486-'дод 5'!M351</f>
        <v>0</v>
      </c>
      <c r="O500" s="169">
        <f>O486-'дод 5'!N351</f>
        <v>0</v>
      </c>
      <c r="P500" s="169">
        <f>P486-'дод 5'!O351</f>
        <v>0</v>
      </c>
      <c r="Q500" s="169">
        <f>Q486-'дод 5'!P351</f>
        <v>0</v>
      </c>
      <c r="R500" s="169">
        <f>R486-'дод 5'!Q351</f>
        <v>0</v>
      </c>
      <c r="S500" s="169">
        <f>S486-'дод 5'!R351</f>
        <v>0</v>
      </c>
      <c r="T500" s="169">
        <f>T486-'дод 5'!S351</f>
        <v>0</v>
      </c>
      <c r="U500" s="169">
        <f>U486-'дод 5'!T351</f>
        <v>0</v>
      </c>
      <c r="V500" s="169">
        <f>V486-'дод 5'!U351</f>
        <v>0</v>
      </c>
      <c r="W500" s="169">
        <f>W486-'дод 5'!V351</f>
        <v>0</v>
      </c>
      <c r="X500" s="169">
        <f>X486-'дод 5'!W351</f>
        <v>0</v>
      </c>
      <c r="Y500" s="169">
        <f>Y486-'дод 5'!X351</f>
        <v>0</v>
      </c>
      <c r="Z500" s="190">
        <f>Z486-'дод 5'!Y351</f>
        <v>0</v>
      </c>
      <c r="AA500" s="170">
        <f>AA486-'дод 5'!Z351</f>
        <v>0</v>
      </c>
      <c r="AB500" s="169">
        <f>AB486-'дод 5'!AA351</f>
        <v>0</v>
      </c>
    </row>
    <row r="501" spans="1:29" ht="15.75" x14ac:dyDescent="0.25">
      <c r="D501" s="19" t="s">
        <v>651</v>
      </c>
      <c r="E501" s="169">
        <f>E487-'дод 5'!D352</f>
        <v>0</v>
      </c>
      <c r="F501" s="169">
        <f>F487-'дод 5'!E352</f>
        <v>0</v>
      </c>
      <c r="G501" s="169">
        <f>G487-'дод 5'!F352</f>
        <v>0</v>
      </c>
      <c r="H501" s="169">
        <f>H487-'дод 5'!G352</f>
        <v>0</v>
      </c>
      <c r="I501" s="169">
        <f>I487-'дод 5'!H352</f>
        <v>0</v>
      </c>
      <c r="J501" s="169">
        <f>J487-'дод 5'!I352</f>
        <v>0</v>
      </c>
      <c r="K501" s="169">
        <f>K487-'дод 5'!J352</f>
        <v>0</v>
      </c>
      <c r="L501" s="169">
        <f>L487-'дод 5'!K352</f>
        <v>0</v>
      </c>
      <c r="M501" s="190">
        <f>M487-'дод 5'!L352</f>
        <v>0</v>
      </c>
      <c r="N501" s="169">
        <f>N487-'дод 5'!M352</f>
        <v>0</v>
      </c>
      <c r="O501" s="169">
        <f>O487-'дод 5'!N352</f>
        <v>0</v>
      </c>
      <c r="P501" s="169">
        <f>P487-'дод 5'!O352</f>
        <v>0</v>
      </c>
      <c r="Q501" s="169">
        <f>Q487-'дод 5'!P352</f>
        <v>0</v>
      </c>
      <c r="R501" s="169">
        <f>R487-'дод 5'!Q352</f>
        <v>0</v>
      </c>
      <c r="S501" s="169">
        <f>S487-'дод 5'!R352</f>
        <v>0</v>
      </c>
      <c r="T501" s="169">
        <f>T487-'дод 5'!S352</f>
        <v>0</v>
      </c>
      <c r="U501" s="169">
        <f>U487-'дод 5'!T352</f>
        <v>0</v>
      </c>
      <c r="V501" s="169">
        <f>V487-'дод 5'!U352</f>
        <v>0</v>
      </c>
      <c r="W501" s="169">
        <f>W487-'дод 5'!V352</f>
        <v>0</v>
      </c>
      <c r="X501" s="169">
        <f>X487-'дод 5'!W352</f>
        <v>0</v>
      </c>
      <c r="Y501" s="169">
        <f>Y487-'дод 5'!X352</f>
        <v>0</v>
      </c>
      <c r="Z501" s="190">
        <f>Z487-'дод 5'!Y352</f>
        <v>0</v>
      </c>
      <c r="AA501" s="170">
        <f>AA487-'дод 5'!Z352</f>
        <v>0</v>
      </c>
      <c r="AB501" s="169">
        <f>AB487-'дод 5'!AA352</f>
        <v>0</v>
      </c>
    </row>
    <row r="502" spans="1:29" ht="15.75" x14ac:dyDescent="0.25">
      <c r="D502" s="19" t="s">
        <v>399</v>
      </c>
      <c r="E502" s="169">
        <f>E488-'дод 5'!D353</f>
        <v>0</v>
      </c>
      <c r="F502" s="169">
        <f>F488-'дод 5'!E353</f>
        <v>0</v>
      </c>
      <c r="G502" s="169">
        <f>G488-'дод 5'!F353</f>
        <v>0</v>
      </c>
      <c r="H502" s="169">
        <f>H488-'дод 5'!G353</f>
        <v>0</v>
      </c>
      <c r="I502" s="169">
        <f>I488-'дод 5'!H353</f>
        <v>0</v>
      </c>
      <c r="J502" s="169">
        <f>J488-'дод 5'!I353</f>
        <v>0</v>
      </c>
      <c r="K502" s="169">
        <f>K488-'дод 5'!J353</f>
        <v>0</v>
      </c>
      <c r="L502" s="169">
        <f>L488-'дод 5'!K353</f>
        <v>0</v>
      </c>
      <c r="M502" s="190">
        <f>M488-'дод 5'!L353</f>
        <v>0</v>
      </c>
      <c r="N502" s="169">
        <f>N488-'дод 5'!M353</f>
        <v>0</v>
      </c>
      <c r="O502" s="169">
        <f>O488-'дод 5'!N353</f>
        <v>0</v>
      </c>
      <c r="P502" s="169">
        <f>P488-'дод 5'!O353</f>
        <v>0</v>
      </c>
      <c r="Q502" s="169">
        <f>Q488-'дод 5'!P353</f>
        <v>0</v>
      </c>
      <c r="R502" s="169">
        <f>R488-'дод 5'!Q353</f>
        <v>0</v>
      </c>
      <c r="S502" s="169">
        <f>S488-'дод 5'!R353</f>
        <v>0</v>
      </c>
      <c r="T502" s="169">
        <f>T488-'дод 5'!S353</f>
        <v>0</v>
      </c>
      <c r="U502" s="169">
        <f>U488-'дод 5'!T353</f>
        <v>0</v>
      </c>
      <c r="V502" s="169">
        <f>V488-'дод 5'!U353</f>
        <v>0</v>
      </c>
      <c r="W502" s="169">
        <f>W488-'дод 5'!V353</f>
        <v>0</v>
      </c>
      <c r="X502" s="169">
        <f>X488-'дод 5'!W353</f>
        <v>0</v>
      </c>
      <c r="Y502" s="169">
        <f>Y488-'дод 5'!X353</f>
        <v>0</v>
      </c>
      <c r="Z502" s="190">
        <f>Z488-'дод 5'!Y353</f>
        <v>0</v>
      </c>
      <c r="AA502" s="170">
        <f>AA488-'дод 5'!Z353</f>
        <v>0</v>
      </c>
      <c r="AB502" s="169">
        <f>AB488-'дод 5'!AA353</f>
        <v>0</v>
      </c>
    </row>
    <row r="503" spans="1:29" ht="15.75" x14ac:dyDescent="0.25">
      <c r="D503" s="19" t="s">
        <v>597</v>
      </c>
      <c r="E503" s="169">
        <f>E489-'дод 5'!D354</f>
        <v>0</v>
      </c>
      <c r="F503" s="169">
        <f>F489-'дод 5'!E354</f>
        <v>0</v>
      </c>
      <c r="G503" s="169">
        <f>G489-'дод 5'!F354</f>
        <v>0</v>
      </c>
      <c r="H503" s="169">
        <f>H489-'дод 5'!G354</f>
        <v>0</v>
      </c>
      <c r="I503" s="169">
        <f>I489-'дод 5'!H354</f>
        <v>0</v>
      </c>
      <c r="J503" s="169">
        <f>J489-'дод 5'!I354</f>
        <v>0</v>
      </c>
      <c r="K503" s="169">
        <f>K489-'дод 5'!J354</f>
        <v>0</v>
      </c>
      <c r="L503" s="169">
        <f>L489-'дод 5'!K354</f>
        <v>0</v>
      </c>
      <c r="M503" s="190">
        <f>M489-'дод 5'!L354</f>
        <v>0</v>
      </c>
      <c r="N503" s="169">
        <f>N489-'дод 5'!M354</f>
        <v>0</v>
      </c>
      <c r="O503" s="169">
        <f>O489-'дод 5'!N354</f>
        <v>0</v>
      </c>
      <c r="P503" s="169">
        <f>P489-'дод 5'!O354</f>
        <v>0</v>
      </c>
      <c r="Q503" s="169">
        <f>Q489-'дод 5'!P354</f>
        <v>0</v>
      </c>
      <c r="R503" s="169">
        <f>R489-'дод 5'!Q354</f>
        <v>0</v>
      </c>
      <c r="S503" s="169">
        <f>S489-'дод 5'!R354</f>
        <v>0</v>
      </c>
      <c r="T503" s="169">
        <f>T489-'дод 5'!S354</f>
        <v>0</v>
      </c>
      <c r="U503" s="169">
        <f>U489-'дод 5'!T354</f>
        <v>0</v>
      </c>
      <c r="V503" s="169">
        <f>V489-'дод 5'!U354</f>
        <v>0</v>
      </c>
      <c r="W503" s="169">
        <f>W489-'дод 5'!V354</f>
        <v>0</v>
      </c>
      <c r="X503" s="169">
        <f>X489-'дод 5'!W354</f>
        <v>0</v>
      </c>
      <c r="Y503" s="169">
        <f>Y489-'дод 5'!X354</f>
        <v>0</v>
      </c>
      <c r="Z503" s="190">
        <f>Z489-'дод 5'!Y354</f>
        <v>0</v>
      </c>
      <c r="AA503" s="170">
        <f>AA489-'дод 5'!Z354</f>
        <v>0</v>
      </c>
      <c r="AB503" s="169">
        <f>AB489-'дод 5'!AA354</f>
        <v>0</v>
      </c>
    </row>
    <row r="504" spans="1:29" x14ac:dyDescent="0.25">
      <c r="AB504" s="5"/>
    </row>
    <row r="505" spans="1:29" x14ac:dyDescent="0.25">
      <c r="AB505" s="170"/>
    </row>
    <row r="506" spans="1:29" x14ac:dyDescent="0.25">
      <c r="AB506" s="5"/>
    </row>
    <row r="507" spans="1:29" x14ac:dyDescent="0.25">
      <c r="AB507" s="5"/>
    </row>
    <row r="508" spans="1:29" x14ac:dyDescent="0.25">
      <c r="AB508" s="5"/>
    </row>
    <row r="509" spans="1:29" x14ac:dyDescent="0.25">
      <c r="AB509" s="5"/>
    </row>
    <row r="510" spans="1:29" x14ac:dyDescent="0.25">
      <c r="AB510" s="5"/>
    </row>
    <row r="511" spans="1:29" x14ac:dyDescent="0.25">
      <c r="AB511" s="5"/>
    </row>
    <row r="512" spans="1:29" x14ac:dyDescent="0.25">
      <c r="AB512" s="5"/>
    </row>
    <row r="513" spans="28:28" x14ac:dyDescent="0.25">
      <c r="AB513" s="5"/>
    </row>
    <row r="514" spans="28:28" x14ac:dyDescent="0.25">
      <c r="AB514" s="5"/>
    </row>
    <row r="515" spans="28:28" x14ac:dyDescent="0.25">
      <c r="AB515" s="5"/>
    </row>
    <row r="516" spans="28:28" x14ac:dyDescent="0.25">
      <c r="AB516" s="5"/>
    </row>
    <row r="517" spans="28:28" x14ac:dyDescent="0.25">
      <c r="AB517" s="5"/>
    </row>
    <row r="518" spans="28:28" x14ac:dyDescent="0.25">
      <c r="AB518" s="5"/>
    </row>
    <row r="519" spans="28:28" x14ac:dyDescent="0.25">
      <c r="AB519" s="5"/>
    </row>
    <row r="520" spans="28:28" x14ac:dyDescent="0.25">
      <c r="AB520" s="5"/>
    </row>
    <row r="521" spans="28:28" x14ac:dyDescent="0.25">
      <c r="AB521" s="5"/>
    </row>
    <row r="522" spans="28:28" x14ac:dyDescent="0.25">
      <c r="AB522" s="5"/>
    </row>
    <row r="523" spans="28:28" x14ac:dyDescent="0.25">
      <c r="AB523" s="5"/>
    </row>
    <row r="524" spans="28:28" x14ac:dyDescent="0.25">
      <c r="AB524" s="5"/>
    </row>
    <row r="525" spans="28:28" x14ac:dyDescent="0.25">
      <c r="AB525" s="5"/>
    </row>
    <row r="526" spans="28:28" x14ac:dyDescent="0.25">
      <c r="AB526" s="5"/>
    </row>
    <row r="527" spans="28:28" x14ac:dyDescent="0.25">
      <c r="AB527" s="5"/>
    </row>
    <row r="528" spans="28:28" x14ac:dyDescent="0.25">
      <c r="AB528" s="5"/>
    </row>
    <row r="529" spans="28:28" x14ac:dyDescent="0.25">
      <c r="AB529" s="5"/>
    </row>
    <row r="530" spans="28:28" x14ac:dyDescent="0.25">
      <c r="AB530" s="5"/>
    </row>
    <row r="531" spans="28:28" x14ac:dyDescent="0.25">
      <c r="AB531" s="5"/>
    </row>
    <row r="532" spans="28:28" x14ac:dyDescent="0.25">
      <c r="AB532" s="5"/>
    </row>
    <row r="533" spans="28:28" x14ac:dyDescent="0.25">
      <c r="AB533" s="5"/>
    </row>
    <row r="534" spans="28:28" x14ac:dyDescent="0.25">
      <c r="AB534" s="5"/>
    </row>
    <row r="535" spans="28:28" x14ac:dyDescent="0.25">
      <c r="AB535" s="5"/>
    </row>
    <row r="536" spans="28:28" x14ac:dyDescent="0.25">
      <c r="AB536" s="5"/>
    </row>
    <row r="537" spans="28:28" x14ac:dyDescent="0.25">
      <c r="AB537" s="5"/>
    </row>
    <row r="538" spans="28:28" x14ac:dyDescent="0.25">
      <c r="AB538" s="5"/>
    </row>
    <row r="539" spans="28:28" x14ac:dyDescent="0.25">
      <c r="AB539" s="5"/>
    </row>
    <row r="540" spans="28:28" x14ac:dyDescent="0.25">
      <c r="AB540" s="5"/>
    </row>
    <row r="541" spans="28:28" x14ac:dyDescent="0.25">
      <c r="AB541" s="5"/>
    </row>
    <row r="542" spans="28:28" x14ac:dyDescent="0.25">
      <c r="AB542" s="5"/>
    </row>
    <row r="543" spans="28:28" x14ac:dyDescent="0.25">
      <c r="AB543" s="5"/>
    </row>
    <row r="544" spans="28:28" x14ac:dyDescent="0.25">
      <c r="AB544" s="5"/>
    </row>
    <row r="545" spans="28:28" x14ac:dyDescent="0.25">
      <c r="AB545" s="5"/>
    </row>
    <row r="546" spans="28:28" x14ac:dyDescent="0.25">
      <c r="AB546" s="5"/>
    </row>
    <row r="547" spans="28:28" x14ac:dyDescent="0.25">
      <c r="AB547" s="5"/>
    </row>
    <row r="548" spans="28:28" x14ac:dyDescent="0.25">
      <c r="AB548" s="5"/>
    </row>
    <row r="549" spans="28:28" x14ac:dyDescent="0.25">
      <c r="AB549" s="5"/>
    </row>
    <row r="550" spans="28:28" x14ac:dyDescent="0.25">
      <c r="AB550" s="5"/>
    </row>
    <row r="551" spans="28:28" x14ac:dyDescent="0.25">
      <c r="AB551" s="5"/>
    </row>
    <row r="552" spans="28:28" x14ac:dyDescent="0.25">
      <c r="AB552" s="5"/>
    </row>
    <row r="553" spans="28:28" x14ac:dyDescent="0.25">
      <c r="AB553" s="5"/>
    </row>
    <row r="554" spans="28:28" x14ac:dyDescent="0.25">
      <c r="AB554" s="5"/>
    </row>
    <row r="555" spans="28:28" x14ac:dyDescent="0.25">
      <c r="AB555" s="5"/>
    </row>
    <row r="556" spans="28:28" x14ac:dyDescent="0.25">
      <c r="AB556" s="5"/>
    </row>
    <row r="557" spans="28:28" x14ac:dyDescent="0.25">
      <c r="AB557" s="5"/>
    </row>
    <row r="558" spans="28:28" x14ac:dyDescent="0.25">
      <c r="AB558" s="5"/>
    </row>
    <row r="559" spans="28:28" x14ac:dyDescent="0.25">
      <c r="AB559" s="5"/>
    </row>
    <row r="560" spans="28:28" x14ac:dyDescent="0.25">
      <c r="AB560" s="5"/>
    </row>
    <row r="561" spans="28:28" x14ac:dyDescent="0.25">
      <c r="AB561" s="5"/>
    </row>
    <row r="562" spans="28:28" x14ac:dyDescent="0.25">
      <c r="AB562" s="5"/>
    </row>
    <row r="563" spans="28:28" x14ac:dyDescent="0.25">
      <c r="AB563" s="5"/>
    </row>
    <row r="564" spans="28:28" x14ac:dyDescent="0.25">
      <c r="AB564" s="5"/>
    </row>
    <row r="565" spans="28:28" x14ac:dyDescent="0.25">
      <c r="AB565" s="5"/>
    </row>
    <row r="566" spans="28:28" x14ac:dyDescent="0.25">
      <c r="AB566" s="5"/>
    </row>
    <row r="567" spans="28:28" x14ac:dyDescent="0.25">
      <c r="AB567" s="5"/>
    </row>
    <row r="568" spans="28:28" x14ac:dyDescent="0.25">
      <c r="AB568" s="5"/>
    </row>
    <row r="569" spans="28:28" x14ac:dyDescent="0.25">
      <c r="AB569" s="5"/>
    </row>
    <row r="570" spans="28:28" x14ac:dyDescent="0.25">
      <c r="AB570" s="5"/>
    </row>
    <row r="571" spans="28:28" x14ac:dyDescent="0.25">
      <c r="AB571" s="5"/>
    </row>
    <row r="572" spans="28:28" x14ac:dyDescent="0.25">
      <c r="AB572" s="5"/>
    </row>
    <row r="573" spans="28:28" x14ac:dyDescent="0.25">
      <c r="AB573" s="5"/>
    </row>
    <row r="574" spans="28:28" x14ac:dyDescent="0.25">
      <c r="AB574" s="5"/>
    </row>
    <row r="575" spans="28:28" x14ac:dyDescent="0.25">
      <c r="AB575" s="5"/>
    </row>
    <row r="576" spans="28:28" x14ac:dyDescent="0.25">
      <c r="AB576" s="5"/>
    </row>
    <row r="577" spans="28:28" x14ac:dyDescent="0.25">
      <c r="AB577" s="5"/>
    </row>
    <row r="578" spans="28:28" x14ac:dyDescent="0.25">
      <c r="AB578" s="5"/>
    </row>
    <row r="579" spans="28:28" x14ac:dyDescent="0.25">
      <c r="AB579" s="5"/>
    </row>
    <row r="580" spans="28:28" x14ac:dyDescent="0.25">
      <c r="AB580" s="5"/>
    </row>
    <row r="581" spans="28:28" x14ac:dyDescent="0.25">
      <c r="AB581" s="5"/>
    </row>
    <row r="582" spans="28:28" x14ac:dyDescent="0.25">
      <c r="AB582" s="5"/>
    </row>
    <row r="583" spans="28:28" x14ac:dyDescent="0.25">
      <c r="AB583" s="5"/>
    </row>
    <row r="584" spans="28:28" x14ac:dyDescent="0.25">
      <c r="AB584" s="5"/>
    </row>
    <row r="585" spans="28:28" x14ac:dyDescent="0.25">
      <c r="AB585" s="5"/>
    </row>
    <row r="586" spans="28:28" x14ac:dyDescent="0.25">
      <c r="AB586" s="5"/>
    </row>
    <row r="587" spans="28:28" x14ac:dyDescent="0.25">
      <c r="AB587" s="5"/>
    </row>
    <row r="588" spans="28:28" x14ac:dyDescent="0.25">
      <c r="AB588" s="5"/>
    </row>
    <row r="589" spans="28:28" x14ac:dyDescent="0.25">
      <c r="AB589" s="5"/>
    </row>
    <row r="590" spans="28:28" x14ac:dyDescent="0.25">
      <c r="AB590" s="5"/>
    </row>
    <row r="591" spans="28:28" x14ac:dyDescent="0.25">
      <c r="AB591" s="5"/>
    </row>
    <row r="592" spans="28:28" x14ac:dyDescent="0.25">
      <c r="AB592" s="5"/>
    </row>
    <row r="593" spans="28:28" x14ac:dyDescent="0.25">
      <c r="AB593" s="5"/>
    </row>
    <row r="594" spans="28:28" x14ac:dyDescent="0.25">
      <c r="AB594" s="5"/>
    </row>
    <row r="595" spans="28:28" x14ac:dyDescent="0.25">
      <c r="AB595" s="5"/>
    </row>
    <row r="596" spans="28:28" x14ac:dyDescent="0.25">
      <c r="AB596" s="5"/>
    </row>
    <row r="597" spans="28:28" x14ac:dyDescent="0.25">
      <c r="AB597" s="5"/>
    </row>
    <row r="598" spans="28:28" x14ac:dyDescent="0.25">
      <c r="AB598" s="5"/>
    </row>
    <row r="599" spans="28:28" x14ac:dyDescent="0.25">
      <c r="AB599" s="5"/>
    </row>
    <row r="600" spans="28:28" x14ac:dyDescent="0.25">
      <c r="AB600" s="5"/>
    </row>
    <row r="601" spans="28:28" x14ac:dyDescent="0.25">
      <c r="AB601" s="5"/>
    </row>
    <row r="602" spans="28:28" x14ac:dyDescent="0.25">
      <c r="AB602" s="5"/>
    </row>
    <row r="603" spans="28:28" x14ac:dyDescent="0.25">
      <c r="AB603" s="5"/>
    </row>
    <row r="604" spans="28:28" x14ac:dyDescent="0.25">
      <c r="AB604" s="5"/>
    </row>
    <row r="605" spans="28:28" x14ac:dyDescent="0.25">
      <c r="AB605" s="5"/>
    </row>
    <row r="606" spans="28:28" x14ac:dyDescent="0.25">
      <c r="AB606" s="5"/>
    </row>
    <row r="607" spans="28:28" x14ac:dyDescent="0.25">
      <c r="AB607" s="5"/>
    </row>
    <row r="608" spans="28:28" x14ac:dyDescent="0.25">
      <c r="AB608" s="5"/>
    </row>
    <row r="609" spans="28:28" x14ac:dyDescent="0.25">
      <c r="AB609" s="5"/>
    </row>
    <row r="610" spans="28:28" x14ac:dyDescent="0.25">
      <c r="AB610" s="5"/>
    </row>
    <row r="611" spans="28:28" x14ac:dyDescent="0.25">
      <c r="AB611" s="5"/>
    </row>
    <row r="612" spans="28:28" x14ac:dyDescent="0.25">
      <c r="AB612" s="5"/>
    </row>
    <row r="613" spans="28:28" x14ac:dyDescent="0.25">
      <c r="AB613" s="5"/>
    </row>
    <row r="614" spans="28:28" x14ac:dyDescent="0.25">
      <c r="AB614" s="5"/>
    </row>
    <row r="615" spans="28:28" x14ac:dyDescent="0.25">
      <c r="AB615" s="5"/>
    </row>
    <row r="616" spans="28:28" x14ac:dyDescent="0.25">
      <c r="AB616" s="5"/>
    </row>
    <row r="617" spans="28:28" x14ac:dyDescent="0.25">
      <c r="AB617" s="5"/>
    </row>
    <row r="618" spans="28:28" x14ac:dyDescent="0.25">
      <c r="AB618" s="5"/>
    </row>
    <row r="619" spans="28:28" x14ac:dyDescent="0.25">
      <c r="AB619" s="5"/>
    </row>
    <row r="620" spans="28:28" x14ac:dyDescent="0.25">
      <c r="AB620" s="5"/>
    </row>
    <row r="621" spans="28:28" x14ac:dyDescent="0.25">
      <c r="AB621" s="5"/>
    </row>
    <row r="622" spans="28:28" x14ac:dyDescent="0.25">
      <c r="AB622" s="5"/>
    </row>
    <row r="623" spans="28:28" x14ac:dyDescent="0.25">
      <c r="AB623" s="5"/>
    </row>
    <row r="624" spans="28:28" x14ac:dyDescent="0.25">
      <c r="AB624" s="5"/>
    </row>
    <row r="625" spans="28:28" x14ac:dyDescent="0.25">
      <c r="AB625" s="5"/>
    </row>
    <row r="626" spans="28:28" x14ac:dyDescent="0.25">
      <c r="AB626" s="5"/>
    </row>
    <row r="627" spans="28:28" x14ac:dyDescent="0.25">
      <c r="AB627" s="5"/>
    </row>
    <row r="628" spans="28:28" x14ac:dyDescent="0.25">
      <c r="AB628" s="5"/>
    </row>
    <row r="629" spans="28:28" x14ac:dyDescent="0.25">
      <c r="AB629" s="5"/>
    </row>
    <row r="630" spans="28:28" x14ac:dyDescent="0.25">
      <c r="AB630" s="5"/>
    </row>
    <row r="631" spans="28:28" x14ac:dyDescent="0.25">
      <c r="AB631" s="5"/>
    </row>
    <row r="632" spans="28:28" x14ac:dyDescent="0.25">
      <c r="AB632" s="5"/>
    </row>
    <row r="633" spans="28:28" x14ac:dyDescent="0.25">
      <c r="AB633" s="5"/>
    </row>
    <row r="634" spans="28:28" x14ac:dyDescent="0.25">
      <c r="AB634" s="5"/>
    </row>
    <row r="635" spans="28:28" x14ac:dyDescent="0.25">
      <c r="AB635" s="5"/>
    </row>
    <row r="636" spans="28:28" x14ac:dyDescent="0.25">
      <c r="AB636" s="5"/>
    </row>
    <row r="637" spans="28:28" x14ac:dyDescent="0.25">
      <c r="AB637" s="5"/>
    </row>
    <row r="638" spans="28:28" x14ac:dyDescent="0.25">
      <c r="AB638" s="5"/>
    </row>
    <row r="639" spans="28:28" x14ac:dyDescent="0.25">
      <c r="AB639" s="5"/>
    </row>
    <row r="640" spans="28:28" x14ac:dyDescent="0.25">
      <c r="AB640" s="5"/>
    </row>
    <row r="641" spans="28:28" x14ac:dyDescent="0.25">
      <c r="AB641" s="5"/>
    </row>
    <row r="642" spans="28:28" x14ac:dyDescent="0.25">
      <c r="AB642" s="5"/>
    </row>
    <row r="643" spans="28:28" x14ac:dyDescent="0.25">
      <c r="AB643" s="5"/>
    </row>
    <row r="644" spans="28:28" x14ac:dyDescent="0.25">
      <c r="AB644" s="5"/>
    </row>
    <row r="645" spans="28:28" x14ac:dyDescent="0.25">
      <c r="AB645" s="5"/>
    </row>
    <row r="646" spans="28:28" x14ac:dyDescent="0.25">
      <c r="AB646" s="5"/>
    </row>
    <row r="647" spans="28:28" x14ac:dyDescent="0.25">
      <c r="AB647" s="5"/>
    </row>
    <row r="648" spans="28:28" x14ac:dyDescent="0.25">
      <c r="AB648" s="5"/>
    </row>
    <row r="649" spans="28:28" x14ac:dyDescent="0.25">
      <c r="AB649" s="5"/>
    </row>
    <row r="650" spans="28:28" x14ac:dyDescent="0.25">
      <c r="AB650" s="5"/>
    </row>
    <row r="651" spans="28:28" x14ac:dyDescent="0.25">
      <c r="AB651" s="5"/>
    </row>
    <row r="652" spans="28:28" x14ac:dyDescent="0.25">
      <c r="AB652" s="5"/>
    </row>
    <row r="653" spans="28:28" x14ac:dyDescent="0.25">
      <c r="AB653" s="5"/>
    </row>
    <row r="654" spans="28:28" x14ac:dyDescent="0.25">
      <c r="AB654" s="5"/>
    </row>
    <row r="655" spans="28:28" x14ac:dyDescent="0.25">
      <c r="AB655" s="5"/>
    </row>
    <row r="656" spans="28:28" x14ac:dyDescent="0.25">
      <c r="AB656" s="5"/>
    </row>
    <row r="657" spans="28:28" x14ac:dyDescent="0.25">
      <c r="AB657" s="5"/>
    </row>
    <row r="658" spans="28:28" x14ac:dyDescent="0.25">
      <c r="AB658" s="5"/>
    </row>
    <row r="659" spans="28:28" x14ac:dyDescent="0.25">
      <c r="AB659" s="5"/>
    </row>
    <row r="660" spans="28:28" x14ac:dyDescent="0.25">
      <c r="AB660" s="5"/>
    </row>
    <row r="661" spans="28:28" x14ac:dyDescent="0.25">
      <c r="AB661" s="5"/>
    </row>
    <row r="662" spans="28:28" x14ac:dyDescent="0.25">
      <c r="AB662" s="5"/>
    </row>
    <row r="663" spans="28:28" x14ac:dyDescent="0.25">
      <c r="AB663" s="5"/>
    </row>
    <row r="664" spans="28:28" x14ac:dyDescent="0.25">
      <c r="AB664" s="5"/>
    </row>
    <row r="665" spans="28:28" x14ac:dyDescent="0.25">
      <c r="AB665" s="5"/>
    </row>
    <row r="666" spans="28:28" x14ac:dyDescent="0.25">
      <c r="AB666" s="5"/>
    </row>
    <row r="667" spans="28:28" x14ac:dyDescent="0.25">
      <c r="AB667" s="5"/>
    </row>
    <row r="668" spans="28:28" x14ac:dyDescent="0.25">
      <c r="AB668" s="5"/>
    </row>
    <row r="669" spans="28:28" x14ac:dyDescent="0.25">
      <c r="AB669" s="5"/>
    </row>
    <row r="670" spans="28:28" x14ac:dyDescent="0.25">
      <c r="AB670" s="5"/>
    </row>
    <row r="671" spans="28:28" x14ac:dyDescent="0.25">
      <c r="AB671" s="5"/>
    </row>
    <row r="672" spans="28:28" x14ac:dyDescent="0.25">
      <c r="AB672" s="5"/>
    </row>
    <row r="673" spans="28:28" x14ac:dyDescent="0.25">
      <c r="AB673" s="5"/>
    </row>
    <row r="674" spans="28:28" x14ac:dyDescent="0.25">
      <c r="AB674" s="5"/>
    </row>
    <row r="675" spans="28:28" x14ac:dyDescent="0.25">
      <c r="AB675" s="5"/>
    </row>
    <row r="676" spans="28:28" x14ac:dyDescent="0.25">
      <c r="AB676" s="5"/>
    </row>
    <row r="677" spans="28:28" x14ac:dyDescent="0.25">
      <c r="AB677" s="5"/>
    </row>
    <row r="678" spans="28:28" x14ac:dyDescent="0.25">
      <c r="AB678" s="5"/>
    </row>
    <row r="679" spans="28:28" x14ac:dyDescent="0.25">
      <c r="AB679" s="5"/>
    </row>
    <row r="680" spans="28:28" x14ac:dyDescent="0.25">
      <c r="AB680" s="5"/>
    </row>
    <row r="681" spans="28:28" x14ac:dyDescent="0.25">
      <c r="AB681" s="5"/>
    </row>
    <row r="682" spans="28:28" x14ac:dyDescent="0.25">
      <c r="AB682" s="5"/>
    </row>
    <row r="683" spans="28:28" x14ac:dyDescent="0.25">
      <c r="AB683" s="5"/>
    </row>
    <row r="684" spans="28:28" x14ac:dyDescent="0.25">
      <c r="AB684" s="5"/>
    </row>
    <row r="685" spans="28:28" x14ac:dyDescent="0.25">
      <c r="AB685" s="5"/>
    </row>
    <row r="686" spans="28:28" x14ac:dyDescent="0.25">
      <c r="AB686" s="5"/>
    </row>
    <row r="687" spans="28:28" x14ac:dyDescent="0.25">
      <c r="AB687" s="5"/>
    </row>
    <row r="688" spans="28:28" x14ac:dyDescent="0.25">
      <c r="AB688" s="5"/>
    </row>
    <row r="689" spans="28:28" x14ac:dyDescent="0.25">
      <c r="AB689" s="5"/>
    </row>
    <row r="690" spans="28:28" x14ac:dyDescent="0.25">
      <c r="AB690" s="5"/>
    </row>
    <row r="691" spans="28:28" x14ac:dyDescent="0.25">
      <c r="AB691" s="5"/>
    </row>
    <row r="692" spans="28:28" x14ac:dyDescent="0.25">
      <c r="AB692" s="5"/>
    </row>
    <row r="693" spans="28:28" x14ac:dyDescent="0.25">
      <c r="AB693" s="5"/>
    </row>
    <row r="694" spans="28:28" x14ac:dyDescent="0.25">
      <c r="AB694" s="5"/>
    </row>
    <row r="695" spans="28:28" x14ac:dyDescent="0.25">
      <c r="AB695" s="5"/>
    </row>
    <row r="696" spans="28:28" x14ac:dyDescent="0.25">
      <c r="AB696" s="5"/>
    </row>
    <row r="697" spans="28:28" x14ac:dyDescent="0.25">
      <c r="AB697" s="5"/>
    </row>
    <row r="698" spans="28:28" x14ac:dyDescent="0.25">
      <c r="AB698" s="5"/>
    </row>
    <row r="699" spans="28:28" x14ac:dyDescent="0.25">
      <c r="AB699" s="5"/>
    </row>
    <row r="700" spans="28:28" x14ac:dyDescent="0.25">
      <c r="AB700" s="5"/>
    </row>
    <row r="701" spans="28:28" x14ac:dyDescent="0.25">
      <c r="AB701" s="5"/>
    </row>
    <row r="702" spans="28:28" x14ac:dyDescent="0.25">
      <c r="AB702" s="5"/>
    </row>
    <row r="703" spans="28:28" x14ac:dyDescent="0.25">
      <c r="AB703" s="5"/>
    </row>
    <row r="704" spans="28:28" x14ac:dyDescent="0.25">
      <c r="AB704" s="5"/>
    </row>
    <row r="705" spans="28:28" x14ac:dyDescent="0.25">
      <c r="AB705" s="5"/>
    </row>
    <row r="706" spans="28:28" x14ac:dyDescent="0.25">
      <c r="AB706" s="5"/>
    </row>
    <row r="707" spans="28:28" x14ac:dyDescent="0.25">
      <c r="AB707" s="5"/>
    </row>
    <row r="708" spans="28:28" x14ac:dyDescent="0.25">
      <c r="AB708" s="5"/>
    </row>
    <row r="709" spans="28:28" x14ac:dyDescent="0.25">
      <c r="AB709" s="5"/>
    </row>
    <row r="710" spans="28:28" x14ac:dyDescent="0.25">
      <c r="AB710" s="5"/>
    </row>
    <row r="711" spans="28:28" x14ac:dyDescent="0.25">
      <c r="AB711" s="5"/>
    </row>
    <row r="712" spans="28:28" x14ac:dyDescent="0.25">
      <c r="AB712" s="5"/>
    </row>
    <row r="713" spans="28:28" x14ac:dyDescent="0.25">
      <c r="AB713" s="5"/>
    </row>
    <row r="714" spans="28:28" x14ac:dyDescent="0.25">
      <c r="AB714" s="5"/>
    </row>
    <row r="715" spans="28:28" x14ac:dyDescent="0.25">
      <c r="AB715" s="5"/>
    </row>
    <row r="716" spans="28:28" x14ac:dyDescent="0.25">
      <c r="AB716" s="5"/>
    </row>
    <row r="717" spans="28:28" x14ac:dyDescent="0.25">
      <c r="AB717" s="5"/>
    </row>
    <row r="718" spans="28:28" x14ac:dyDescent="0.25">
      <c r="AB718" s="5"/>
    </row>
    <row r="719" spans="28:28" x14ac:dyDescent="0.25">
      <c r="AB719" s="5"/>
    </row>
    <row r="720" spans="28:28" x14ac:dyDescent="0.25">
      <c r="AB720" s="5"/>
    </row>
    <row r="721" spans="28:28" x14ac:dyDescent="0.25">
      <c r="AB721" s="5"/>
    </row>
    <row r="722" spans="28:28" x14ac:dyDescent="0.25">
      <c r="AB722" s="5"/>
    </row>
    <row r="723" spans="28:28" x14ac:dyDescent="0.25">
      <c r="AB723" s="5"/>
    </row>
    <row r="724" spans="28:28" x14ac:dyDescent="0.25">
      <c r="AB724" s="5"/>
    </row>
    <row r="725" spans="28:28" x14ac:dyDescent="0.25">
      <c r="AB725" s="5"/>
    </row>
    <row r="726" spans="28:28" x14ac:dyDescent="0.25">
      <c r="AB726" s="5"/>
    </row>
    <row r="727" spans="28:28" x14ac:dyDescent="0.25">
      <c r="AB727" s="5"/>
    </row>
    <row r="728" spans="28:28" x14ac:dyDescent="0.25">
      <c r="AB728" s="5"/>
    </row>
    <row r="729" spans="28:28" x14ac:dyDescent="0.25">
      <c r="AB729" s="5"/>
    </row>
    <row r="730" spans="28:28" x14ac:dyDescent="0.25">
      <c r="AB730" s="5"/>
    </row>
    <row r="731" spans="28:28" x14ac:dyDescent="0.25">
      <c r="AB731" s="5"/>
    </row>
    <row r="732" spans="28:28" x14ac:dyDescent="0.25">
      <c r="AB732" s="5"/>
    </row>
    <row r="733" spans="28:28" x14ac:dyDescent="0.25">
      <c r="AB733" s="5"/>
    </row>
    <row r="734" spans="28:28" x14ac:dyDescent="0.25">
      <c r="AB734" s="5"/>
    </row>
    <row r="735" spans="28:28" x14ac:dyDescent="0.25">
      <c r="AB735" s="5"/>
    </row>
    <row r="736" spans="28:28" x14ac:dyDescent="0.25">
      <c r="AB736" s="5"/>
    </row>
    <row r="737" spans="28:28" x14ac:dyDescent="0.25">
      <c r="AB737" s="5"/>
    </row>
    <row r="738" spans="28:28" x14ac:dyDescent="0.25">
      <c r="AB738" s="5"/>
    </row>
    <row r="739" spans="28:28" x14ac:dyDescent="0.25">
      <c r="AB739" s="5"/>
    </row>
    <row r="740" spans="28:28" x14ac:dyDescent="0.25">
      <c r="AB740" s="5"/>
    </row>
    <row r="741" spans="28:28" x14ac:dyDescent="0.25">
      <c r="AB741" s="5"/>
    </row>
    <row r="742" spans="28:28" x14ac:dyDescent="0.25">
      <c r="AB742" s="5"/>
    </row>
    <row r="743" spans="28:28" x14ac:dyDescent="0.25">
      <c r="AB743" s="5"/>
    </row>
    <row r="744" spans="28:28" x14ac:dyDescent="0.25">
      <c r="AB744" s="5"/>
    </row>
    <row r="745" spans="28:28" x14ac:dyDescent="0.25">
      <c r="AB745" s="5"/>
    </row>
    <row r="746" spans="28:28" x14ac:dyDescent="0.25">
      <c r="AB746" s="5"/>
    </row>
    <row r="747" spans="28:28" x14ac:dyDescent="0.25">
      <c r="AB747" s="5"/>
    </row>
    <row r="748" spans="28:28" x14ac:dyDescent="0.25">
      <c r="AB748" s="5"/>
    </row>
    <row r="749" spans="28:28" x14ac:dyDescent="0.25">
      <c r="AB749" s="5"/>
    </row>
    <row r="750" spans="28:28" x14ac:dyDescent="0.25">
      <c r="AB750" s="5"/>
    </row>
    <row r="751" spans="28:28" x14ac:dyDescent="0.25">
      <c r="AB751" s="5"/>
    </row>
    <row r="752" spans="28:28" x14ac:dyDescent="0.25">
      <c r="AB752" s="5"/>
    </row>
    <row r="753" spans="28:28" x14ac:dyDescent="0.25">
      <c r="AB753" s="5"/>
    </row>
    <row r="754" spans="28:28" x14ac:dyDescent="0.25">
      <c r="AB754" s="5"/>
    </row>
    <row r="755" spans="28:28" x14ac:dyDescent="0.25">
      <c r="AB755" s="5"/>
    </row>
    <row r="756" spans="28:28" x14ac:dyDescent="0.25">
      <c r="AB756" s="5"/>
    </row>
    <row r="757" spans="28:28" x14ac:dyDescent="0.25">
      <c r="AB757" s="5"/>
    </row>
    <row r="758" spans="28:28" x14ac:dyDescent="0.25">
      <c r="AB758" s="5"/>
    </row>
    <row r="759" spans="28:28" x14ac:dyDescent="0.25">
      <c r="AB759" s="5"/>
    </row>
    <row r="760" spans="28:28" x14ac:dyDescent="0.25">
      <c r="AB760" s="5"/>
    </row>
    <row r="761" spans="28:28" x14ac:dyDescent="0.25">
      <c r="AB761" s="5"/>
    </row>
    <row r="762" spans="28:28" x14ac:dyDescent="0.25">
      <c r="AB762" s="5"/>
    </row>
    <row r="763" spans="28:28" x14ac:dyDescent="0.25">
      <c r="AB763" s="5"/>
    </row>
    <row r="764" spans="28:28" x14ac:dyDescent="0.25">
      <c r="AB764" s="5"/>
    </row>
    <row r="765" spans="28:28" x14ac:dyDescent="0.25">
      <c r="AB765" s="5"/>
    </row>
    <row r="766" spans="28:28" x14ac:dyDescent="0.25">
      <c r="AB766" s="5"/>
    </row>
    <row r="767" spans="28:28" x14ac:dyDescent="0.25">
      <c r="AB767" s="5"/>
    </row>
    <row r="768" spans="28:28" x14ac:dyDescent="0.25">
      <c r="AB768" s="5"/>
    </row>
    <row r="769" spans="28:28" x14ac:dyDescent="0.25">
      <c r="AB769" s="5"/>
    </row>
    <row r="770" spans="28:28" x14ac:dyDescent="0.25">
      <c r="AB770" s="5"/>
    </row>
    <row r="771" spans="28:28" x14ac:dyDescent="0.25">
      <c r="AB771" s="5"/>
    </row>
    <row r="772" spans="28:28" x14ac:dyDescent="0.25">
      <c r="AB772" s="5"/>
    </row>
    <row r="773" spans="28:28" x14ac:dyDescent="0.25">
      <c r="AB773" s="5"/>
    </row>
    <row r="774" spans="28:28" x14ac:dyDescent="0.25">
      <c r="AB774" s="5"/>
    </row>
    <row r="775" spans="28:28" x14ac:dyDescent="0.25">
      <c r="AB775" s="5"/>
    </row>
    <row r="776" spans="28:28" x14ac:dyDescent="0.25">
      <c r="AB776" s="5"/>
    </row>
    <row r="777" spans="28:28" x14ac:dyDescent="0.25">
      <c r="AB777" s="5"/>
    </row>
    <row r="778" spans="28:28" x14ac:dyDescent="0.25">
      <c r="AB778" s="5"/>
    </row>
    <row r="779" spans="28:28" x14ac:dyDescent="0.25">
      <c r="AB779" s="5"/>
    </row>
    <row r="780" spans="28:28" x14ac:dyDescent="0.25">
      <c r="AB780" s="5"/>
    </row>
    <row r="781" spans="28:28" x14ac:dyDescent="0.25">
      <c r="AB781" s="5"/>
    </row>
    <row r="782" spans="28:28" x14ac:dyDescent="0.25">
      <c r="AB782" s="5"/>
    </row>
    <row r="783" spans="28:28" x14ac:dyDescent="0.25">
      <c r="AB783" s="5"/>
    </row>
    <row r="784" spans="28:28" x14ac:dyDescent="0.25">
      <c r="AB784" s="5"/>
    </row>
    <row r="785" spans="28:28" x14ac:dyDescent="0.25">
      <c r="AB785" s="5"/>
    </row>
    <row r="786" spans="28:28" x14ac:dyDescent="0.25">
      <c r="AB786" s="5"/>
    </row>
    <row r="787" spans="28:28" x14ac:dyDescent="0.25">
      <c r="AB787" s="5"/>
    </row>
    <row r="788" spans="28:28" x14ac:dyDescent="0.25">
      <c r="AB788" s="5"/>
    </row>
    <row r="789" spans="28:28" x14ac:dyDescent="0.25">
      <c r="AB789" s="5"/>
    </row>
    <row r="790" spans="28:28" x14ac:dyDescent="0.25">
      <c r="AB790" s="5"/>
    </row>
    <row r="791" spans="28:28" x14ac:dyDescent="0.25">
      <c r="AB791" s="5"/>
    </row>
    <row r="792" spans="28:28" x14ac:dyDescent="0.25">
      <c r="AB792" s="5"/>
    </row>
    <row r="793" spans="28:28" x14ac:dyDescent="0.25">
      <c r="AB793" s="5"/>
    </row>
    <row r="794" spans="28:28" x14ac:dyDescent="0.25">
      <c r="AB794" s="5"/>
    </row>
    <row r="795" spans="28:28" x14ac:dyDescent="0.25">
      <c r="AB795" s="5"/>
    </row>
    <row r="796" spans="28:28" x14ac:dyDescent="0.25">
      <c r="AB796" s="5"/>
    </row>
    <row r="797" spans="28:28" x14ac:dyDescent="0.25">
      <c r="AB797" s="5"/>
    </row>
    <row r="798" spans="28:28" x14ac:dyDescent="0.25">
      <c r="AB798" s="5"/>
    </row>
    <row r="799" spans="28:28" x14ac:dyDescent="0.25">
      <c r="AB799" s="5"/>
    </row>
    <row r="800" spans="28:28" x14ac:dyDescent="0.25">
      <c r="AB800" s="5"/>
    </row>
    <row r="801" spans="28:28" x14ac:dyDescent="0.25">
      <c r="AB801" s="5"/>
    </row>
    <row r="802" spans="28:28" x14ac:dyDescent="0.25">
      <c r="AB802" s="5"/>
    </row>
    <row r="803" spans="28:28" x14ac:dyDescent="0.25">
      <c r="AB803" s="5"/>
    </row>
    <row r="804" spans="28:28" x14ac:dyDescent="0.25">
      <c r="AB804" s="5"/>
    </row>
    <row r="805" spans="28:28" x14ac:dyDescent="0.25">
      <c r="AB805" s="5"/>
    </row>
    <row r="806" spans="28:28" x14ac:dyDescent="0.25">
      <c r="AB806" s="5"/>
    </row>
    <row r="807" spans="28:28" x14ac:dyDescent="0.25">
      <c r="AB807" s="5"/>
    </row>
    <row r="808" spans="28:28" x14ac:dyDescent="0.25">
      <c r="AB808" s="5"/>
    </row>
    <row r="809" spans="28:28" x14ac:dyDescent="0.25">
      <c r="AB809" s="5"/>
    </row>
    <row r="810" spans="28:28" x14ac:dyDescent="0.25">
      <c r="AB810" s="5"/>
    </row>
    <row r="811" spans="28:28" x14ac:dyDescent="0.25">
      <c r="AB811" s="5"/>
    </row>
    <row r="812" spans="28:28" x14ac:dyDescent="0.25">
      <c r="AB812" s="5"/>
    </row>
    <row r="813" spans="28:28" x14ac:dyDescent="0.25">
      <c r="AB813" s="5"/>
    </row>
    <row r="814" spans="28:28" x14ac:dyDescent="0.25">
      <c r="AB814" s="5"/>
    </row>
    <row r="815" spans="28:28" x14ac:dyDescent="0.25">
      <c r="AB815" s="5"/>
    </row>
    <row r="816" spans="28:28" x14ac:dyDescent="0.25">
      <c r="AB816" s="5"/>
    </row>
    <row r="817" spans="28:28" x14ac:dyDescent="0.25">
      <c r="AB817" s="5"/>
    </row>
    <row r="818" spans="28:28" x14ac:dyDescent="0.25">
      <c r="AB818" s="5"/>
    </row>
    <row r="819" spans="28:28" x14ac:dyDescent="0.25">
      <c r="AB819" s="5"/>
    </row>
    <row r="820" spans="28:28" x14ac:dyDescent="0.25">
      <c r="AB820" s="5"/>
    </row>
    <row r="821" spans="28:28" x14ac:dyDescent="0.25">
      <c r="AB821" s="5"/>
    </row>
    <row r="822" spans="28:28" x14ac:dyDescent="0.25">
      <c r="AB822" s="5"/>
    </row>
    <row r="823" spans="28:28" x14ac:dyDescent="0.25">
      <c r="AB823" s="5"/>
    </row>
    <row r="824" spans="28:28" x14ac:dyDescent="0.25">
      <c r="AB824" s="5"/>
    </row>
    <row r="825" spans="28:28" x14ac:dyDescent="0.25">
      <c r="AB825" s="5"/>
    </row>
    <row r="826" spans="28:28" x14ac:dyDescent="0.25">
      <c r="AB826" s="5"/>
    </row>
    <row r="827" spans="28:28" x14ac:dyDescent="0.25">
      <c r="AB827" s="5"/>
    </row>
    <row r="828" spans="28:28" x14ac:dyDescent="0.25">
      <c r="AB828" s="5"/>
    </row>
    <row r="829" spans="28:28" x14ac:dyDescent="0.25">
      <c r="AB829" s="5"/>
    </row>
    <row r="830" spans="28:28" x14ac:dyDescent="0.25">
      <c r="AB830" s="5"/>
    </row>
    <row r="831" spans="28:28" x14ac:dyDescent="0.25">
      <c r="AB831" s="5"/>
    </row>
    <row r="832" spans="28:28" x14ac:dyDescent="0.25">
      <c r="AB832" s="5"/>
    </row>
    <row r="833" spans="28:28" x14ac:dyDescent="0.25">
      <c r="AB833" s="5"/>
    </row>
    <row r="834" spans="28:28" x14ac:dyDescent="0.25">
      <c r="AB834" s="5"/>
    </row>
    <row r="835" spans="28:28" x14ac:dyDescent="0.25">
      <c r="AB835" s="5"/>
    </row>
    <row r="836" spans="28:28" x14ac:dyDescent="0.25">
      <c r="AB836" s="5"/>
    </row>
    <row r="837" spans="28:28" x14ac:dyDescent="0.25">
      <c r="AB837" s="5"/>
    </row>
    <row r="838" spans="28:28" x14ac:dyDescent="0.25">
      <c r="AB838" s="5"/>
    </row>
    <row r="839" spans="28:28" x14ac:dyDescent="0.25">
      <c r="AB839" s="5"/>
    </row>
    <row r="840" spans="28:28" x14ac:dyDescent="0.25">
      <c r="AB840" s="5"/>
    </row>
    <row r="841" spans="28:28" x14ac:dyDescent="0.25">
      <c r="AB841" s="5"/>
    </row>
    <row r="842" spans="28:28" x14ac:dyDescent="0.25">
      <c r="AB842" s="5"/>
    </row>
    <row r="843" spans="28:28" x14ac:dyDescent="0.25">
      <c r="AB843" s="5"/>
    </row>
    <row r="844" spans="28:28" x14ac:dyDescent="0.25">
      <c r="AB844" s="5"/>
    </row>
    <row r="845" spans="28:28" x14ac:dyDescent="0.25">
      <c r="AB845" s="5"/>
    </row>
    <row r="846" spans="28:28" x14ac:dyDescent="0.25">
      <c r="AB846" s="5"/>
    </row>
    <row r="847" spans="28:28" x14ac:dyDescent="0.25">
      <c r="AB847" s="5"/>
    </row>
    <row r="848" spans="28:28" x14ac:dyDescent="0.25">
      <c r="AB848" s="5"/>
    </row>
    <row r="849" spans="28:28" x14ac:dyDescent="0.25">
      <c r="AB849" s="5"/>
    </row>
    <row r="850" spans="28:28" x14ac:dyDescent="0.25">
      <c r="AB850" s="5"/>
    </row>
    <row r="851" spans="28:28" x14ac:dyDescent="0.25">
      <c r="AB851" s="5"/>
    </row>
    <row r="852" spans="28:28" x14ac:dyDescent="0.25">
      <c r="AB852" s="5"/>
    </row>
    <row r="853" spans="28:28" x14ac:dyDescent="0.25">
      <c r="AB853" s="5"/>
    </row>
    <row r="854" spans="28:28" x14ac:dyDescent="0.25">
      <c r="AB854" s="5"/>
    </row>
    <row r="855" spans="28:28" x14ac:dyDescent="0.25">
      <c r="AB855" s="5"/>
    </row>
    <row r="856" spans="28:28" x14ac:dyDescent="0.25">
      <c r="AB856" s="5"/>
    </row>
    <row r="857" spans="28:28" x14ac:dyDescent="0.25">
      <c r="AB857" s="5"/>
    </row>
    <row r="858" spans="28:28" x14ac:dyDescent="0.25">
      <c r="AB858" s="5"/>
    </row>
    <row r="859" spans="28:28" x14ac:dyDescent="0.25">
      <c r="AB859" s="5"/>
    </row>
    <row r="860" spans="28:28" x14ac:dyDescent="0.25">
      <c r="AB860" s="5"/>
    </row>
    <row r="861" spans="28:28" x14ac:dyDescent="0.25">
      <c r="AB861" s="5"/>
    </row>
    <row r="862" spans="28:28" x14ac:dyDescent="0.25">
      <c r="AB862" s="5"/>
    </row>
    <row r="863" spans="28:28" x14ac:dyDescent="0.25">
      <c r="AB863" s="5"/>
    </row>
    <row r="864" spans="28:28" x14ac:dyDescent="0.25">
      <c r="AB864" s="5"/>
    </row>
    <row r="865" spans="28:28" x14ac:dyDescent="0.25">
      <c r="AB865" s="5"/>
    </row>
    <row r="866" spans="28:28" x14ac:dyDescent="0.25">
      <c r="AB866" s="5"/>
    </row>
    <row r="867" spans="28:28" x14ac:dyDescent="0.25">
      <c r="AB867" s="5"/>
    </row>
    <row r="868" spans="28:28" x14ac:dyDescent="0.25">
      <c r="AB868" s="5"/>
    </row>
    <row r="869" spans="28:28" x14ac:dyDescent="0.25">
      <c r="AB869" s="5"/>
    </row>
    <row r="870" spans="28:28" x14ac:dyDescent="0.25">
      <c r="AB870" s="5"/>
    </row>
    <row r="871" spans="28:28" x14ac:dyDescent="0.25">
      <c r="AB871" s="5"/>
    </row>
    <row r="872" spans="28:28" x14ac:dyDescent="0.25">
      <c r="AB872" s="5"/>
    </row>
    <row r="873" spans="28:28" x14ac:dyDescent="0.25">
      <c r="AB873" s="5"/>
    </row>
    <row r="874" spans="28:28" x14ac:dyDescent="0.25">
      <c r="AB874" s="5"/>
    </row>
    <row r="875" spans="28:28" x14ac:dyDescent="0.25">
      <c r="AB875" s="5"/>
    </row>
    <row r="876" spans="28:28" x14ac:dyDescent="0.25">
      <c r="AB876" s="5"/>
    </row>
    <row r="877" spans="28:28" x14ac:dyDescent="0.25">
      <c r="AB877" s="5"/>
    </row>
    <row r="878" spans="28:28" x14ac:dyDescent="0.25">
      <c r="AB878" s="5"/>
    </row>
    <row r="879" spans="28:28" x14ac:dyDescent="0.25">
      <c r="AB879" s="5"/>
    </row>
    <row r="880" spans="28:28" x14ac:dyDescent="0.25">
      <c r="AB880" s="5"/>
    </row>
    <row r="881" spans="28:28" x14ac:dyDescent="0.25">
      <c r="AB881" s="5"/>
    </row>
    <row r="882" spans="28:28" x14ac:dyDescent="0.25">
      <c r="AB882" s="5"/>
    </row>
    <row r="883" spans="28:28" x14ac:dyDescent="0.25">
      <c r="AB883" s="5"/>
    </row>
    <row r="884" spans="28:28" x14ac:dyDescent="0.25">
      <c r="AB884" s="5"/>
    </row>
    <row r="885" spans="28:28" x14ac:dyDescent="0.25">
      <c r="AB885" s="5"/>
    </row>
    <row r="886" spans="28:28" x14ac:dyDescent="0.25">
      <c r="AB886" s="5"/>
    </row>
    <row r="887" spans="28:28" x14ac:dyDescent="0.25">
      <c r="AB887" s="5"/>
    </row>
    <row r="888" spans="28:28" x14ac:dyDescent="0.25">
      <c r="AB888" s="5"/>
    </row>
    <row r="889" spans="28:28" x14ac:dyDescent="0.25">
      <c r="AB889" s="5"/>
    </row>
    <row r="890" spans="28:28" x14ac:dyDescent="0.25">
      <c r="AB890" s="5"/>
    </row>
    <row r="891" spans="28:28" x14ac:dyDescent="0.25">
      <c r="AB891" s="5"/>
    </row>
    <row r="892" spans="28:28" x14ac:dyDescent="0.25">
      <c r="AB892" s="5"/>
    </row>
    <row r="893" spans="28:28" x14ac:dyDescent="0.25">
      <c r="AB893" s="5"/>
    </row>
    <row r="894" spans="28:28" x14ac:dyDescent="0.25">
      <c r="AB894" s="5"/>
    </row>
    <row r="895" spans="28:28" x14ac:dyDescent="0.25">
      <c r="AB895" s="5"/>
    </row>
    <row r="896" spans="28:28" x14ac:dyDescent="0.25">
      <c r="AB896" s="5"/>
    </row>
    <row r="897" spans="28:28" x14ac:dyDescent="0.25">
      <c r="AB897" s="5"/>
    </row>
    <row r="898" spans="28:28" x14ac:dyDescent="0.25">
      <c r="AB898" s="5"/>
    </row>
    <row r="899" spans="28:28" x14ac:dyDescent="0.25">
      <c r="AB899" s="5"/>
    </row>
    <row r="900" spans="28:28" x14ac:dyDescent="0.25">
      <c r="AB900" s="5"/>
    </row>
    <row r="901" spans="28:28" x14ac:dyDescent="0.25">
      <c r="AB901" s="5"/>
    </row>
    <row r="902" spans="28:28" x14ac:dyDescent="0.25">
      <c r="AB902" s="5"/>
    </row>
    <row r="903" spans="28:28" x14ac:dyDescent="0.25">
      <c r="AB903" s="5"/>
    </row>
    <row r="904" spans="28:28" x14ac:dyDescent="0.25">
      <c r="AB904" s="5"/>
    </row>
    <row r="905" spans="28:28" x14ac:dyDescent="0.25">
      <c r="AB905" s="5"/>
    </row>
    <row r="906" spans="28:28" x14ac:dyDescent="0.25">
      <c r="AB906" s="5"/>
    </row>
    <row r="907" spans="28:28" x14ac:dyDescent="0.25">
      <c r="AB907" s="5"/>
    </row>
    <row r="908" spans="28:28" x14ac:dyDescent="0.25">
      <c r="AB908" s="5"/>
    </row>
    <row r="909" spans="28:28" x14ac:dyDescent="0.25">
      <c r="AB909" s="5"/>
    </row>
    <row r="910" spans="28:28" x14ac:dyDescent="0.25">
      <c r="AB910" s="5"/>
    </row>
    <row r="911" spans="28:28" x14ac:dyDescent="0.25">
      <c r="AB911" s="5"/>
    </row>
    <row r="912" spans="28:28" x14ac:dyDescent="0.25">
      <c r="AB912" s="5"/>
    </row>
    <row r="913" spans="28:28" x14ac:dyDescent="0.25">
      <c r="AB913" s="5"/>
    </row>
    <row r="914" spans="28:28" x14ac:dyDescent="0.25">
      <c r="AB914" s="5"/>
    </row>
    <row r="915" spans="28:28" x14ac:dyDescent="0.25">
      <c r="AB915" s="5"/>
    </row>
    <row r="916" spans="28:28" x14ac:dyDescent="0.25">
      <c r="AB916" s="5"/>
    </row>
    <row r="917" spans="28:28" x14ac:dyDescent="0.25">
      <c r="AB917" s="5"/>
    </row>
    <row r="918" spans="28:28" x14ac:dyDescent="0.25">
      <c r="AB918" s="5"/>
    </row>
    <row r="919" spans="28:28" x14ac:dyDescent="0.25">
      <c r="AB919" s="5"/>
    </row>
    <row r="920" spans="28:28" x14ac:dyDescent="0.25">
      <c r="AB920" s="5"/>
    </row>
    <row r="921" spans="28:28" x14ac:dyDescent="0.25">
      <c r="AB921" s="5"/>
    </row>
    <row r="922" spans="28:28" x14ac:dyDescent="0.25">
      <c r="AB922" s="5"/>
    </row>
    <row r="923" spans="28:28" x14ac:dyDescent="0.25">
      <c r="AB923" s="5"/>
    </row>
    <row r="924" spans="28:28" x14ac:dyDescent="0.25">
      <c r="AB924" s="5"/>
    </row>
    <row r="925" spans="28:28" x14ac:dyDescent="0.25">
      <c r="AB925" s="5"/>
    </row>
    <row r="926" spans="28:28" x14ac:dyDescent="0.25">
      <c r="AB926" s="5"/>
    </row>
    <row r="927" spans="28:28" x14ac:dyDescent="0.25">
      <c r="AB927" s="5"/>
    </row>
    <row r="928" spans="28:28" x14ac:dyDescent="0.25">
      <c r="AB928" s="5"/>
    </row>
    <row r="929" spans="28:28" x14ac:dyDescent="0.25">
      <c r="AB929" s="5"/>
    </row>
    <row r="930" spans="28:28" x14ac:dyDescent="0.25">
      <c r="AB930" s="5"/>
    </row>
    <row r="931" spans="28:28" x14ac:dyDescent="0.25">
      <c r="AB931" s="5"/>
    </row>
    <row r="932" spans="28:28" x14ac:dyDescent="0.25">
      <c r="AB932" s="5"/>
    </row>
    <row r="933" spans="28:28" x14ac:dyDescent="0.25">
      <c r="AB933" s="5"/>
    </row>
    <row r="934" spans="28:28" x14ac:dyDescent="0.25">
      <c r="AB934" s="5"/>
    </row>
    <row r="935" spans="28:28" x14ac:dyDescent="0.25">
      <c r="AB935" s="5"/>
    </row>
    <row r="936" spans="28:28" x14ac:dyDescent="0.25">
      <c r="AB936" s="5"/>
    </row>
    <row r="937" spans="28:28" x14ac:dyDescent="0.25">
      <c r="AB937" s="5"/>
    </row>
    <row r="938" spans="28:28" x14ac:dyDescent="0.25">
      <c r="AB938" s="5"/>
    </row>
    <row r="939" spans="28:28" x14ac:dyDescent="0.25">
      <c r="AB939" s="5"/>
    </row>
    <row r="940" spans="28:28" x14ac:dyDescent="0.25">
      <c r="AB940" s="5"/>
    </row>
    <row r="941" spans="28:28" x14ac:dyDescent="0.25">
      <c r="AB941" s="5"/>
    </row>
    <row r="942" spans="28:28" x14ac:dyDescent="0.25">
      <c r="AB942" s="5"/>
    </row>
    <row r="943" spans="28:28" x14ac:dyDescent="0.25">
      <c r="AB943" s="5"/>
    </row>
    <row r="944" spans="28:28" x14ac:dyDescent="0.25">
      <c r="AB944" s="5"/>
    </row>
    <row r="945" spans="28:28" x14ac:dyDescent="0.25">
      <c r="AB945" s="5"/>
    </row>
    <row r="946" spans="28:28" x14ac:dyDescent="0.25">
      <c r="AB946" s="5"/>
    </row>
    <row r="947" spans="28:28" x14ac:dyDescent="0.25">
      <c r="AB947" s="5"/>
    </row>
    <row r="948" spans="28:28" x14ac:dyDescent="0.25">
      <c r="AB948" s="5"/>
    </row>
    <row r="949" spans="28:28" x14ac:dyDescent="0.25">
      <c r="AB949" s="5"/>
    </row>
    <row r="950" spans="28:28" x14ac:dyDescent="0.25">
      <c r="AB950" s="5"/>
    </row>
    <row r="951" spans="28:28" x14ac:dyDescent="0.25">
      <c r="AB951" s="5"/>
    </row>
    <row r="952" spans="28:28" x14ac:dyDescent="0.25">
      <c r="AB952" s="5"/>
    </row>
    <row r="953" spans="28:28" x14ac:dyDescent="0.25">
      <c r="AB953" s="5"/>
    </row>
    <row r="954" spans="28:28" x14ac:dyDescent="0.25">
      <c r="AB954" s="5"/>
    </row>
    <row r="955" spans="28:28" x14ac:dyDescent="0.25">
      <c r="AB955" s="5"/>
    </row>
    <row r="956" spans="28:28" x14ac:dyDescent="0.25">
      <c r="AB956" s="5"/>
    </row>
    <row r="957" spans="28:28" x14ac:dyDescent="0.25">
      <c r="AB957" s="5"/>
    </row>
    <row r="958" spans="28:28" x14ac:dyDescent="0.25">
      <c r="AB958" s="5"/>
    </row>
    <row r="959" spans="28:28" x14ac:dyDescent="0.25">
      <c r="AB959" s="5"/>
    </row>
    <row r="960" spans="28:28" x14ac:dyDescent="0.25">
      <c r="AB960" s="5"/>
    </row>
    <row r="961" spans="28:28" x14ac:dyDescent="0.25">
      <c r="AB961" s="5"/>
    </row>
    <row r="962" spans="28:28" x14ac:dyDescent="0.25">
      <c r="AB962" s="5"/>
    </row>
    <row r="963" spans="28:28" x14ac:dyDescent="0.25">
      <c r="AB963" s="5"/>
    </row>
    <row r="964" spans="28:28" x14ac:dyDescent="0.25">
      <c r="AB964" s="5"/>
    </row>
    <row r="965" spans="28:28" x14ac:dyDescent="0.25">
      <c r="AB965" s="5"/>
    </row>
    <row r="966" spans="28:28" x14ac:dyDescent="0.25">
      <c r="AB966" s="5"/>
    </row>
    <row r="967" spans="28:28" x14ac:dyDescent="0.25">
      <c r="AB967" s="5"/>
    </row>
    <row r="968" spans="28:28" x14ac:dyDescent="0.25">
      <c r="AB968" s="5"/>
    </row>
    <row r="969" spans="28:28" x14ac:dyDescent="0.25">
      <c r="AB969" s="5"/>
    </row>
    <row r="970" spans="28:28" x14ac:dyDescent="0.25">
      <c r="AB970" s="5"/>
    </row>
    <row r="971" spans="28:28" x14ac:dyDescent="0.25">
      <c r="AB971" s="5"/>
    </row>
    <row r="972" spans="28:28" x14ac:dyDescent="0.25">
      <c r="AB972" s="5"/>
    </row>
    <row r="973" spans="28:28" x14ac:dyDescent="0.25">
      <c r="AB973" s="5"/>
    </row>
    <row r="974" spans="28:28" x14ac:dyDescent="0.25">
      <c r="AB974" s="5"/>
    </row>
    <row r="975" spans="28:28" x14ac:dyDescent="0.25">
      <c r="AB975" s="5"/>
    </row>
    <row r="976" spans="28:28" x14ac:dyDescent="0.25">
      <c r="AB976" s="5"/>
    </row>
    <row r="977" spans="28:28" x14ac:dyDescent="0.25">
      <c r="AB977" s="5"/>
    </row>
    <row r="978" spans="28:28" x14ac:dyDescent="0.25">
      <c r="AB978" s="5"/>
    </row>
    <row r="979" spans="28:28" x14ac:dyDescent="0.25">
      <c r="AB979" s="5"/>
    </row>
    <row r="980" spans="28:28" x14ac:dyDescent="0.25">
      <c r="AB980" s="5"/>
    </row>
    <row r="981" spans="28:28" x14ac:dyDescent="0.25">
      <c r="AB981" s="5"/>
    </row>
    <row r="982" spans="28:28" x14ac:dyDescent="0.25">
      <c r="AB982" s="5"/>
    </row>
    <row r="983" spans="28:28" x14ac:dyDescent="0.25">
      <c r="AB983" s="5"/>
    </row>
    <row r="984" spans="28:28" x14ac:dyDescent="0.25">
      <c r="AB984" s="5"/>
    </row>
    <row r="985" spans="28:28" x14ac:dyDescent="0.25">
      <c r="AB985" s="5"/>
    </row>
    <row r="986" spans="28:28" x14ac:dyDescent="0.25">
      <c r="AB986" s="5"/>
    </row>
    <row r="987" spans="28:28" x14ac:dyDescent="0.25">
      <c r="AB987" s="5"/>
    </row>
    <row r="988" spans="28:28" x14ac:dyDescent="0.25">
      <c r="AB988" s="5"/>
    </row>
    <row r="989" spans="28:28" x14ac:dyDescent="0.25">
      <c r="AB989" s="5"/>
    </row>
    <row r="990" spans="28:28" x14ac:dyDescent="0.25">
      <c r="AB990" s="5"/>
    </row>
    <row r="991" spans="28:28" x14ac:dyDescent="0.25">
      <c r="AB991" s="5"/>
    </row>
    <row r="992" spans="28:28" x14ac:dyDescent="0.25">
      <c r="AB992" s="5"/>
    </row>
    <row r="993" spans="28:28" x14ac:dyDescent="0.25">
      <c r="AB993" s="5"/>
    </row>
    <row r="994" spans="28:28" x14ac:dyDescent="0.25">
      <c r="AB994" s="5"/>
    </row>
    <row r="995" spans="28:28" x14ac:dyDescent="0.25">
      <c r="AB995" s="5"/>
    </row>
    <row r="996" spans="28:28" x14ac:dyDescent="0.25">
      <c r="AB996" s="5"/>
    </row>
    <row r="997" spans="28:28" x14ac:dyDescent="0.25">
      <c r="AB997" s="5"/>
    </row>
    <row r="998" spans="28:28" x14ac:dyDescent="0.25">
      <c r="AB998" s="5"/>
    </row>
    <row r="999" spans="28:28" x14ac:dyDescent="0.25">
      <c r="AB999" s="5"/>
    </row>
    <row r="1000" spans="28:28" x14ac:dyDescent="0.25">
      <c r="AB1000" s="5"/>
    </row>
    <row r="1001" spans="28:28" x14ac:dyDescent="0.25">
      <c r="AB1001" s="5"/>
    </row>
    <row r="1002" spans="28:28" x14ac:dyDescent="0.25">
      <c r="AB1002" s="5"/>
    </row>
    <row r="1003" spans="28:28" x14ac:dyDescent="0.25">
      <c r="AB1003" s="5"/>
    </row>
    <row r="1004" spans="28:28" x14ac:dyDescent="0.25">
      <c r="AB1004" s="5"/>
    </row>
    <row r="1005" spans="28:28" x14ac:dyDescent="0.25">
      <c r="AB1005" s="5"/>
    </row>
    <row r="1006" spans="28:28" x14ac:dyDescent="0.25">
      <c r="AB1006" s="5"/>
    </row>
    <row r="1007" spans="28:28" x14ac:dyDescent="0.25">
      <c r="AB1007" s="5"/>
    </row>
    <row r="1008" spans="28:28" x14ac:dyDescent="0.25">
      <c r="AB1008" s="5"/>
    </row>
    <row r="1009" spans="28:28" x14ac:dyDescent="0.25">
      <c r="AB1009" s="5"/>
    </row>
    <row r="1010" spans="28:28" x14ac:dyDescent="0.25">
      <c r="AB1010" s="5"/>
    </row>
    <row r="1011" spans="28:28" x14ac:dyDescent="0.25">
      <c r="AB1011" s="5"/>
    </row>
    <row r="1012" spans="28:28" x14ac:dyDescent="0.25">
      <c r="AB1012" s="5"/>
    </row>
    <row r="1013" spans="28:28" x14ac:dyDescent="0.25">
      <c r="AB1013" s="5"/>
    </row>
    <row r="1014" spans="28:28" x14ac:dyDescent="0.25">
      <c r="AB1014" s="5"/>
    </row>
    <row r="1015" spans="28:28" x14ac:dyDescent="0.25">
      <c r="AB1015" s="5"/>
    </row>
    <row r="1016" spans="28:28" x14ac:dyDescent="0.25">
      <c r="AB1016" s="5"/>
    </row>
    <row r="1017" spans="28:28" x14ac:dyDescent="0.25">
      <c r="AB1017" s="5"/>
    </row>
    <row r="1018" spans="28:28" x14ac:dyDescent="0.25">
      <c r="AB1018" s="5"/>
    </row>
    <row r="1019" spans="28:28" x14ac:dyDescent="0.25">
      <c r="AB1019" s="5"/>
    </row>
    <row r="1020" spans="28:28" x14ac:dyDescent="0.25">
      <c r="AB1020" s="5"/>
    </row>
    <row r="1021" spans="28:28" x14ac:dyDescent="0.25">
      <c r="AB1021" s="5"/>
    </row>
    <row r="1022" spans="28:28" x14ac:dyDescent="0.25">
      <c r="AB1022" s="5"/>
    </row>
    <row r="1023" spans="28:28" x14ac:dyDescent="0.25">
      <c r="AB1023" s="5"/>
    </row>
    <row r="1024" spans="28:28" x14ac:dyDescent="0.25">
      <c r="AB1024" s="5"/>
    </row>
    <row r="1025" spans="28:28" x14ac:dyDescent="0.25">
      <c r="AB1025" s="5"/>
    </row>
    <row r="1026" spans="28:28" x14ac:dyDescent="0.25">
      <c r="AB1026" s="5"/>
    </row>
    <row r="1027" spans="28:28" x14ac:dyDescent="0.25">
      <c r="AB1027" s="5"/>
    </row>
    <row r="1028" spans="28:28" x14ac:dyDescent="0.25">
      <c r="AB1028" s="5"/>
    </row>
    <row r="1029" spans="28:28" x14ac:dyDescent="0.25">
      <c r="AB1029" s="5"/>
    </row>
    <row r="1030" spans="28:28" x14ac:dyDescent="0.25">
      <c r="AB1030" s="5"/>
    </row>
    <row r="1031" spans="28:28" x14ac:dyDescent="0.25">
      <c r="AB1031" s="5"/>
    </row>
    <row r="1032" spans="28:28" x14ac:dyDescent="0.25">
      <c r="AB1032" s="5"/>
    </row>
    <row r="1033" spans="28:28" x14ac:dyDescent="0.25">
      <c r="AB1033" s="5"/>
    </row>
    <row r="1034" spans="28:28" x14ac:dyDescent="0.25">
      <c r="AB1034" s="5"/>
    </row>
    <row r="1035" spans="28:28" x14ac:dyDescent="0.25">
      <c r="AB1035" s="5"/>
    </row>
    <row r="1036" spans="28:28" x14ac:dyDescent="0.25">
      <c r="AB1036" s="5"/>
    </row>
    <row r="1037" spans="28:28" x14ac:dyDescent="0.25">
      <c r="AB1037" s="5"/>
    </row>
    <row r="1038" spans="28:28" x14ac:dyDescent="0.25">
      <c r="AB1038" s="5"/>
    </row>
    <row r="1039" spans="28:28" x14ac:dyDescent="0.25">
      <c r="AB1039" s="5"/>
    </row>
    <row r="1040" spans="28:28" x14ac:dyDescent="0.25">
      <c r="AB1040" s="5"/>
    </row>
    <row r="1041" spans="28:28" x14ac:dyDescent="0.25">
      <c r="AB1041" s="5"/>
    </row>
    <row r="1042" spans="28:28" x14ac:dyDescent="0.25">
      <c r="AB1042" s="5"/>
    </row>
    <row r="1043" spans="28:28" x14ac:dyDescent="0.25">
      <c r="AB1043" s="5"/>
    </row>
    <row r="1044" spans="28:28" x14ac:dyDescent="0.25">
      <c r="AB1044" s="5"/>
    </row>
    <row r="1045" spans="28:28" x14ac:dyDescent="0.25">
      <c r="AB1045" s="5"/>
    </row>
    <row r="1046" spans="28:28" x14ac:dyDescent="0.25">
      <c r="AB1046" s="5"/>
    </row>
    <row r="1047" spans="28:28" x14ac:dyDescent="0.25">
      <c r="AB1047" s="5"/>
    </row>
    <row r="1048" spans="28:28" x14ac:dyDescent="0.25">
      <c r="AB1048" s="5"/>
    </row>
    <row r="1049" spans="28:28" x14ac:dyDescent="0.25">
      <c r="AB1049" s="5"/>
    </row>
    <row r="1050" spans="28:28" x14ac:dyDescent="0.25">
      <c r="AB1050" s="5"/>
    </row>
    <row r="1051" spans="28:28" x14ac:dyDescent="0.25">
      <c r="AB1051" s="5"/>
    </row>
    <row r="1052" spans="28:28" x14ac:dyDescent="0.25">
      <c r="AB1052" s="5"/>
    </row>
    <row r="1053" spans="28:28" x14ac:dyDescent="0.25">
      <c r="AB1053" s="5"/>
    </row>
    <row r="1054" spans="28:28" x14ac:dyDescent="0.25">
      <c r="AB1054" s="5"/>
    </row>
    <row r="1055" spans="28:28" x14ac:dyDescent="0.25">
      <c r="AB1055" s="5"/>
    </row>
    <row r="1056" spans="28:28" x14ac:dyDescent="0.25">
      <c r="AB1056" s="5"/>
    </row>
    <row r="1057" spans="28:28" x14ac:dyDescent="0.25">
      <c r="AB1057" s="5"/>
    </row>
    <row r="1058" spans="28:28" x14ac:dyDescent="0.25">
      <c r="AB1058" s="5"/>
    </row>
    <row r="1059" spans="28:28" x14ac:dyDescent="0.25">
      <c r="AB1059" s="5"/>
    </row>
    <row r="1060" spans="28:28" x14ac:dyDescent="0.25">
      <c r="AB1060" s="5"/>
    </row>
    <row r="1061" spans="28:28" x14ac:dyDescent="0.25">
      <c r="AB1061" s="5"/>
    </row>
    <row r="1062" spans="28:28" x14ac:dyDescent="0.25">
      <c r="AB1062" s="5"/>
    </row>
    <row r="1063" spans="28:28" x14ac:dyDescent="0.25">
      <c r="AB1063" s="5"/>
    </row>
    <row r="1064" spans="28:28" x14ac:dyDescent="0.25">
      <c r="AB1064" s="5"/>
    </row>
    <row r="1065" spans="28:28" x14ac:dyDescent="0.25">
      <c r="AB1065" s="5"/>
    </row>
    <row r="1066" spans="28:28" x14ac:dyDescent="0.25">
      <c r="AB1066" s="5"/>
    </row>
    <row r="1067" spans="28:28" x14ac:dyDescent="0.25">
      <c r="AB1067" s="5"/>
    </row>
    <row r="1068" spans="28:28" x14ac:dyDescent="0.25">
      <c r="AB1068" s="5"/>
    </row>
    <row r="1069" spans="28:28" x14ac:dyDescent="0.25">
      <c r="AB1069" s="5"/>
    </row>
    <row r="1070" spans="28:28" x14ac:dyDescent="0.25">
      <c r="AB1070" s="5"/>
    </row>
    <row r="1071" spans="28:28" x14ac:dyDescent="0.25">
      <c r="AB1071" s="5"/>
    </row>
    <row r="1072" spans="28:28" x14ac:dyDescent="0.25">
      <c r="AB1072" s="5"/>
    </row>
    <row r="1073" spans="28:28" x14ac:dyDescent="0.25">
      <c r="AB1073" s="5"/>
    </row>
    <row r="1074" spans="28:28" x14ac:dyDescent="0.25">
      <c r="AB1074" s="5"/>
    </row>
    <row r="1075" spans="28:28" x14ac:dyDescent="0.25">
      <c r="AB1075" s="5"/>
    </row>
    <row r="1076" spans="28:28" x14ac:dyDescent="0.25">
      <c r="AB1076" s="5"/>
    </row>
    <row r="1077" spans="28:28" x14ac:dyDescent="0.25">
      <c r="AB1077" s="5"/>
    </row>
    <row r="1078" spans="28:28" x14ac:dyDescent="0.25">
      <c r="AB1078" s="5"/>
    </row>
    <row r="1079" spans="28:28" x14ac:dyDescent="0.25">
      <c r="AB1079" s="5"/>
    </row>
    <row r="1080" spans="28:28" x14ac:dyDescent="0.25">
      <c r="AB1080" s="5"/>
    </row>
    <row r="1081" spans="28:28" x14ac:dyDescent="0.25">
      <c r="AB1081" s="5"/>
    </row>
    <row r="1082" spans="28:28" x14ac:dyDescent="0.25">
      <c r="AB1082" s="5"/>
    </row>
    <row r="1083" spans="28:28" x14ac:dyDescent="0.25">
      <c r="AB1083" s="5"/>
    </row>
    <row r="1084" spans="28:28" x14ac:dyDescent="0.25">
      <c r="AB1084" s="5"/>
    </row>
    <row r="1085" spans="28:28" x14ac:dyDescent="0.25">
      <c r="AB1085" s="5"/>
    </row>
    <row r="1086" spans="28:28" x14ac:dyDescent="0.25">
      <c r="AB1086" s="5"/>
    </row>
    <row r="1087" spans="28:28" x14ac:dyDescent="0.25">
      <c r="AB1087" s="5"/>
    </row>
    <row r="1088" spans="28:28" x14ac:dyDescent="0.25">
      <c r="AB1088" s="5"/>
    </row>
    <row r="1089" spans="28:28" x14ac:dyDescent="0.25">
      <c r="AB1089" s="5"/>
    </row>
    <row r="1090" spans="28:28" x14ac:dyDescent="0.25">
      <c r="AB1090" s="5"/>
    </row>
    <row r="1091" spans="28:28" x14ac:dyDescent="0.25">
      <c r="AB1091" s="5"/>
    </row>
    <row r="1092" spans="28:28" x14ac:dyDescent="0.25">
      <c r="AB1092" s="5"/>
    </row>
    <row r="1093" spans="28:28" x14ac:dyDescent="0.25">
      <c r="AB1093" s="5"/>
    </row>
    <row r="1094" spans="28:28" x14ac:dyDescent="0.25">
      <c r="AB1094" s="5"/>
    </row>
    <row r="1095" spans="28:28" x14ac:dyDescent="0.25">
      <c r="AB1095" s="5"/>
    </row>
    <row r="1096" spans="28:28" x14ac:dyDescent="0.25">
      <c r="AB1096" s="5"/>
    </row>
    <row r="1097" spans="28:28" x14ac:dyDescent="0.25">
      <c r="AB1097" s="5"/>
    </row>
    <row r="1098" spans="28:28" x14ac:dyDescent="0.25">
      <c r="AB1098" s="5"/>
    </row>
    <row r="1099" spans="28:28" x14ac:dyDescent="0.25">
      <c r="AB1099" s="5"/>
    </row>
    <row r="1100" spans="28:28" x14ac:dyDescent="0.25">
      <c r="AB1100" s="5"/>
    </row>
    <row r="1101" spans="28:28" x14ac:dyDescent="0.25">
      <c r="AB1101" s="5"/>
    </row>
    <row r="1102" spans="28:28" x14ac:dyDescent="0.25">
      <c r="AB1102" s="5"/>
    </row>
    <row r="1103" spans="28:28" x14ac:dyDescent="0.25">
      <c r="AB1103" s="5"/>
    </row>
    <row r="1104" spans="28:28" x14ac:dyDescent="0.25">
      <c r="AB1104" s="5"/>
    </row>
    <row r="1105" spans="28:28" x14ac:dyDescent="0.25">
      <c r="AB1105" s="5"/>
    </row>
    <row r="1106" spans="28:28" x14ac:dyDescent="0.25">
      <c r="AB1106" s="5"/>
    </row>
    <row r="1107" spans="28:28" x14ac:dyDescent="0.25">
      <c r="AB1107" s="5"/>
    </row>
    <row r="1108" spans="28:28" x14ac:dyDescent="0.25">
      <c r="AB1108" s="5"/>
    </row>
    <row r="1109" spans="28:28" x14ac:dyDescent="0.25">
      <c r="AB1109" s="5"/>
    </row>
    <row r="1110" spans="28:28" x14ac:dyDescent="0.25">
      <c r="AB1110" s="5"/>
    </row>
    <row r="1111" spans="28:28" x14ac:dyDescent="0.25">
      <c r="AB1111" s="5"/>
    </row>
    <row r="1112" spans="28:28" x14ac:dyDescent="0.25">
      <c r="AB1112" s="5"/>
    </row>
    <row r="1113" spans="28:28" x14ac:dyDescent="0.25">
      <c r="AB1113" s="5"/>
    </row>
    <row r="1114" spans="28:28" x14ac:dyDescent="0.25">
      <c r="AB1114" s="5"/>
    </row>
    <row r="1115" spans="28:28" x14ac:dyDescent="0.25">
      <c r="AB1115" s="5"/>
    </row>
    <row r="1116" spans="28:28" x14ac:dyDescent="0.25">
      <c r="AB1116" s="5"/>
    </row>
    <row r="1117" spans="28:28" x14ac:dyDescent="0.25">
      <c r="AB1117" s="5"/>
    </row>
    <row r="1118" spans="28:28" x14ac:dyDescent="0.25">
      <c r="AB1118" s="5"/>
    </row>
    <row r="1119" spans="28:28" x14ac:dyDescent="0.25">
      <c r="AB1119" s="5"/>
    </row>
    <row r="1120" spans="28:28" x14ac:dyDescent="0.25">
      <c r="AB1120" s="5"/>
    </row>
    <row r="1121" spans="28:28" x14ac:dyDescent="0.25">
      <c r="AB1121" s="5"/>
    </row>
    <row r="1122" spans="28:28" x14ac:dyDescent="0.25">
      <c r="AB1122" s="5"/>
    </row>
    <row r="1123" spans="28:28" x14ac:dyDescent="0.25">
      <c r="AB1123" s="5"/>
    </row>
    <row r="1124" spans="28:28" x14ac:dyDescent="0.25">
      <c r="AB1124" s="5"/>
    </row>
    <row r="1125" spans="28:28" x14ac:dyDescent="0.25">
      <c r="AB1125" s="5"/>
    </row>
    <row r="1126" spans="28:28" x14ac:dyDescent="0.25">
      <c r="AB1126" s="5"/>
    </row>
    <row r="1127" spans="28:28" x14ac:dyDescent="0.25">
      <c r="AB1127" s="5"/>
    </row>
    <row r="1128" spans="28:28" x14ac:dyDescent="0.25">
      <c r="AB1128" s="5"/>
    </row>
    <row r="1129" spans="28:28" x14ac:dyDescent="0.25">
      <c r="AB1129" s="5"/>
    </row>
    <row r="1130" spans="28:28" x14ac:dyDescent="0.25">
      <c r="AB1130" s="5"/>
    </row>
    <row r="1131" spans="28:28" x14ac:dyDescent="0.25">
      <c r="AB1131" s="5"/>
    </row>
    <row r="1132" spans="28:28" x14ac:dyDescent="0.25">
      <c r="AB1132" s="5"/>
    </row>
    <row r="1133" spans="28:28" x14ac:dyDescent="0.25">
      <c r="AB1133" s="5"/>
    </row>
    <row r="1134" spans="28:28" x14ac:dyDescent="0.25">
      <c r="AB1134" s="5"/>
    </row>
    <row r="1135" spans="28:28" x14ac:dyDescent="0.25">
      <c r="AB1135" s="5"/>
    </row>
    <row r="1136" spans="28:28" x14ac:dyDescent="0.25">
      <c r="AB1136" s="5"/>
    </row>
    <row r="1137" spans="28:28" x14ac:dyDescent="0.25">
      <c r="AB1137" s="5"/>
    </row>
    <row r="1138" spans="28:28" x14ac:dyDescent="0.25">
      <c r="AB1138" s="5"/>
    </row>
    <row r="1139" spans="28:28" x14ac:dyDescent="0.25">
      <c r="AB1139" s="5"/>
    </row>
    <row r="1140" spans="28:28" x14ac:dyDescent="0.25">
      <c r="AB1140" s="5"/>
    </row>
    <row r="1141" spans="28:28" x14ac:dyDescent="0.25">
      <c r="AB1141" s="5"/>
    </row>
    <row r="1142" spans="28:28" x14ac:dyDescent="0.25">
      <c r="AB1142" s="5"/>
    </row>
    <row r="1143" spans="28:28" x14ac:dyDescent="0.25">
      <c r="AB1143" s="5"/>
    </row>
    <row r="1144" spans="28:28" x14ac:dyDescent="0.25">
      <c r="AB1144" s="5"/>
    </row>
    <row r="1145" spans="28:28" x14ac:dyDescent="0.25">
      <c r="AB1145" s="5"/>
    </row>
    <row r="1146" spans="28:28" x14ac:dyDescent="0.25">
      <c r="AB1146" s="5"/>
    </row>
    <row r="1147" spans="28:28" x14ac:dyDescent="0.25">
      <c r="AB1147" s="5"/>
    </row>
    <row r="1148" spans="28:28" x14ac:dyDescent="0.25">
      <c r="AB1148" s="5"/>
    </row>
    <row r="1149" spans="28:28" x14ac:dyDescent="0.25">
      <c r="AB1149" s="5"/>
    </row>
    <row r="1150" spans="28:28" x14ac:dyDescent="0.25">
      <c r="AB1150" s="5"/>
    </row>
    <row r="1151" spans="28:28" x14ac:dyDescent="0.25">
      <c r="AB1151" s="5"/>
    </row>
    <row r="1152" spans="28:28" x14ac:dyDescent="0.25">
      <c r="AB1152" s="5"/>
    </row>
    <row r="1153" spans="28:28" x14ac:dyDescent="0.25">
      <c r="AB1153" s="5"/>
    </row>
    <row r="1154" spans="28:28" x14ac:dyDescent="0.25">
      <c r="AB1154" s="5"/>
    </row>
    <row r="1155" spans="28:28" x14ac:dyDescent="0.25">
      <c r="AB1155" s="5"/>
    </row>
    <row r="1156" spans="28:28" x14ac:dyDescent="0.25">
      <c r="AB1156" s="5"/>
    </row>
    <row r="1157" spans="28:28" x14ac:dyDescent="0.25">
      <c r="AB1157" s="5"/>
    </row>
    <row r="1158" spans="28:28" x14ac:dyDescent="0.25">
      <c r="AB1158" s="5"/>
    </row>
    <row r="1159" spans="28:28" x14ac:dyDescent="0.25">
      <c r="AB1159" s="5"/>
    </row>
    <row r="1160" spans="28:28" x14ac:dyDescent="0.25">
      <c r="AB1160" s="5"/>
    </row>
    <row r="1161" spans="28:28" x14ac:dyDescent="0.25">
      <c r="AB1161" s="5"/>
    </row>
    <row r="1162" spans="28:28" x14ac:dyDescent="0.25">
      <c r="AB1162" s="5"/>
    </row>
    <row r="1163" spans="28:28" x14ac:dyDescent="0.25">
      <c r="AB1163" s="5"/>
    </row>
    <row r="1164" spans="28:28" x14ac:dyDescent="0.25">
      <c r="AB1164" s="5"/>
    </row>
    <row r="1165" spans="28:28" x14ac:dyDescent="0.25">
      <c r="AB1165" s="5"/>
    </row>
    <row r="1166" spans="28:28" x14ac:dyDescent="0.25">
      <c r="AB1166" s="5"/>
    </row>
    <row r="1167" spans="28:28" x14ac:dyDescent="0.25">
      <c r="AB1167" s="5"/>
    </row>
    <row r="1168" spans="28:28" x14ac:dyDescent="0.25">
      <c r="AB1168" s="5"/>
    </row>
    <row r="1169" spans="28:28" x14ac:dyDescent="0.25">
      <c r="AB1169" s="5"/>
    </row>
    <row r="1170" spans="28:28" x14ac:dyDescent="0.25">
      <c r="AB1170" s="5"/>
    </row>
    <row r="1171" spans="28:28" x14ac:dyDescent="0.25">
      <c r="AB1171" s="5"/>
    </row>
    <row r="1172" spans="28:28" x14ac:dyDescent="0.25">
      <c r="AB1172" s="5"/>
    </row>
    <row r="1173" spans="28:28" x14ac:dyDescent="0.25">
      <c r="AB1173" s="5"/>
    </row>
    <row r="1174" spans="28:28" x14ac:dyDescent="0.25">
      <c r="AB1174" s="5"/>
    </row>
    <row r="1175" spans="28:28" x14ac:dyDescent="0.25">
      <c r="AB1175" s="5"/>
    </row>
    <row r="1176" spans="28:28" x14ac:dyDescent="0.25">
      <c r="AB1176" s="5"/>
    </row>
    <row r="1177" spans="28:28" x14ac:dyDescent="0.25">
      <c r="AB1177" s="5"/>
    </row>
    <row r="1178" spans="28:28" x14ac:dyDescent="0.25">
      <c r="AB1178" s="5"/>
    </row>
    <row r="1179" spans="28:28" x14ac:dyDescent="0.25">
      <c r="AB1179" s="5"/>
    </row>
    <row r="1180" spans="28:28" x14ac:dyDescent="0.25">
      <c r="AB1180" s="5"/>
    </row>
    <row r="1181" spans="28:28" x14ac:dyDescent="0.25">
      <c r="AB1181" s="5"/>
    </row>
    <row r="1182" spans="28:28" x14ac:dyDescent="0.25">
      <c r="AB1182" s="5"/>
    </row>
    <row r="1183" spans="28:28" x14ac:dyDescent="0.25">
      <c r="AB1183" s="5"/>
    </row>
    <row r="1184" spans="28:28" x14ac:dyDescent="0.25">
      <c r="AB1184" s="5"/>
    </row>
    <row r="1185" spans="28:28" x14ac:dyDescent="0.25">
      <c r="AB1185" s="5"/>
    </row>
    <row r="1186" spans="28:28" x14ac:dyDescent="0.25">
      <c r="AB1186" s="5"/>
    </row>
    <row r="1187" spans="28:28" x14ac:dyDescent="0.25">
      <c r="AB1187" s="5"/>
    </row>
    <row r="1188" spans="28:28" x14ac:dyDescent="0.25">
      <c r="AB1188" s="5"/>
    </row>
    <row r="1189" spans="28:28" x14ac:dyDescent="0.25">
      <c r="AB1189" s="5"/>
    </row>
    <row r="1190" spans="28:28" x14ac:dyDescent="0.25">
      <c r="AB1190" s="5"/>
    </row>
    <row r="1191" spans="28:28" x14ac:dyDescent="0.25">
      <c r="AB1191" s="5"/>
    </row>
    <row r="1192" spans="28:28" x14ac:dyDescent="0.25">
      <c r="AB1192" s="5"/>
    </row>
    <row r="1193" spans="28:28" x14ac:dyDescent="0.25">
      <c r="AB1193" s="5"/>
    </row>
    <row r="1194" spans="28:28" x14ac:dyDescent="0.25">
      <c r="AB1194" s="5"/>
    </row>
    <row r="1195" spans="28:28" x14ac:dyDescent="0.25">
      <c r="AB1195" s="5"/>
    </row>
    <row r="1196" spans="28:28" x14ac:dyDescent="0.25">
      <c r="AB1196" s="5"/>
    </row>
    <row r="1197" spans="28:28" x14ac:dyDescent="0.25">
      <c r="AB1197" s="5"/>
    </row>
    <row r="1198" spans="28:28" x14ac:dyDescent="0.25">
      <c r="AB1198" s="5"/>
    </row>
    <row r="1199" spans="28:28" x14ac:dyDescent="0.25">
      <c r="AB1199" s="5"/>
    </row>
    <row r="1200" spans="28:28" x14ac:dyDescent="0.25">
      <c r="AB1200" s="5"/>
    </row>
    <row r="1201" spans="28:28" x14ac:dyDescent="0.25">
      <c r="AB1201" s="5"/>
    </row>
    <row r="1202" spans="28:28" x14ac:dyDescent="0.25">
      <c r="AB1202" s="5"/>
    </row>
    <row r="1203" spans="28:28" x14ac:dyDescent="0.25">
      <c r="AB1203" s="5"/>
    </row>
    <row r="1204" spans="28:28" x14ac:dyDescent="0.25">
      <c r="AB1204" s="5"/>
    </row>
    <row r="1205" spans="28:28" x14ac:dyDescent="0.25">
      <c r="AB1205" s="5"/>
    </row>
    <row r="1206" spans="28:28" x14ac:dyDescent="0.25">
      <c r="AB1206" s="5"/>
    </row>
    <row r="1207" spans="28:28" x14ac:dyDescent="0.25">
      <c r="AB1207" s="5"/>
    </row>
    <row r="1208" spans="28:28" x14ac:dyDescent="0.25">
      <c r="AB1208" s="5"/>
    </row>
    <row r="1209" spans="28:28" x14ac:dyDescent="0.25">
      <c r="AB1209" s="5"/>
    </row>
    <row r="1210" spans="28:28" x14ac:dyDescent="0.25">
      <c r="AB1210" s="5"/>
    </row>
    <row r="1211" spans="28:28" x14ac:dyDescent="0.25">
      <c r="AB1211" s="5"/>
    </row>
    <row r="1212" spans="28:28" x14ac:dyDescent="0.25">
      <c r="AB1212" s="5"/>
    </row>
    <row r="1213" spans="28:28" x14ac:dyDescent="0.25">
      <c r="AB1213" s="5"/>
    </row>
    <row r="1214" spans="28:28" x14ac:dyDescent="0.25">
      <c r="AB1214" s="5"/>
    </row>
    <row r="1215" spans="28:28" x14ac:dyDescent="0.25">
      <c r="AB1215" s="5"/>
    </row>
    <row r="1216" spans="28:28" x14ac:dyDescent="0.25">
      <c r="AB1216" s="5"/>
    </row>
    <row r="1217" spans="28:28" x14ac:dyDescent="0.25">
      <c r="AB1217" s="5"/>
    </row>
    <row r="1218" spans="28:28" x14ac:dyDescent="0.25">
      <c r="AB1218" s="5"/>
    </row>
    <row r="1219" spans="28:28" x14ac:dyDescent="0.25">
      <c r="AB1219" s="5"/>
    </row>
    <row r="1220" spans="28:28" x14ac:dyDescent="0.25">
      <c r="AB1220" s="5"/>
    </row>
    <row r="1221" spans="28:28" x14ac:dyDescent="0.25">
      <c r="AB1221" s="5"/>
    </row>
    <row r="1222" spans="28:28" x14ac:dyDescent="0.25">
      <c r="AB1222" s="5"/>
    </row>
    <row r="1223" spans="28:28" x14ac:dyDescent="0.25">
      <c r="AB1223" s="5"/>
    </row>
    <row r="1224" spans="28:28" x14ac:dyDescent="0.25">
      <c r="AB1224" s="5"/>
    </row>
    <row r="1225" spans="28:28" x14ac:dyDescent="0.25">
      <c r="AB1225" s="5"/>
    </row>
    <row r="1226" spans="28:28" x14ac:dyDescent="0.25">
      <c r="AB1226" s="5"/>
    </row>
    <row r="1227" spans="28:28" x14ac:dyDescent="0.25">
      <c r="AB1227" s="5"/>
    </row>
    <row r="1228" spans="28:28" x14ac:dyDescent="0.25">
      <c r="AB1228" s="5"/>
    </row>
    <row r="1229" spans="28:28" x14ac:dyDescent="0.25">
      <c r="AB1229" s="5"/>
    </row>
    <row r="1230" spans="28:28" x14ac:dyDescent="0.25">
      <c r="AB1230" s="5"/>
    </row>
    <row r="1231" spans="28:28" x14ac:dyDescent="0.25">
      <c r="AB1231" s="5"/>
    </row>
    <row r="1232" spans="28:28" x14ac:dyDescent="0.25">
      <c r="AB1232" s="5"/>
    </row>
    <row r="1233" spans="28:28" x14ac:dyDescent="0.25">
      <c r="AB1233" s="5"/>
    </row>
    <row r="1234" spans="28:28" x14ac:dyDescent="0.25">
      <c r="AB1234" s="5"/>
    </row>
    <row r="1235" spans="28:28" x14ac:dyDescent="0.25">
      <c r="AB1235" s="5"/>
    </row>
    <row r="1236" spans="28:28" x14ac:dyDescent="0.25">
      <c r="AB1236" s="5"/>
    </row>
    <row r="1237" spans="28:28" x14ac:dyDescent="0.25">
      <c r="AB1237" s="5"/>
    </row>
    <row r="1238" spans="28:28" x14ac:dyDescent="0.25">
      <c r="AB1238" s="5"/>
    </row>
    <row r="1239" spans="28:28" x14ac:dyDescent="0.25">
      <c r="AB1239" s="5"/>
    </row>
    <row r="1240" spans="28:28" x14ac:dyDescent="0.25">
      <c r="AB1240" s="5"/>
    </row>
    <row r="1241" spans="28:28" x14ac:dyDescent="0.25">
      <c r="AB1241" s="5"/>
    </row>
    <row r="1242" spans="28:28" x14ac:dyDescent="0.25">
      <c r="AB1242" s="5"/>
    </row>
    <row r="1243" spans="28:28" x14ac:dyDescent="0.25">
      <c r="AB1243" s="5"/>
    </row>
    <row r="1244" spans="28:28" x14ac:dyDescent="0.25">
      <c r="AB1244" s="5"/>
    </row>
    <row r="1245" spans="28:28" x14ac:dyDescent="0.25">
      <c r="AB1245" s="5"/>
    </row>
    <row r="1246" spans="28:28" x14ac:dyDescent="0.25">
      <c r="AB1246" s="5"/>
    </row>
    <row r="1247" spans="28:28" x14ac:dyDescent="0.25">
      <c r="AB1247" s="5"/>
    </row>
    <row r="1248" spans="28:28" x14ac:dyDescent="0.25">
      <c r="AB1248" s="5"/>
    </row>
    <row r="1249" spans="28:28" x14ac:dyDescent="0.25">
      <c r="AB1249" s="5"/>
    </row>
    <row r="1250" spans="28:28" x14ac:dyDescent="0.25">
      <c r="AB1250" s="5"/>
    </row>
    <row r="1251" spans="28:28" x14ac:dyDescent="0.25">
      <c r="AB1251" s="5"/>
    </row>
    <row r="1252" spans="28:28" x14ac:dyDescent="0.25">
      <c r="AB1252" s="5"/>
    </row>
    <row r="1253" spans="28:28" x14ac:dyDescent="0.25">
      <c r="AB1253" s="5"/>
    </row>
    <row r="1254" spans="28:28" x14ac:dyDescent="0.25">
      <c r="AB1254" s="5"/>
    </row>
    <row r="1255" spans="28:28" x14ac:dyDescent="0.25">
      <c r="AB1255" s="5"/>
    </row>
    <row r="1256" spans="28:28" x14ac:dyDescent="0.25">
      <c r="AB1256" s="5"/>
    </row>
    <row r="1257" spans="28:28" x14ac:dyDescent="0.25">
      <c r="AB1257" s="5"/>
    </row>
    <row r="1258" spans="28:28" x14ac:dyDescent="0.25">
      <c r="AB1258" s="5"/>
    </row>
    <row r="1259" spans="28:28" x14ac:dyDescent="0.25">
      <c r="AB1259" s="5"/>
    </row>
    <row r="1260" spans="28:28" x14ac:dyDescent="0.25">
      <c r="AB1260" s="5"/>
    </row>
    <row r="1261" spans="28:28" x14ac:dyDescent="0.25">
      <c r="AB1261" s="5"/>
    </row>
    <row r="1262" spans="28:28" x14ac:dyDescent="0.25">
      <c r="AB1262" s="5"/>
    </row>
    <row r="1263" spans="28:28" x14ac:dyDescent="0.25">
      <c r="AB1263" s="5"/>
    </row>
    <row r="1264" spans="28:28" x14ac:dyDescent="0.25">
      <c r="AB1264" s="5"/>
    </row>
    <row r="1265" spans="28:28" x14ac:dyDescent="0.25">
      <c r="AB1265" s="5"/>
    </row>
    <row r="1266" spans="28:28" x14ac:dyDescent="0.25">
      <c r="AB1266" s="5"/>
    </row>
    <row r="1267" spans="28:28" x14ac:dyDescent="0.25">
      <c r="AB1267" s="5"/>
    </row>
    <row r="1268" spans="28:28" x14ac:dyDescent="0.25">
      <c r="AB1268" s="5"/>
    </row>
    <row r="1269" spans="28:28" x14ac:dyDescent="0.25">
      <c r="AB1269" s="5"/>
    </row>
    <row r="1270" spans="28:28" x14ac:dyDescent="0.25">
      <c r="AB1270" s="5"/>
    </row>
    <row r="1271" spans="28:28" x14ac:dyDescent="0.25">
      <c r="AB1271" s="5"/>
    </row>
    <row r="1272" spans="28:28" x14ac:dyDescent="0.25">
      <c r="AB1272" s="5"/>
    </row>
    <row r="1273" spans="28:28" x14ac:dyDescent="0.25">
      <c r="AB1273" s="5"/>
    </row>
    <row r="1274" spans="28:28" x14ac:dyDescent="0.25">
      <c r="AB1274" s="5"/>
    </row>
    <row r="1275" spans="28:28" x14ac:dyDescent="0.25">
      <c r="AB1275" s="5"/>
    </row>
    <row r="1276" spans="28:28" x14ac:dyDescent="0.25">
      <c r="AB1276" s="5"/>
    </row>
    <row r="1277" spans="28:28" x14ac:dyDescent="0.25">
      <c r="AB1277" s="5"/>
    </row>
    <row r="1278" spans="28:28" x14ac:dyDescent="0.25">
      <c r="AB1278" s="5"/>
    </row>
    <row r="1279" spans="28:28" x14ac:dyDescent="0.25">
      <c r="AB1279" s="5"/>
    </row>
    <row r="1280" spans="28:28" x14ac:dyDescent="0.25">
      <c r="AB1280" s="5"/>
    </row>
    <row r="1281" spans="28:28" x14ac:dyDescent="0.25">
      <c r="AB1281" s="5"/>
    </row>
    <row r="1282" spans="28:28" x14ac:dyDescent="0.25">
      <c r="AB1282" s="5"/>
    </row>
    <row r="1283" spans="28:28" x14ac:dyDescent="0.25">
      <c r="AB1283" s="5"/>
    </row>
    <row r="1284" spans="28:28" x14ac:dyDescent="0.25">
      <c r="AB1284" s="5"/>
    </row>
    <row r="1285" spans="28:28" x14ac:dyDescent="0.25">
      <c r="AB1285" s="5"/>
    </row>
    <row r="1286" spans="28:28" x14ac:dyDescent="0.25">
      <c r="AB1286" s="5"/>
    </row>
    <row r="1287" spans="28:28" x14ac:dyDescent="0.25">
      <c r="AB1287" s="5"/>
    </row>
    <row r="1288" spans="28:28" x14ac:dyDescent="0.25">
      <c r="AB1288" s="5"/>
    </row>
    <row r="1289" spans="28:28" x14ac:dyDescent="0.25">
      <c r="AB1289" s="5"/>
    </row>
    <row r="1290" spans="28:28" x14ac:dyDescent="0.25">
      <c r="AB1290" s="5"/>
    </row>
    <row r="1291" spans="28:28" x14ac:dyDescent="0.25">
      <c r="AB1291" s="5"/>
    </row>
    <row r="1292" spans="28:28" x14ac:dyDescent="0.25">
      <c r="AB1292" s="5"/>
    </row>
    <row r="1293" spans="28:28" x14ac:dyDescent="0.25">
      <c r="AB1293" s="5"/>
    </row>
    <row r="1294" spans="28:28" x14ac:dyDescent="0.25">
      <c r="AB1294" s="5"/>
    </row>
    <row r="1295" spans="28:28" x14ac:dyDescent="0.25">
      <c r="AB1295" s="5"/>
    </row>
    <row r="1296" spans="28:28" x14ac:dyDescent="0.25">
      <c r="AB1296" s="5"/>
    </row>
    <row r="1297" spans="28:28" x14ac:dyDescent="0.25">
      <c r="AB1297" s="5"/>
    </row>
    <row r="1298" spans="28:28" x14ac:dyDescent="0.25">
      <c r="AB1298" s="5"/>
    </row>
    <row r="1299" spans="28:28" x14ac:dyDescent="0.25">
      <c r="AB1299" s="5"/>
    </row>
    <row r="1300" spans="28:28" x14ac:dyDescent="0.25">
      <c r="AB1300" s="5"/>
    </row>
    <row r="1301" spans="28:28" x14ac:dyDescent="0.25">
      <c r="AB1301" s="5"/>
    </row>
    <row r="1302" spans="28:28" x14ac:dyDescent="0.25">
      <c r="AB1302" s="5"/>
    </row>
    <row r="1303" spans="28:28" x14ac:dyDescent="0.25">
      <c r="AB1303" s="5"/>
    </row>
    <row r="1304" spans="28:28" x14ac:dyDescent="0.25">
      <c r="AB1304" s="5"/>
    </row>
    <row r="1305" spans="28:28" x14ac:dyDescent="0.25">
      <c r="AB1305" s="5"/>
    </row>
    <row r="1306" spans="28:28" x14ac:dyDescent="0.25">
      <c r="AB1306" s="5"/>
    </row>
    <row r="1307" spans="28:28" x14ac:dyDescent="0.25">
      <c r="AB1307" s="5"/>
    </row>
    <row r="1308" spans="28:28" x14ac:dyDescent="0.25">
      <c r="AB1308" s="5"/>
    </row>
    <row r="1309" spans="28:28" x14ac:dyDescent="0.25">
      <c r="AB1309" s="5"/>
    </row>
    <row r="1310" spans="28:28" x14ac:dyDescent="0.25">
      <c r="AB1310" s="5"/>
    </row>
    <row r="1311" spans="28:28" x14ac:dyDescent="0.25">
      <c r="AB1311" s="5"/>
    </row>
    <row r="1312" spans="28:28" x14ac:dyDescent="0.25">
      <c r="AB1312" s="5"/>
    </row>
    <row r="1313" spans="28:28" x14ac:dyDescent="0.25">
      <c r="AB1313" s="5"/>
    </row>
    <row r="1314" spans="28:28" x14ac:dyDescent="0.25">
      <c r="AB1314" s="5"/>
    </row>
    <row r="1315" spans="28:28" x14ac:dyDescent="0.25">
      <c r="AB1315" s="5"/>
    </row>
    <row r="1316" spans="28:28" x14ac:dyDescent="0.25">
      <c r="AB1316" s="5"/>
    </row>
    <row r="1317" spans="28:28" x14ac:dyDescent="0.25">
      <c r="AB1317" s="5"/>
    </row>
    <row r="1318" spans="28:28" x14ac:dyDescent="0.25">
      <c r="AB1318" s="5"/>
    </row>
    <row r="1319" spans="28:28" x14ac:dyDescent="0.25">
      <c r="AB1319" s="5"/>
    </row>
    <row r="1320" spans="28:28" x14ac:dyDescent="0.25">
      <c r="AB1320" s="5"/>
    </row>
    <row r="1321" spans="28:28" x14ac:dyDescent="0.25">
      <c r="AB1321" s="5"/>
    </row>
    <row r="1322" spans="28:28" x14ac:dyDescent="0.25">
      <c r="AB1322" s="5"/>
    </row>
    <row r="1323" spans="28:28" x14ac:dyDescent="0.25">
      <c r="AB1323" s="5"/>
    </row>
    <row r="1324" spans="28:28" x14ac:dyDescent="0.25">
      <c r="AB1324" s="5"/>
    </row>
    <row r="1325" spans="28:28" x14ac:dyDescent="0.25">
      <c r="AB1325" s="5"/>
    </row>
    <row r="1326" spans="28:28" x14ac:dyDescent="0.25">
      <c r="AB1326" s="5"/>
    </row>
    <row r="1327" spans="28:28" x14ac:dyDescent="0.25">
      <c r="AB1327" s="5"/>
    </row>
    <row r="1328" spans="28:28" x14ac:dyDescent="0.25">
      <c r="AB1328" s="5"/>
    </row>
    <row r="1329" spans="28:28" x14ac:dyDescent="0.25">
      <c r="AB1329" s="5"/>
    </row>
    <row r="1330" spans="28:28" x14ac:dyDescent="0.25">
      <c r="AB1330" s="5"/>
    </row>
    <row r="1331" spans="28:28" x14ac:dyDescent="0.25">
      <c r="AB1331" s="5"/>
    </row>
    <row r="1332" spans="28:28" x14ac:dyDescent="0.25">
      <c r="AB1332" s="5"/>
    </row>
    <row r="1333" spans="28:28" x14ac:dyDescent="0.25">
      <c r="AB1333" s="5"/>
    </row>
    <row r="1334" spans="28:28" x14ac:dyDescent="0.25">
      <c r="AB1334" s="5"/>
    </row>
    <row r="1335" spans="28:28" x14ac:dyDescent="0.25">
      <c r="AB1335" s="5"/>
    </row>
    <row r="1336" spans="28:28" x14ac:dyDescent="0.25">
      <c r="AB1336" s="5"/>
    </row>
    <row r="1337" spans="28:28" x14ac:dyDescent="0.25">
      <c r="AB1337" s="5"/>
    </row>
    <row r="1338" spans="28:28" x14ac:dyDescent="0.25">
      <c r="AB1338" s="5"/>
    </row>
    <row r="1339" spans="28:28" x14ac:dyDescent="0.25">
      <c r="AB1339" s="5"/>
    </row>
    <row r="1340" spans="28:28" x14ac:dyDescent="0.25">
      <c r="AB1340" s="5"/>
    </row>
    <row r="1341" spans="28:28" x14ac:dyDescent="0.25">
      <c r="AB1341" s="5"/>
    </row>
    <row r="1342" spans="28:28" x14ac:dyDescent="0.25">
      <c r="AB1342" s="5"/>
    </row>
    <row r="1343" spans="28:28" x14ac:dyDescent="0.25">
      <c r="AB1343" s="5"/>
    </row>
    <row r="1344" spans="28:28" x14ac:dyDescent="0.25">
      <c r="AB1344" s="5"/>
    </row>
    <row r="1345" spans="28:28" x14ac:dyDescent="0.25">
      <c r="AB1345" s="5"/>
    </row>
    <row r="1346" spans="28:28" x14ac:dyDescent="0.25">
      <c r="AB1346" s="5"/>
    </row>
    <row r="1347" spans="28:28" x14ac:dyDescent="0.25">
      <c r="AB1347" s="5"/>
    </row>
    <row r="1348" spans="28:28" x14ac:dyDescent="0.25">
      <c r="AB1348" s="5"/>
    </row>
    <row r="1349" spans="28:28" x14ac:dyDescent="0.25">
      <c r="AB1349" s="5"/>
    </row>
    <row r="1350" spans="28:28" x14ac:dyDescent="0.25">
      <c r="AB1350" s="5"/>
    </row>
    <row r="1351" spans="28:28" x14ac:dyDescent="0.25">
      <c r="AB1351" s="5"/>
    </row>
    <row r="1352" spans="28:28" x14ac:dyDescent="0.25">
      <c r="AB1352" s="5"/>
    </row>
    <row r="1353" spans="28:28" x14ac:dyDescent="0.25">
      <c r="AB1353" s="5"/>
    </row>
    <row r="1354" spans="28:28" x14ac:dyDescent="0.25">
      <c r="AB1354" s="5"/>
    </row>
    <row r="1355" spans="28:28" x14ac:dyDescent="0.25">
      <c r="AB1355" s="5"/>
    </row>
    <row r="1356" spans="28:28" x14ac:dyDescent="0.25">
      <c r="AB1356" s="5"/>
    </row>
    <row r="1357" spans="28:28" x14ac:dyDescent="0.25">
      <c r="AB1357" s="5"/>
    </row>
    <row r="1358" spans="28:28" x14ac:dyDescent="0.25">
      <c r="AB1358" s="5"/>
    </row>
    <row r="1359" spans="28:28" x14ac:dyDescent="0.25">
      <c r="AB1359" s="5"/>
    </row>
    <row r="1360" spans="28:28" x14ac:dyDescent="0.25">
      <c r="AB1360" s="5"/>
    </row>
    <row r="1361" spans="28:28" x14ac:dyDescent="0.25">
      <c r="AB1361" s="5"/>
    </row>
    <row r="1362" spans="28:28" x14ac:dyDescent="0.25">
      <c r="AB1362" s="5"/>
    </row>
    <row r="1363" spans="28:28" x14ac:dyDescent="0.25">
      <c r="AB1363" s="5"/>
    </row>
    <row r="1364" spans="28:28" x14ac:dyDescent="0.25">
      <c r="AB1364" s="5"/>
    </row>
    <row r="1365" spans="28:28" x14ac:dyDescent="0.25">
      <c r="AB1365" s="5"/>
    </row>
    <row r="1366" spans="28:28" x14ac:dyDescent="0.25">
      <c r="AB1366" s="5"/>
    </row>
    <row r="1367" spans="28:28" x14ac:dyDescent="0.25">
      <c r="AB1367" s="5"/>
    </row>
    <row r="1368" spans="28:28" x14ac:dyDescent="0.25">
      <c r="AB1368" s="5"/>
    </row>
    <row r="1369" spans="28:28" x14ac:dyDescent="0.25">
      <c r="AB1369" s="5"/>
    </row>
    <row r="1370" spans="28:28" x14ac:dyDescent="0.25">
      <c r="AB1370" s="5"/>
    </row>
    <row r="1371" spans="28:28" x14ac:dyDescent="0.25">
      <c r="AB1371" s="5"/>
    </row>
    <row r="1372" spans="28:28" x14ac:dyDescent="0.25">
      <c r="AB1372" s="5"/>
    </row>
    <row r="1373" spans="28:28" x14ac:dyDescent="0.25">
      <c r="AB1373" s="5"/>
    </row>
    <row r="1374" spans="28:28" x14ac:dyDescent="0.25">
      <c r="AB1374" s="5"/>
    </row>
    <row r="1375" spans="28:28" x14ac:dyDescent="0.25">
      <c r="AB1375" s="5"/>
    </row>
    <row r="1376" spans="28:28" x14ac:dyDescent="0.25">
      <c r="AB1376" s="5"/>
    </row>
    <row r="1377" spans="28:28" x14ac:dyDescent="0.25">
      <c r="AB1377" s="5"/>
    </row>
    <row r="1378" spans="28:28" x14ac:dyDescent="0.25">
      <c r="AB1378" s="5"/>
    </row>
    <row r="1379" spans="28:28" x14ac:dyDescent="0.25">
      <c r="AB1379" s="5"/>
    </row>
    <row r="1380" spans="28:28" x14ac:dyDescent="0.25">
      <c r="AB1380" s="5"/>
    </row>
    <row r="1381" spans="28:28" x14ac:dyDescent="0.25">
      <c r="AB1381" s="5"/>
    </row>
    <row r="1382" spans="28:28" x14ac:dyDescent="0.25">
      <c r="AB1382" s="5"/>
    </row>
    <row r="1383" spans="28:28" x14ac:dyDescent="0.25">
      <c r="AB1383" s="5"/>
    </row>
    <row r="1384" spans="28:28" x14ac:dyDescent="0.25">
      <c r="AB1384" s="5"/>
    </row>
    <row r="1385" spans="28:28" x14ac:dyDescent="0.25">
      <c r="AB1385" s="5"/>
    </row>
    <row r="1386" spans="28:28" x14ac:dyDescent="0.25">
      <c r="AB1386" s="5"/>
    </row>
    <row r="1387" spans="28:28" x14ac:dyDescent="0.25">
      <c r="AB1387" s="5"/>
    </row>
    <row r="1388" spans="28:28" x14ac:dyDescent="0.25">
      <c r="AB1388" s="5"/>
    </row>
    <row r="1389" spans="28:28" x14ac:dyDescent="0.25">
      <c r="AB1389" s="5"/>
    </row>
    <row r="1390" spans="28:28" x14ac:dyDescent="0.25">
      <c r="AB1390" s="5"/>
    </row>
    <row r="1391" spans="28:28" x14ac:dyDescent="0.25">
      <c r="AB1391" s="5"/>
    </row>
    <row r="1392" spans="28:28" x14ac:dyDescent="0.25">
      <c r="AB1392" s="5"/>
    </row>
    <row r="1393" spans="28:28" x14ac:dyDescent="0.25">
      <c r="AB1393" s="5"/>
    </row>
    <row r="1394" spans="28:28" x14ac:dyDescent="0.25">
      <c r="AB1394" s="5"/>
    </row>
    <row r="1395" spans="28:28" x14ac:dyDescent="0.25">
      <c r="AB1395" s="5"/>
    </row>
    <row r="1396" spans="28:28" x14ac:dyDescent="0.25">
      <c r="AB1396" s="5"/>
    </row>
    <row r="1397" spans="28:28" x14ac:dyDescent="0.25">
      <c r="AB1397" s="5"/>
    </row>
    <row r="1398" spans="28:28" x14ac:dyDescent="0.25">
      <c r="AB1398" s="5"/>
    </row>
    <row r="1399" spans="28:28" x14ac:dyDescent="0.25">
      <c r="AB1399" s="5"/>
    </row>
    <row r="1400" spans="28:28" x14ac:dyDescent="0.25">
      <c r="AB1400" s="5"/>
    </row>
    <row r="1401" spans="28:28" x14ac:dyDescent="0.25">
      <c r="AB1401" s="5"/>
    </row>
    <row r="1402" spans="28:28" x14ac:dyDescent="0.25">
      <c r="AB1402" s="5"/>
    </row>
    <row r="1403" spans="28:28" x14ac:dyDescent="0.25">
      <c r="AB1403" s="5"/>
    </row>
    <row r="1404" spans="28:28" x14ac:dyDescent="0.25">
      <c r="AB1404" s="5"/>
    </row>
    <row r="1405" spans="28:28" x14ac:dyDescent="0.25">
      <c r="AB1405" s="5"/>
    </row>
    <row r="1406" spans="28:28" x14ac:dyDescent="0.25">
      <c r="AB1406" s="5"/>
    </row>
    <row r="1407" spans="28:28" x14ac:dyDescent="0.25">
      <c r="AB1407" s="5"/>
    </row>
    <row r="1408" spans="28:28" x14ac:dyDescent="0.25">
      <c r="AB1408" s="5"/>
    </row>
    <row r="1409" spans="28:28" x14ac:dyDescent="0.25">
      <c r="AB1409" s="5"/>
    </row>
    <row r="1410" spans="28:28" x14ac:dyDescent="0.25">
      <c r="AB1410" s="5"/>
    </row>
    <row r="1411" spans="28:28" x14ac:dyDescent="0.25">
      <c r="AB1411" s="5"/>
    </row>
    <row r="1412" spans="28:28" x14ac:dyDescent="0.25">
      <c r="AB1412" s="5"/>
    </row>
    <row r="1413" spans="28:28" x14ac:dyDescent="0.25">
      <c r="AB1413" s="5"/>
    </row>
    <row r="1414" spans="28:28" x14ac:dyDescent="0.25">
      <c r="AB1414" s="5"/>
    </row>
    <row r="1415" spans="28:28" x14ac:dyDescent="0.25">
      <c r="AB1415" s="5"/>
    </row>
    <row r="1416" spans="28:28" x14ac:dyDescent="0.25">
      <c r="AB1416" s="5"/>
    </row>
    <row r="1417" spans="28:28" x14ac:dyDescent="0.25">
      <c r="AB1417" s="5"/>
    </row>
    <row r="1418" spans="28:28" x14ac:dyDescent="0.25">
      <c r="AB1418" s="5"/>
    </row>
    <row r="1419" spans="28:28" x14ac:dyDescent="0.25">
      <c r="AB1419" s="5"/>
    </row>
    <row r="1420" spans="28:28" x14ac:dyDescent="0.25">
      <c r="AB1420" s="5"/>
    </row>
    <row r="1421" spans="28:28" x14ac:dyDescent="0.25">
      <c r="AB1421" s="5"/>
    </row>
    <row r="1422" spans="28:28" x14ac:dyDescent="0.25">
      <c r="AB1422" s="5"/>
    </row>
    <row r="1423" spans="28:28" x14ac:dyDescent="0.25">
      <c r="AB1423" s="5"/>
    </row>
    <row r="1424" spans="28:28" x14ac:dyDescent="0.25">
      <c r="AB1424" s="5"/>
    </row>
    <row r="1425" spans="28:28" x14ac:dyDescent="0.25">
      <c r="AB1425" s="5"/>
    </row>
    <row r="1426" spans="28:28" x14ac:dyDescent="0.25">
      <c r="AB1426" s="5"/>
    </row>
    <row r="1427" spans="28:28" x14ac:dyDescent="0.25">
      <c r="AB1427" s="5"/>
    </row>
    <row r="1428" spans="28:28" x14ac:dyDescent="0.25">
      <c r="AB1428" s="5"/>
    </row>
    <row r="1429" spans="28:28" x14ac:dyDescent="0.25">
      <c r="AB1429" s="5"/>
    </row>
    <row r="1430" spans="28:28" x14ac:dyDescent="0.25">
      <c r="AB1430" s="5"/>
    </row>
    <row r="1431" spans="28:28" x14ac:dyDescent="0.25">
      <c r="AB1431" s="5"/>
    </row>
    <row r="1432" spans="28:28" x14ac:dyDescent="0.25">
      <c r="AB1432" s="5"/>
    </row>
    <row r="1433" spans="28:28" x14ac:dyDescent="0.25">
      <c r="AB1433" s="5"/>
    </row>
    <row r="1434" spans="28:28" x14ac:dyDescent="0.25">
      <c r="AB1434" s="5"/>
    </row>
    <row r="1435" spans="28:28" x14ac:dyDescent="0.25">
      <c r="AB1435" s="5"/>
    </row>
    <row r="1436" spans="28:28" x14ac:dyDescent="0.25">
      <c r="AB1436" s="5"/>
    </row>
    <row r="1437" spans="28:28" x14ac:dyDescent="0.25">
      <c r="AB1437" s="5"/>
    </row>
    <row r="1438" spans="28:28" x14ac:dyDescent="0.25">
      <c r="AB1438" s="5"/>
    </row>
    <row r="1439" spans="28:28" x14ac:dyDescent="0.25">
      <c r="AB1439" s="5"/>
    </row>
    <row r="1440" spans="28:28" x14ac:dyDescent="0.25">
      <c r="AB1440" s="5"/>
    </row>
    <row r="1441" spans="28:28" x14ac:dyDescent="0.25">
      <c r="AB1441" s="5"/>
    </row>
    <row r="1442" spans="28:28" x14ac:dyDescent="0.25">
      <c r="AB1442" s="5"/>
    </row>
    <row r="1443" spans="28:28" x14ac:dyDescent="0.25">
      <c r="AB1443" s="5"/>
    </row>
    <row r="1444" spans="28:28" x14ac:dyDescent="0.25">
      <c r="AB1444" s="5"/>
    </row>
    <row r="1445" spans="28:28" x14ac:dyDescent="0.25">
      <c r="AB1445" s="5"/>
    </row>
    <row r="1446" spans="28:28" x14ac:dyDescent="0.25">
      <c r="AB1446" s="5"/>
    </row>
    <row r="1447" spans="28:28" x14ac:dyDescent="0.25">
      <c r="AB1447" s="5"/>
    </row>
    <row r="1448" spans="28:28" x14ac:dyDescent="0.25">
      <c r="AB1448" s="5"/>
    </row>
    <row r="1449" spans="28:28" x14ac:dyDescent="0.25">
      <c r="AB1449" s="5"/>
    </row>
    <row r="1450" spans="28:28" x14ac:dyDescent="0.25">
      <c r="AB1450" s="5"/>
    </row>
    <row r="1451" spans="28:28" x14ac:dyDescent="0.25">
      <c r="AB1451" s="5"/>
    </row>
    <row r="1452" spans="28:28" x14ac:dyDescent="0.25">
      <c r="AB1452" s="5"/>
    </row>
    <row r="1453" spans="28:28" x14ac:dyDescent="0.25">
      <c r="AB1453" s="5"/>
    </row>
    <row r="1454" spans="28:28" x14ac:dyDescent="0.25">
      <c r="AB1454" s="5"/>
    </row>
    <row r="1455" spans="28:28" x14ac:dyDescent="0.25">
      <c r="AB1455" s="5"/>
    </row>
    <row r="1456" spans="28:28" x14ac:dyDescent="0.25">
      <c r="AB1456" s="5"/>
    </row>
    <row r="1457" spans="28:28" x14ac:dyDescent="0.25">
      <c r="AB1457" s="5"/>
    </row>
    <row r="1458" spans="28:28" x14ac:dyDescent="0.25">
      <c r="AB1458" s="5"/>
    </row>
    <row r="1459" spans="28:28" x14ac:dyDescent="0.25">
      <c r="AB1459" s="5"/>
    </row>
    <row r="1460" spans="28:28" x14ac:dyDescent="0.25">
      <c r="AB1460" s="5"/>
    </row>
    <row r="1461" spans="28:28" x14ac:dyDescent="0.25">
      <c r="AB1461" s="5"/>
    </row>
    <row r="1462" spans="28:28" x14ac:dyDescent="0.25">
      <c r="AB1462" s="5"/>
    </row>
    <row r="1463" spans="28:28" x14ac:dyDescent="0.25">
      <c r="AB1463" s="5"/>
    </row>
    <row r="1464" spans="28:28" x14ac:dyDescent="0.25">
      <c r="AB1464" s="5"/>
    </row>
    <row r="1465" spans="28:28" x14ac:dyDescent="0.25">
      <c r="AB1465" s="5"/>
    </row>
    <row r="1466" spans="28:28" x14ac:dyDescent="0.25">
      <c r="AB1466" s="5"/>
    </row>
    <row r="1467" spans="28:28" x14ac:dyDescent="0.25">
      <c r="AB1467" s="5"/>
    </row>
    <row r="1468" spans="28:28" x14ac:dyDescent="0.25">
      <c r="AB1468" s="5"/>
    </row>
    <row r="1469" spans="28:28" x14ac:dyDescent="0.25">
      <c r="AB1469" s="5"/>
    </row>
    <row r="1470" spans="28:28" x14ac:dyDescent="0.25">
      <c r="AB1470" s="5"/>
    </row>
    <row r="1471" spans="28:28" x14ac:dyDescent="0.25">
      <c r="AB1471" s="5"/>
    </row>
    <row r="1472" spans="28:28" x14ac:dyDescent="0.25">
      <c r="AB1472" s="5"/>
    </row>
    <row r="1473" spans="28:28" x14ac:dyDescent="0.25">
      <c r="AB1473" s="5"/>
    </row>
    <row r="1474" spans="28:28" x14ac:dyDescent="0.25">
      <c r="AB1474" s="5"/>
    </row>
    <row r="1475" spans="28:28" x14ac:dyDescent="0.25">
      <c r="AB1475" s="5"/>
    </row>
    <row r="1476" spans="28:28" x14ac:dyDescent="0.25">
      <c r="AB1476" s="5"/>
    </row>
    <row r="1477" spans="28:28" x14ac:dyDescent="0.25">
      <c r="AB1477" s="5"/>
    </row>
    <row r="1478" spans="28:28" x14ac:dyDescent="0.25">
      <c r="AB1478" s="5"/>
    </row>
    <row r="1479" spans="28:28" x14ac:dyDescent="0.25">
      <c r="AB1479" s="5"/>
    </row>
    <row r="1480" spans="28:28" x14ac:dyDescent="0.25">
      <c r="AB1480" s="5"/>
    </row>
    <row r="1481" spans="28:28" x14ac:dyDescent="0.25">
      <c r="AB1481" s="5"/>
    </row>
    <row r="1482" spans="28:28" x14ac:dyDescent="0.25">
      <c r="AB1482" s="5"/>
    </row>
    <row r="1483" spans="28:28" x14ac:dyDescent="0.25">
      <c r="AB1483" s="5"/>
    </row>
    <row r="1484" spans="28:28" x14ac:dyDescent="0.25">
      <c r="AB1484" s="5"/>
    </row>
    <row r="1485" spans="28:28" x14ac:dyDescent="0.25">
      <c r="AB1485" s="5"/>
    </row>
    <row r="1486" spans="28:28" x14ac:dyDescent="0.25">
      <c r="AB1486" s="5"/>
    </row>
    <row r="1487" spans="28:28" x14ac:dyDescent="0.25">
      <c r="AB1487" s="5"/>
    </row>
    <row r="1488" spans="28:28" x14ac:dyDescent="0.25">
      <c r="AB1488" s="5"/>
    </row>
    <row r="1489" spans="28:28" x14ac:dyDescent="0.25">
      <c r="AB1489" s="5"/>
    </row>
    <row r="1490" spans="28:28" x14ac:dyDescent="0.25">
      <c r="AB1490" s="5"/>
    </row>
    <row r="1491" spans="28:28" x14ac:dyDescent="0.25">
      <c r="AB1491" s="5"/>
    </row>
    <row r="1492" spans="28:28" x14ac:dyDescent="0.25">
      <c r="AB1492" s="5"/>
    </row>
    <row r="1493" spans="28:28" x14ac:dyDescent="0.25">
      <c r="AB1493" s="5"/>
    </row>
    <row r="1494" spans="28:28" x14ac:dyDescent="0.25">
      <c r="AB1494" s="5"/>
    </row>
    <row r="1495" spans="28:28" x14ac:dyDescent="0.25">
      <c r="AB1495" s="5"/>
    </row>
    <row r="1496" spans="28:28" x14ac:dyDescent="0.25">
      <c r="AB1496" s="5"/>
    </row>
    <row r="1497" spans="28:28" x14ac:dyDescent="0.25">
      <c r="AB1497" s="5"/>
    </row>
    <row r="1498" spans="28:28" x14ac:dyDescent="0.25">
      <c r="AB1498" s="5"/>
    </row>
    <row r="1499" spans="28:28" x14ac:dyDescent="0.25">
      <c r="AB1499" s="5"/>
    </row>
    <row r="1500" spans="28:28" x14ac:dyDescent="0.25">
      <c r="AB1500" s="5"/>
    </row>
    <row r="1501" spans="28:28" x14ac:dyDescent="0.25">
      <c r="AB1501" s="5"/>
    </row>
    <row r="1502" spans="28:28" x14ac:dyDescent="0.25">
      <c r="AB1502" s="5"/>
    </row>
    <row r="1503" spans="28:28" x14ac:dyDescent="0.25">
      <c r="AB1503" s="5"/>
    </row>
    <row r="1504" spans="28:28" x14ac:dyDescent="0.25">
      <c r="AB1504" s="5"/>
    </row>
    <row r="1505" spans="28:28" x14ac:dyDescent="0.25">
      <c r="AB1505" s="5"/>
    </row>
    <row r="1506" spans="28:28" x14ac:dyDescent="0.25">
      <c r="AB1506" s="5"/>
    </row>
    <row r="1507" spans="28:28" x14ac:dyDescent="0.25">
      <c r="AB1507" s="5"/>
    </row>
    <row r="1508" spans="28:28" x14ac:dyDescent="0.25">
      <c r="AB1508" s="5"/>
    </row>
    <row r="1509" spans="28:28" x14ac:dyDescent="0.25">
      <c r="AB1509" s="5"/>
    </row>
    <row r="1510" spans="28:28" x14ac:dyDescent="0.25">
      <c r="AB1510" s="5"/>
    </row>
    <row r="1511" spans="28:28" x14ac:dyDescent="0.25">
      <c r="AB1511" s="5"/>
    </row>
    <row r="1512" spans="28:28" x14ac:dyDescent="0.25">
      <c r="AB1512" s="5"/>
    </row>
    <row r="1513" spans="28:28" x14ac:dyDescent="0.25">
      <c r="AB1513" s="5"/>
    </row>
    <row r="1514" spans="28:28" x14ac:dyDescent="0.25">
      <c r="AB1514" s="5"/>
    </row>
    <row r="1515" spans="28:28" x14ac:dyDescent="0.25">
      <c r="AB1515" s="5"/>
    </row>
    <row r="1516" spans="28:28" x14ac:dyDescent="0.25">
      <c r="AB1516" s="5"/>
    </row>
    <row r="1517" spans="28:28" x14ac:dyDescent="0.25">
      <c r="AB1517" s="5"/>
    </row>
    <row r="1518" spans="28:28" x14ac:dyDescent="0.25">
      <c r="AB1518" s="5"/>
    </row>
    <row r="1519" spans="28:28" x14ac:dyDescent="0.25">
      <c r="AB1519" s="5"/>
    </row>
    <row r="1520" spans="28:28" x14ac:dyDescent="0.25">
      <c r="AB1520" s="5"/>
    </row>
    <row r="1521" spans="28:28" x14ac:dyDescent="0.25">
      <c r="AB1521" s="5"/>
    </row>
    <row r="1522" spans="28:28" x14ac:dyDescent="0.25">
      <c r="AB1522" s="5"/>
    </row>
    <row r="1523" spans="28:28" x14ac:dyDescent="0.25">
      <c r="AB1523" s="5"/>
    </row>
    <row r="1524" spans="28:28" x14ac:dyDescent="0.25">
      <c r="AB1524" s="5"/>
    </row>
    <row r="1525" spans="28:28" x14ac:dyDescent="0.25">
      <c r="AB1525" s="5"/>
    </row>
    <row r="1526" spans="28:28" x14ac:dyDescent="0.25">
      <c r="AB1526" s="5"/>
    </row>
    <row r="1527" spans="28:28" x14ac:dyDescent="0.25">
      <c r="AB1527" s="5"/>
    </row>
    <row r="1528" spans="28:28" x14ac:dyDescent="0.25">
      <c r="AB1528" s="5"/>
    </row>
    <row r="1529" spans="28:28" x14ac:dyDescent="0.25">
      <c r="AB1529" s="5"/>
    </row>
    <row r="1530" spans="28:28" x14ac:dyDescent="0.25">
      <c r="AB1530" s="5"/>
    </row>
    <row r="1531" spans="28:28" x14ac:dyDescent="0.25">
      <c r="AB1531" s="5"/>
    </row>
    <row r="1532" spans="28:28" x14ac:dyDescent="0.25">
      <c r="AB1532" s="5"/>
    </row>
    <row r="1533" spans="28:28" x14ac:dyDescent="0.25">
      <c r="AB1533" s="5"/>
    </row>
    <row r="1534" spans="28:28" x14ac:dyDescent="0.25">
      <c r="AB1534" s="5"/>
    </row>
    <row r="1535" spans="28:28" x14ac:dyDescent="0.25">
      <c r="AB1535" s="5"/>
    </row>
    <row r="1536" spans="28:28" x14ac:dyDescent="0.25">
      <c r="AB1536" s="5"/>
    </row>
    <row r="1537" spans="28:28" x14ac:dyDescent="0.25">
      <c r="AB1537" s="5"/>
    </row>
    <row r="1538" spans="28:28" x14ac:dyDescent="0.25">
      <c r="AB1538" s="5"/>
    </row>
    <row r="1539" spans="28:28" x14ac:dyDescent="0.25">
      <c r="AB1539" s="5"/>
    </row>
    <row r="1540" spans="28:28" x14ac:dyDescent="0.25">
      <c r="AB1540" s="5"/>
    </row>
    <row r="1541" spans="28:28" x14ac:dyDescent="0.25">
      <c r="AB1541" s="5"/>
    </row>
    <row r="1542" spans="28:28" x14ac:dyDescent="0.25">
      <c r="AB1542" s="5"/>
    </row>
    <row r="1543" spans="28:28" x14ac:dyDescent="0.25">
      <c r="AB1543" s="5"/>
    </row>
    <row r="1544" spans="28:28" x14ac:dyDescent="0.25">
      <c r="AB1544" s="5"/>
    </row>
    <row r="1545" spans="28:28" x14ac:dyDescent="0.25">
      <c r="AB1545" s="5"/>
    </row>
    <row r="1546" spans="28:28" x14ac:dyDescent="0.25">
      <c r="AB1546" s="5"/>
    </row>
    <row r="1547" spans="28:28" x14ac:dyDescent="0.25">
      <c r="AB1547" s="5"/>
    </row>
    <row r="1548" spans="28:28" x14ac:dyDescent="0.25">
      <c r="AB1548" s="5"/>
    </row>
    <row r="1549" spans="28:28" x14ac:dyDescent="0.25">
      <c r="AB1549" s="5"/>
    </row>
    <row r="1550" spans="28:28" x14ac:dyDescent="0.25">
      <c r="AB1550" s="5"/>
    </row>
    <row r="1551" spans="28:28" x14ac:dyDescent="0.25">
      <c r="AB1551" s="5"/>
    </row>
    <row r="1552" spans="28:28" x14ac:dyDescent="0.25">
      <c r="AB1552" s="5"/>
    </row>
    <row r="1553" spans="28:28" x14ac:dyDescent="0.25">
      <c r="AB1553" s="5"/>
    </row>
    <row r="1554" spans="28:28" x14ac:dyDescent="0.25">
      <c r="AB1554" s="5"/>
    </row>
    <row r="1555" spans="28:28" x14ac:dyDescent="0.25">
      <c r="AB1555" s="5"/>
    </row>
    <row r="1556" spans="28:28" x14ac:dyDescent="0.25">
      <c r="AB1556" s="5"/>
    </row>
    <row r="1557" spans="28:28" x14ac:dyDescent="0.25">
      <c r="AB1557" s="5"/>
    </row>
    <row r="1558" spans="28:28" x14ac:dyDescent="0.25">
      <c r="AB1558" s="5"/>
    </row>
    <row r="1559" spans="28:28" x14ac:dyDescent="0.25">
      <c r="AB1559" s="5"/>
    </row>
    <row r="1560" spans="28:28" x14ac:dyDescent="0.25">
      <c r="AB1560" s="5"/>
    </row>
    <row r="1561" spans="28:28" x14ac:dyDescent="0.25">
      <c r="AB1561" s="5"/>
    </row>
    <row r="1562" spans="28:28" x14ac:dyDescent="0.25">
      <c r="AB1562" s="5"/>
    </row>
    <row r="1563" spans="28:28" x14ac:dyDescent="0.25">
      <c r="AB1563" s="5"/>
    </row>
    <row r="1564" spans="28:28" x14ac:dyDescent="0.25">
      <c r="AB1564" s="5"/>
    </row>
    <row r="1565" spans="28:28" x14ac:dyDescent="0.25">
      <c r="AB1565" s="5"/>
    </row>
    <row r="1566" spans="28:28" x14ac:dyDescent="0.25">
      <c r="AB1566" s="5"/>
    </row>
    <row r="1567" spans="28:28" x14ac:dyDescent="0.25">
      <c r="AB1567" s="5"/>
    </row>
    <row r="1568" spans="28:28" x14ac:dyDescent="0.25">
      <c r="AB1568" s="5"/>
    </row>
    <row r="1569" spans="28:28" x14ac:dyDescent="0.25">
      <c r="AB1569" s="5"/>
    </row>
    <row r="1570" spans="28:28" x14ac:dyDescent="0.25">
      <c r="AB1570" s="5"/>
    </row>
    <row r="1571" spans="28:28" x14ac:dyDescent="0.25">
      <c r="AB1571" s="5"/>
    </row>
    <row r="1572" spans="28:28" x14ac:dyDescent="0.25">
      <c r="AB1572" s="5"/>
    </row>
    <row r="1573" spans="28:28" x14ac:dyDescent="0.25">
      <c r="AB1573" s="5"/>
    </row>
    <row r="1574" spans="28:28" x14ac:dyDescent="0.25">
      <c r="AB1574" s="5"/>
    </row>
    <row r="1575" spans="28:28" x14ac:dyDescent="0.25">
      <c r="AB1575" s="5"/>
    </row>
    <row r="1576" spans="28:28" x14ac:dyDescent="0.25">
      <c r="AB1576" s="5"/>
    </row>
    <row r="1577" spans="28:28" x14ac:dyDescent="0.25">
      <c r="AB1577" s="5"/>
    </row>
    <row r="1578" spans="28:28" x14ac:dyDescent="0.25">
      <c r="AB1578" s="5"/>
    </row>
    <row r="1579" spans="28:28" x14ac:dyDescent="0.25">
      <c r="AB1579" s="5"/>
    </row>
    <row r="1580" spans="28:28" x14ac:dyDescent="0.25">
      <c r="AB1580" s="5"/>
    </row>
    <row r="1581" spans="28:28" x14ac:dyDescent="0.25">
      <c r="AB1581" s="5"/>
    </row>
    <row r="1582" spans="28:28" x14ac:dyDescent="0.25">
      <c r="AB1582" s="5"/>
    </row>
    <row r="1583" spans="28:28" x14ac:dyDescent="0.25">
      <c r="AB1583" s="5"/>
    </row>
    <row r="1584" spans="28:28" x14ac:dyDescent="0.25">
      <c r="AB1584" s="5"/>
    </row>
    <row r="1585" spans="28:28" x14ac:dyDescent="0.25">
      <c r="AB1585" s="5"/>
    </row>
    <row r="1586" spans="28:28" x14ac:dyDescent="0.25">
      <c r="AB1586" s="5"/>
    </row>
    <row r="1587" spans="28:28" x14ac:dyDescent="0.25">
      <c r="AB1587" s="5"/>
    </row>
    <row r="1588" spans="28:28" x14ac:dyDescent="0.25">
      <c r="AB1588" s="5"/>
    </row>
    <row r="1589" spans="28:28" x14ac:dyDescent="0.25">
      <c r="AB1589" s="5"/>
    </row>
    <row r="1590" spans="28:28" x14ac:dyDescent="0.25">
      <c r="AB1590" s="5"/>
    </row>
    <row r="1591" spans="28:28" x14ac:dyDescent="0.25">
      <c r="AB1591" s="5"/>
    </row>
    <row r="1592" spans="28:28" x14ac:dyDescent="0.25">
      <c r="AB1592" s="5"/>
    </row>
    <row r="1593" spans="28:28" x14ac:dyDescent="0.25">
      <c r="AB1593" s="5"/>
    </row>
    <row r="1594" spans="28:28" x14ac:dyDescent="0.25">
      <c r="AB1594" s="5"/>
    </row>
    <row r="1595" spans="28:28" x14ac:dyDescent="0.25">
      <c r="AB1595" s="5"/>
    </row>
    <row r="1596" spans="28:28" x14ac:dyDescent="0.25">
      <c r="AB1596" s="5"/>
    </row>
    <row r="1597" spans="28:28" x14ac:dyDescent="0.25">
      <c r="AB1597" s="5"/>
    </row>
    <row r="1598" spans="28:28" x14ac:dyDescent="0.25">
      <c r="AB1598" s="5"/>
    </row>
    <row r="1599" spans="28:28" x14ac:dyDescent="0.25">
      <c r="AB1599" s="5"/>
    </row>
    <row r="1600" spans="28:28" x14ac:dyDescent="0.25">
      <c r="AB1600" s="5"/>
    </row>
    <row r="1601" spans="28:28" x14ac:dyDescent="0.25">
      <c r="AB1601" s="5"/>
    </row>
    <row r="1602" spans="28:28" x14ac:dyDescent="0.25">
      <c r="AB1602" s="5"/>
    </row>
    <row r="1603" spans="28:28" x14ac:dyDescent="0.25">
      <c r="AB1603" s="5"/>
    </row>
    <row r="1604" spans="28:28" x14ac:dyDescent="0.25">
      <c r="AB1604" s="5"/>
    </row>
    <row r="1605" spans="28:28" x14ac:dyDescent="0.25">
      <c r="AB1605" s="5"/>
    </row>
    <row r="1606" spans="28:28" x14ac:dyDescent="0.25">
      <c r="AB1606" s="5"/>
    </row>
    <row r="1607" spans="28:28" x14ac:dyDescent="0.25">
      <c r="AB1607" s="5"/>
    </row>
    <row r="1608" spans="28:28" x14ac:dyDescent="0.25">
      <c r="AB1608" s="5"/>
    </row>
    <row r="1609" spans="28:28" x14ac:dyDescent="0.25">
      <c r="AB1609" s="5"/>
    </row>
    <row r="1610" spans="28:28" x14ac:dyDescent="0.25">
      <c r="AB1610" s="5"/>
    </row>
    <row r="1611" spans="28:28" x14ac:dyDescent="0.25">
      <c r="AB1611" s="5"/>
    </row>
    <row r="1612" spans="28:28" x14ac:dyDescent="0.25">
      <c r="AB1612" s="5"/>
    </row>
    <row r="1613" spans="28:28" x14ac:dyDescent="0.25">
      <c r="AB1613" s="5"/>
    </row>
    <row r="1614" spans="28:28" x14ac:dyDescent="0.25">
      <c r="AB1614" s="5"/>
    </row>
    <row r="1615" spans="28:28" x14ac:dyDescent="0.25">
      <c r="AB1615" s="5"/>
    </row>
    <row r="1616" spans="28:28" x14ac:dyDescent="0.25">
      <c r="AB1616" s="5"/>
    </row>
    <row r="1617" spans="28:28" x14ac:dyDescent="0.25">
      <c r="AB1617" s="5"/>
    </row>
    <row r="1618" spans="28:28" x14ac:dyDescent="0.25">
      <c r="AB1618" s="5"/>
    </row>
    <row r="1619" spans="28:28" x14ac:dyDescent="0.25">
      <c r="AB1619" s="5"/>
    </row>
    <row r="1620" spans="28:28" x14ac:dyDescent="0.25">
      <c r="AB1620" s="5"/>
    </row>
    <row r="1621" spans="28:28" x14ac:dyDescent="0.25">
      <c r="AB1621" s="5"/>
    </row>
    <row r="1622" spans="28:28" x14ac:dyDescent="0.25">
      <c r="AB1622" s="5"/>
    </row>
    <row r="1623" spans="28:28" x14ac:dyDescent="0.25">
      <c r="AB1623" s="5"/>
    </row>
    <row r="1624" spans="28:28" x14ac:dyDescent="0.25">
      <c r="AB1624" s="5"/>
    </row>
    <row r="1625" spans="28:28" x14ac:dyDescent="0.25">
      <c r="AB1625" s="5"/>
    </row>
    <row r="1626" spans="28:28" x14ac:dyDescent="0.25">
      <c r="AB1626" s="5"/>
    </row>
    <row r="1627" spans="28:28" x14ac:dyDescent="0.25">
      <c r="AB1627" s="5"/>
    </row>
    <row r="1628" spans="28:28" x14ac:dyDescent="0.25">
      <c r="AB1628" s="5"/>
    </row>
    <row r="1629" spans="28:28" x14ac:dyDescent="0.25">
      <c r="AB1629" s="5"/>
    </row>
    <row r="1630" spans="28:28" x14ac:dyDescent="0.25">
      <c r="AB1630" s="5"/>
    </row>
    <row r="1631" spans="28:28" x14ac:dyDescent="0.25">
      <c r="AB1631" s="5"/>
    </row>
    <row r="1632" spans="28:28" x14ac:dyDescent="0.25">
      <c r="AB1632" s="5"/>
    </row>
    <row r="1633" spans="28:28" x14ac:dyDescent="0.25">
      <c r="AB1633" s="5"/>
    </row>
    <row r="1634" spans="28:28" x14ac:dyDescent="0.25">
      <c r="AB1634" s="5"/>
    </row>
    <row r="1635" spans="28:28" x14ac:dyDescent="0.25">
      <c r="AB1635" s="5"/>
    </row>
    <row r="1636" spans="28:28" x14ac:dyDescent="0.25">
      <c r="AB1636" s="5"/>
    </row>
    <row r="1637" spans="28:28" x14ac:dyDescent="0.25">
      <c r="AB1637" s="5"/>
    </row>
    <row r="1638" spans="28:28" x14ac:dyDescent="0.25">
      <c r="AB1638" s="5"/>
    </row>
    <row r="1639" spans="28:28" x14ac:dyDescent="0.25">
      <c r="AB1639" s="5"/>
    </row>
    <row r="1640" spans="28:28" x14ac:dyDescent="0.25">
      <c r="AB1640" s="5"/>
    </row>
    <row r="1641" spans="28:28" x14ac:dyDescent="0.25">
      <c r="AB1641" s="5"/>
    </row>
    <row r="1642" spans="28:28" x14ac:dyDescent="0.25">
      <c r="AB1642" s="5"/>
    </row>
    <row r="1643" spans="28:28" x14ac:dyDescent="0.25">
      <c r="AB1643" s="5"/>
    </row>
    <row r="1644" spans="28:28" x14ac:dyDescent="0.25">
      <c r="AB1644" s="5"/>
    </row>
    <row r="1645" spans="28:28" x14ac:dyDescent="0.25">
      <c r="AB1645" s="5"/>
    </row>
    <row r="1646" spans="28:28" x14ac:dyDescent="0.25">
      <c r="AB1646" s="5"/>
    </row>
    <row r="1647" spans="28:28" x14ac:dyDescent="0.25">
      <c r="AB1647" s="5"/>
    </row>
    <row r="1648" spans="28:28" x14ac:dyDescent="0.25">
      <c r="AB1648" s="5"/>
    </row>
    <row r="1649" spans="28:28" x14ac:dyDescent="0.25">
      <c r="AB1649" s="5"/>
    </row>
    <row r="1650" spans="28:28" x14ac:dyDescent="0.25">
      <c r="AB1650" s="5"/>
    </row>
    <row r="1651" spans="28:28" x14ac:dyDescent="0.25">
      <c r="AB1651" s="5"/>
    </row>
    <row r="1652" spans="28:28" x14ac:dyDescent="0.25">
      <c r="AB1652" s="5"/>
    </row>
    <row r="1653" spans="28:28" x14ac:dyDescent="0.25">
      <c r="AB1653" s="5"/>
    </row>
    <row r="1654" spans="28:28" x14ac:dyDescent="0.25">
      <c r="AB1654" s="5"/>
    </row>
    <row r="1655" spans="28:28" x14ac:dyDescent="0.25">
      <c r="AB1655" s="5"/>
    </row>
    <row r="1656" spans="28:28" x14ac:dyDescent="0.25">
      <c r="AB1656" s="5"/>
    </row>
    <row r="1657" spans="28:28" x14ac:dyDescent="0.25">
      <c r="AB1657" s="5"/>
    </row>
    <row r="1658" spans="28:28" x14ac:dyDescent="0.25">
      <c r="AB1658" s="5"/>
    </row>
    <row r="1659" spans="28:28" x14ac:dyDescent="0.25">
      <c r="AB1659" s="5"/>
    </row>
    <row r="1660" spans="28:28" x14ac:dyDescent="0.25">
      <c r="AB1660" s="5"/>
    </row>
    <row r="1661" spans="28:28" x14ac:dyDescent="0.25">
      <c r="AB1661" s="5"/>
    </row>
    <row r="1662" spans="28:28" x14ac:dyDescent="0.25">
      <c r="AB1662" s="5"/>
    </row>
    <row r="1663" spans="28:28" x14ac:dyDescent="0.25">
      <c r="AB1663" s="5"/>
    </row>
    <row r="1664" spans="28:28" x14ac:dyDescent="0.25">
      <c r="AB1664" s="5"/>
    </row>
    <row r="1665" spans="28:28" x14ac:dyDescent="0.25">
      <c r="AB1665" s="5"/>
    </row>
    <row r="1666" spans="28:28" x14ac:dyDescent="0.25">
      <c r="AB1666" s="5"/>
    </row>
    <row r="1667" spans="28:28" x14ac:dyDescent="0.25">
      <c r="AB1667" s="5"/>
    </row>
    <row r="1668" spans="28:28" x14ac:dyDescent="0.25">
      <c r="AB1668" s="5"/>
    </row>
    <row r="1669" spans="28:28" x14ac:dyDescent="0.25">
      <c r="AB1669" s="5"/>
    </row>
    <row r="1670" spans="28:28" x14ac:dyDescent="0.25">
      <c r="AB1670" s="5"/>
    </row>
    <row r="1671" spans="28:28" x14ac:dyDescent="0.25">
      <c r="AB1671" s="5"/>
    </row>
    <row r="1672" spans="28:28" x14ac:dyDescent="0.25">
      <c r="AB1672" s="5"/>
    </row>
    <row r="1673" spans="28:28" x14ac:dyDescent="0.25">
      <c r="AB1673" s="5"/>
    </row>
    <row r="1674" spans="28:28" x14ac:dyDescent="0.25">
      <c r="AB1674" s="5"/>
    </row>
    <row r="1675" spans="28:28" x14ac:dyDescent="0.25">
      <c r="AB1675" s="5"/>
    </row>
    <row r="1676" spans="28:28" x14ac:dyDescent="0.25">
      <c r="AB1676" s="5"/>
    </row>
    <row r="1677" spans="28:28" x14ac:dyDescent="0.25">
      <c r="AB1677" s="5"/>
    </row>
    <row r="1678" spans="28:28" x14ac:dyDescent="0.25">
      <c r="AB1678" s="5"/>
    </row>
    <row r="1679" spans="28:28" x14ac:dyDescent="0.25">
      <c r="AB1679" s="5"/>
    </row>
    <row r="1680" spans="28:28" x14ac:dyDescent="0.25">
      <c r="AB1680" s="5"/>
    </row>
    <row r="1681" spans="28:28" x14ac:dyDescent="0.25">
      <c r="AB1681" s="5"/>
    </row>
    <row r="1682" spans="28:28" x14ac:dyDescent="0.25">
      <c r="AB1682" s="5"/>
    </row>
    <row r="1683" spans="28:28" x14ac:dyDescent="0.25">
      <c r="AB1683" s="5"/>
    </row>
    <row r="1684" spans="28:28" x14ac:dyDescent="0.25">
      <c r="AB1684" s="5"/>
    </row>
    <row r="1685" spans="28:28" x14ac:dyDescent="0.25">
      <c r="AB1685" s="5"/>
    </row>
    <row r="1686" spans="28:28" x14ac:dyDescent="0.25">
      <c r="AB1686" s="5"/>
    </row>
    <row r="1687" spans="28:28" x14ac:dyDescent="0.25">
      <c r="AB1687" s="5"/>
    </row>
    <row r="1688" spans="28:28" x14ac:dyDescent="0.25">
      <c r="AB1688" s="5"/>
    </row>
    <row r="1689" spans="28:28" x14ac:dyDescent="0.25">
      <c r="AB1689" s="5"/>
    </row>
    <row r="1690" spans="28:28" x14ac:dyDescent="0.25">
      <c r="AB1690" s="5"/>
    </row>
    <row r="1691" spans="28:28" x14ac:dyDescent="0.25">
      <c r="AB1691" s="5"/>
    </row>
    <row r="1692" spans="28:28" x14ac:dyDescent="0.25">
      <c r="AB1692" s="5"/>
    </row>
    <row r="1693" spans="28:28" x14ac:dyDescent="0.25">
      <c r="AB1693" s="5"/>
    </row>
    <row r="1694" spans="28:28" x14ac:dyDescent="0.25">
      <c r="AB1694" s="5"/>
    </row>
    <row r="1695" spans="28:28" x14ac:dyDescent="0.25">
      <c r="AB1695" s="5"/>
    </row>
    <row r="1696" spans="28:28" x14ac:dyDescent="0.25">
      <c r="AB1696" s="5"/>
    </row>
    <row r="1697" spans="28:28" x14ac:dyDescent="0.25">
      <c r="AB1697" s="5"/>
    </row>
    <row r="1698" spans="28:28" x14ac:dyDescent="0.25">
      <c r="AB1698" s="5"/>
    </row>
    <row r="1699" spans="28:28" x14ac:dyDescent="0.25">
      <c r="AB1699" s="5"/>
    </row>
    <row r="1700" spans="28:28" x14ac:dyDescent="0.25">
      <c r="AB1700" s="5"/>
    </row>
    <row r="1701" spans="28:28" x14ac:dyDescent="0.25">
      <c r="AB1701" s="5"/>
    </row>
    <row r="1702" spans="28:28" x14ac:dyDescent="0.25">
      <c r="AB1702" s="5"/>
    </row>
    <row r="1703" spans="28:28" x14ac:dyDescent="0.25">
      <c r="AB1703" s="5"/>
    </row>
    <row r="1704" spans="28:28" x14ac:dyDescent="0.25">
      <c r="AB1704" s="5"/>
    </row>
    <row r="1705" spans="28:28" x14ac:dyDescent="0.25">
      <c r="AB1705" s="5"/>
    </row>
    <row r="1706" spans="28:28" x14ac:dyDescent="0.25">
      <c r="AB1706" s="5"/>
    </row>
    <row r="1707" spans="28:28" x14ac:dyDescent="0.25">
      <c r="AB1707" s="5"/>
    </row>
    <row r="1708" spans="28:28" x14ac:dyDescent="0.25">
      <c r="AB1708" s="5"/>
    </row>
    <row r="1709" spans="28:28" x14ac:dyDescent="0.25">
      <c r="AB1709" s="5"/>
    </row>
    <row r="1710" spans="28:28" x14ac:dyDescent="0.25">
      <c r="AB1710" s="5"/>
    </row>
    <row r="1711" spans="28:28" x14ac:dyDescent="0.25">
      <c r="AB1711" s="5"/>
    </row>
    <row r="1712" spans="28:28" x14ac:dyDescent="0.25">
      <c r="AB1712" s="5"/>
    </row>
    <row r="1713" spans="28:28" x14ac:dyDescent="0.25">
      <c r="AB1713" s="5"/>
    </row>
    <row r="1714" spans="28:28" x14ac:dyDescent="0.25">
      <c r="AB1714" s="5"/>
    </row>
    <row r="1715" spans="28:28" x14ac:dyDescent="0.25">
      <c r="AB1715" s="5"/>
    </row>
    <row r="1716" spans="28:28" x14ac:dyDescent="0.25">
      <c r="AB1716" s="5"/>
    </row>
    <row r="1717" spans="28:28" x14ac:dyDescent="0.25">
      <c r="AB1717" s="5"/>
    </row>
    <row r="1718" spans="28:28" x14ac:dyDescent="0.25">
      <c r="AB1718" s="5"/>
    </row>
    <row r="1719" spans="28:28" x14ac:dyDescent="0.25">
      <c r="AB1719" s="5"/>
    </row>
    <row r="1720" spans="28:28" x14ac:dyDescent="0.25">
      <c r="AB1720" s="5"/>
    </row>
    <row r="1721" spans="28:28" x14ac:dyDescent="0.25">
      <c r="AB1721" s="5"/>
    </row>
    <row r="1722" spans="28:28" x14ac:dyDescent="0.25">
      <c r="AB1722" s="5"/>
    </row>
    <row r="1723" spans="28:28" x14ac:dyDescent="0.25">
      <c r="AB1723" s="5"/>
    </row>
    <row r="1724" spans="28:28" x14ac:dyDescent="0.25">
      <c r="AB1724" s="5"/>
    </row>
    <row r="1725" spans="28:28" x14ac:dyDescent="0.25">
      <c r="AB1725" s="5"/>
    </row>
    <row r="1726" spans="28:28" x14ac:dyDescent="0.25">
      <c r="AB1726" s="5"/>
    </row>
    <row r="1727" spans="28:28" x14ac:dyDescent="0.25">
      <c r="AB1727" s="5"/>
    </row>
    <row r="1728" spans="28:28" x14ac:dyDescent="0.25">
      <c r="AB1728" s="5"/>
    </row>
    <row r="1729" spans="28:28" x14ac:dyDescent="0.25">
      <c r="AB1729" s="5"/>
    </row>
    <row r="1730" spans="28:28" x14ac:dyDescent="0.25">
      <c r="AB1730" s="5"/>
    </row>
    <row r="1731" spans="28:28" x14ac:dyDescent="0.25">
      <c r="AB1731" s="5"/>
    </row>
    <row r="1732" spans="28:28" x14ac:dyDescent="0.25">
      <c r="AB1732" s="5"/>
    </row>
    <row r="1733" spans="28:28" x14ac:dyDescent="0.25">
      <c r="AB1733" s="5"/>
    </row>
    <row r="1734" spans="28:28" x14ac:dyDescent="0.25">
      <c r="AB1734" s="5"/>
    </row>
    <row r="1735" spans="28:28" x14ac:dyDescent="0.25">
      <c r="AB1735" s="5"/>
    </row>
    <row r="1736" spans="28:28" x14ac:dyDescent="0.25">
      <c r="AB1736" s="5"/>
    </row>
    <row r="1737" spans="28:28" x14ac:dyDescent="0.25">
      <c r="AB1737" s="5"/>
    </row>
    <row r="1738" spans="28:28" x14ac:dyDescent="0.25">
      <c r="AB1738" s="5"/>
    </row>
    <row r="1739" spans="28:28" x14ac:dyDescent="0.25">
      <c r="AB1739" s="5"/>
    </row>
    <row r="1740" spans="28:28" x14ac:dyDescent="0.25">
      <c r="AB1740" s="5"/>
    </row>
    <row r="1741" spans="28:28" x14ac:dyDescent="0.25">
      <c r="AB1741" s="5"/>
    </row>
    <row r="1742" spans="28:28" x14ac:dyDescent="0.25">
      <c r="AB1742" s="5"/>
    </row>
    <row r="1743" spans="28:28" x14ac:dyDescent="0.25">
      <c r="AB1743" s="5"/>
    </row>
    <row r="1744" spans="28:28" x14ac:dyDescent="0.25">
      <c r="AB1744" s="5"/>
    </row>
    <row r="1745" spans="28:28" x14ac:dyDescent="0.25">
      <c r="AB1745" s="5"/>
    </row>
    <row r="1746" spans="28:28" x14ac:dyDescent="0.25">
      <c r="AB1746" s="5"/>
    </row>
    <row r="1747" spans="28:28" x14ac:dyDescent="0.25">
      <c r="AB1747" s="5"/>
    </row>
    <row r="1748" spans="28:28" x14ac:dyDescent="0.25">
      <c r="AB1748" s="5"/>
    </row>
    <row r="1749" spans="28:28" x14ac:dyDescent="0.25">
      <c r="AB1749" s="5"/>
    </row>
    <row r="1750" spans="28:28" x14ac:dyDescent="0.25">
      <c r="AB1750" s="5"/>
    </row>
    <row r="1751" spans="28:28" x14ac:dyDescent="0.25">
      <c r="AB1751" s="5"/>
    </row>
    <row r="1752" spans="28:28" x14ac:dyDescent="0.25">
      <c r="AB1752" s="5"/>
    </row>
    <row r="1753" spans="28:28" x14ac:dyDescent="0.25">
      <c r="AB1753" s="5"/>
    </row>
    <row r="1754" spans="28:28" x14ac:dyDescent="0.25">
      <c r="AB1754" s="5"/>
    </row>
    <row r="1755" spans="28:28" x14ac:dyDescent="0.25">
      <c r="AB1755" s="5"/>
    </row>
    <row r="1756" spans="28:28" x14ac:dyDescent="0.25">
      <c r="AB1756" s="5"/>
    </row>
    <row r="1757" spans="28:28" x14ac:dyDescent="0.25">
      <c r="AB1757" s="5"/>
    </row>
    <row r="1758" spans="28:28" x14ac:dyDescent="0.25">
      <c r="AB1758" s="5"/>
    </row>
    <row r="1759" spans="28:28" x14ac:dyDescent="0.25">
      <c r="AB1759" s="5"/>
    </row>
    <row r="1760" spans="28:28" x14ac:dyDescent="0.25">
      <c r="AB1760" s="5"/>
    </row>
    <row r="1761" spans="28:28" x14ac:dyDescent="0.25">
      <c r="AB1761" s="5"/>
    </row>
    <row r="1762" spans="28:28" x14ac:dyDescent="0.25">
      <c r="AB1762" s="5"/>
    </row>
    <row r="1763" spans="28:28" x14ac:dyDescent="0.25">
      <c r="AB1763" s="5"/>
    </row>
    <row r="1764" spans="28:28" x14ac:dyDescent="0.25">
      <c r="AB1764" s="5"/>
    </row>
    <row r="1765" spans="28:28" x14ac:dyDescent="0.25">
      <c r="AB1765" s="5"/>
    </row>
    <row r="1766" spans="28:28" x14ac:dyDescent="0.25">
      <c r="AB1766" s="5"/>
    </row>
    <row r="1767" spans="28:28" x14ac:dyDescent="0.25">
      <c r="AB1767" s="5"/>
    </row>
    <row r="1768" spans="28:28" x14ac:dyDescent="0.25">
      <c r="AB1768" s="5"/>
    </row>
    <row r="1769" spans="28:28" x14ac:dyDescent="0.25">
      <c r="AB1769" s="5"/>
    </row>
    <row r="1770" spans="28:28" x14ac:dyDescent="0.25">
      <c r="AB1770" s="5"/>
    </row>
    <row r="1771" spans="28:28" x14ac:dyDescent="0.25">
      <c r="AB1771" s="5"/>
    </row>
    <row r="1772" spans="28:28" x14ac:dyDescent="0.25">
      <c r="AB1772" s="5"/>
    </row>
    <row r="1773" spans="28:28" x14ac:dyDescent="0.25">
      <c r="AB1773" s="5"/>
    </row>
    <row r="1774" spans="28:28" x14ac:dyDescent="0.25">
      <c r="AB1774" s="5"/>
    </row>
    <row r="1775" spans="28:28" x14ac:dyDescent="0.25">
      <c r="AB1775" s="5"/>
    </row>
    <row r="1776" spans="28:28" x14ac:dyDescent="0.25">
      <c r="AB1776" s="5"/>
    </row>
    <row r="1777" spans="28:28" x14ac:dyDescent="0.25">
      <c r="AB1777" s="5"/>
    </row>
    <row r="1778" spans="28:28" x14ac:dyDescent="0.25">
      <c r="AB1778" s="5"/>
    </row>
    <row r="1779" spans="28:28" x14ac:dyDescent="0.25">
      <c r="AB1779" s="5"/>
    </row>
    <row r="1780" spans="28:28" x14ac:dyDescent="0.25">
      <c r="AB1780" s="5"/>
    </row>
    <row r="1781" spans="28:28" x14ac:dyDescent="0.25">
      <c r="AB1781" s="5"/>
    </row>
    <row r="1782" spans="28:28" x14ac:dyDescent="0.25">
      <c r="AB1782" s="5"/>
    </row>
    <row r="1783" spans="28:28" x14ac:dyDescent="0.25">
      <c r="AB1783" s="5"/>
    </row>
    <row r="1784" spans="28:28" x14ac:dyDescent="0.25">
      <c r="AB1784" s="5"/>
    </row>
    <row r="1785" spans="28:28" x14ac:dyDescent="0.25">
      <c r="AB1785" s="5"/>
    </row>
    <row r="1786" spans="28:28" x14ac:dyDescent="0.25">
      <c r="AB1786" s="5"/>
    </row>
    <row r="1787" spans="28:28" x14ac:dyDescent="0.25">
      <c r="AB1787" s="5"/>
    </row>
    <row r="1788" spans="28:28" x14ac:dyDescent="0.25">
      <c r="AB1788" s="5"/>
    </row>
    <row r="1789" spans="28:28" x14ac:dyDescent="0.25">
      <c r="AB1789" s="5"/>
    </row>
    <row r="1790" spans="28:28" x14ac:dyDescent="0.25">
      <c r="AB1790" s="5"/>
    </row>
    <row r="1791" spans="28:28" x14ac:dyDescent="0.25">
      <c r="AB1791" s="5"/>
    </row>
    <row r="1792" spans="28:28" x14ac:dyDescent="0.25">
      <c r="AB1792" s="5"/>
    </row>
    <row r="1793" spans="28:28" x14ac:dyDescent="0.25">
      <c r="AB1793" s="5"/>
    </row>
    <row r="1794" spans="28:28" x14ac:dyDescent="0.25">
      <c r="AB1794" s="5"/>
    </row>
    <row r="1795" spans="28:28" x14ac:dyDescent="0.25">
      <c r="AB1795" s="5"/>
    </row>
    <row r="1796" spans="28:28" x14ac:dyDescent="0.25">
      <c r="AB1796" s="5"/>
    </row>
    <row r="1797" spans="28:28" x14ac:dyDescent="0.25">
      <c r="AB1797" s="5"/>
    </row>
    <row r="1798" spans="28:28" x14ac:dyDescent="0.25">
      <c r="AB1798" s="5"/>
    </row>
    <row r="1799" spans="28:28" x14ac:dyDescent="0.25">
      <c r="AB1799" s="5"/>
    </row>
    <row r="1800" spans="28:28" x14ac:dyDescent="0.25">
      <c r="AB1800" s="5"/>
    </row>
    <row r="1801" spans="28:28" x14ac:dyDescent="0.25">
      <c r="AB1801" s="5"/>
    </row>
  </sheetData>
  <mergeCells count="53">
    <mergeCell ref="V1:Y1"/>
    <mergeCell ref="T14:Y14"/>
    <mergeCell ref="T15:T16"/>
    <mergeCell ref="U15:U16"/>
    <mergeCell ref="V15:V16"/>
    <mergeCell ref="W15:X15"/>
    <mergeCell ref="Y15:Y16"/>
    <mergeCell ref="A9:AB9"/>
    <mergeCell ref="P15:P16"/>
    <mergeCell ref="I15:I16"/>
    <mergeCell ref="E14:H14"/>
    <mergeCell ref="E13:L13"/>
    <mergeCell ref="A10:AB10"/>
    <mergeCell ref="N15:N16"/>
    <mergeCell ref="AB13:AB16"/>
    <mergeCell ref="E15:E16"/>
    <mergeCell ref="AD77:AD96"/>
    <mergeCell ref="AC37:AC71"/>
    <mergeCell ref="AC73:AC95"/>
    <mergeCell ref="A494:F494"/>
    <mergeCell ref="X494:AA494"/>
    <mergeCell ref="AC440:AC466"/>
    <mergeCell ref="AC277:AC310"/>
    <mergeCell ref="AC311:AC355"/>
    <mergeCell ref="AC356:AC395"/>
    <mergeCell ref="AC227:AC241"/>
    <mergeCell ref="AC242:AC257"/>
    <mergeCell ref="AC258:AC260"/>
    <mergeCell ref="AC261:AC276"/>
    <mergeCell ref="AC396:AC431"/>
    <mergeCell ref="AC97:AC115"/>
    <mergeCell ref="AC116:AC138"/>
    <mergeCell ref="G15:H15"/>
    <mergeCell ref="A13:A16"/>
    <mergeCell ref="C13:C16"/>
    <mergeCell ref="B13:B16"/>
    <mergeCell ref="D13:D16"/>
    <mergeCell ref="AC139:AC155"/>
    <mergeCell ref="AC161:AC210"/>
    <mergeCell ref="AC211:AC226"/>
    <mergeCell ref="A11:AB11"/>
    <mergeCell ref="Q15:R15"/>
    <mergeCell ref="S15:S16"/>
    <mergeCell ref="F15:F16"/>
    <mergeCell ref="Z13:Z16"/>
    <mergeCell ref="AA13:AA16"/>
    <mergeCell ref="J14:L14"/>
    <mergeCell ref="J15:J16"/>
    <mergeCell ref="K15:L15"/>
    <mergeCell ref="M13:M16"/>
    <mergeCell ref="N14:S14"/>
    <mergeCell ref="N13:Y13"/>
    <mergeCell ref="O15:O16"/>
  </mergeCells>
  <phoneticPr fontId="3" type="noConversion"/>
  <printOptions horizontalCentered="1"/>
  <pageMargins left="0.27559055118110237" right="0" top="0.82677165354330717" bottom="0.35433070866141736" header="0" footer="0"/>
  <pageSetup paperSize="9" scale="27" fitToHeight="10000" orientation="landscape" useFirstPageNumber="1" r:id="rId1"/>
  <headerFooter scaleWithDoc="0" alignWithMargins="0">
    <oddFooter>&amp;R&amp;6Сторінка &amp;P</oddFooter>
  </headerFooter>
  <rowBreaks count="2" manualBreakCount="2">
    <brk id="380" max="26" man="1"/>
    <brk id="439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4"/>
  <sheetViews>
    <sheetView showGridLines="0" showZeros="0" view="pageBreakPreview" topLeftCell="A315" zoomScale="40" zoomScaleNormal="55" zoomScaleSheetLayoutView="40" workbookViewId="0">
      <selection activeCell="A356" sqref="A356:XFD356"/>
    </sheetView>
  </sheetViews>
  <sheetFormatPr defaultColWidth="9.1640625" defaultRowHeight="15.75" x14ac:dyDescent="0.25"/>
  <cols>
    <col min="1" max="1" width="19.1640625" style="64" customWidth="1"/>
    <col min="2" max="2" width="22.1640625" style="65" customWidth="1"/>
    <col min="3" max="3" width="74.1640625" style="66" customWidth="1"/>
    <col min="4" max="4" width="23.1640625" style="67" customWidth="1"/>
    <col min="5" max="5" width="23.83203125" style="67" hidden="1" customWidth="1"/>
    <col min="6" max="6" width="23.6640625" style="67" customWidth="1"/>
    <col min="7" max="7" width="20.83203125" style="67" customWidth="1"/>
    <col min="8" max="8" width="21.1640625" style="67" hidden="1" customWidth="1"/>
    <col min="9" max="12" width="21.1640625" style="67" customWidth="1"/>
    <col min="13" max="13" width="22.5" style="67" customWidth="1"/>
    <col min="14" max="14" width="21.1640625" style="67" customWidth="1"/>
    <col min="15" max="15" width="21.33203125" style="67" customWidth="1"/>
    <col min="16" max="16" width="19.1640625" style="67" customWidth="1"/>
    <col min="17" max="17" width="18.83203125" style="67" customWidth="1"/>
    <col min="18" max="26" width="23" style="67" customWidth="1"/>
    <col min="27" max="27" width="22.83203125" style="67" hidden="1" customWidth="1"/>
    <col min="28" max="28" width="5.5" style="105" customWidth="1"/>
    <col min="29" max="29" width="0.1640625" style="65" customWidth="1"/>
    <col min="30" max="30" width="23" style="65" customWidth="1"/>
    <col min="31" max="31" width="12.1640625" style="65" customWidth="1"/>
    <col min="32" max="32" width="11.33203125" style="65" customWidth="1"/>
    <col min="33" max="33" width="10.83203125" style="65" customWidth="1"/>
    <col min="34" max="16384" width="9.1640625" style="65"/>
  </cols>
  <sheetData>
    <row r="1" spans="1:29" ht="27.75" customHeight="1" x14ac:dyDescent="0.45">
      <c r="N1" s="118"/>
      <c r="O1" s="118"/>
      <c r="P1" s="118"/>
      <c r="Q1" s="118"/>
      <c r="R1" s="118"/>
      <c r="S1" s="118"/>
      <c r="T1" s="222" t="s">
        <v>768</v>
      </c>
      <c r="U1" s="222"/>
      <c r="V1" s="222"/>
      <c r="W1" s="222"/>
      <c r="X1" s="118"/>
      <c r="Y1" s="118"/>
      <c r="Z1" s="118"/>
      <c r="AA1" s="118"/>
      <c r="AB1" s="220"/>
      <c r="AC1" s="220"/>
    </row>
    <row r="2" spans="1:29" ht="27.75" customHeight="1" x14ac:dyDescent="0.25">
      <c r="N2" s="7"/>
      <c r="O2" s="7"/>
      <c r="P2" s="7"/>
      <c r="Q2" s="7"/>
      <c r="R2" s="7"/>
      <c r="S2" s="7"/>
      <c r="T2" s="137" t="s">
        <v>763</v>
      </c>
      <c r="U2" s="137"/>
      <c r="V2" s="137"/>
      <c r="W2" s="137"/>
      <c r="X2" s="7"/>
      <c r="Y2" s="7"/>
      <c r="Z2" s="7"/>
      <c r="AA2" s="7"/>
      <c r="AB2" s="220"/>
      <c r="AC2" s="220"/>
    </row>
    <row r="3" spans="1:29" ht="27.75" customHeight="1" x14ac:dyDescent="0.45">
      <c r="N3" s="7"/>
      <c r="O3" s="7"/>
      <c r="P3" s="7"/>
      <c r="Q3" s="7"/>
      <c r="R3" s="7"/>
      <c r="S3" s="7"/>
      <c r="T3" s="122" t="s">
        <v>764</v>
      </c>
      <c r="U3" s="122"/>
      <c r="V3" s="122"/>
      <c r="W3" s="122"/>
      <c r="X3" s="7"/>
      <c r="Y3" s="7"/>
      <c r="Z3" s="7"/>
      <c r="AA3" s="7"/>
      <c r="AB3" s="220"/>
      <c r="AC3" s="220"/>
    </row>
    <row r="4" spans="1:29" ht="26.25" customHeight="1" x14ac:dyDescent="0.45">
      <c r="N4" s="120"/>
      <c r="O4" s="120"/>
      <c r="P4" s="120"/>
      <c r="Q4" s="120"/>
      <c r="R4" s="120"/>
      <c r="S4" s="120"/>
      <c r="T4" s="122" t="s">
        <v>782</v>
      </c>
      <c r="U4" s="122"/>
      <c r="V4" s="122"/>
      <c r="W4" s="122"/>
      <c r="X4" s="120"/>
      <c r="Y4" s="120"/>
      <c r="Z4" s="120"/>
      <c r="AA4" s="120"/>
      <c r="AB4" s="220"/>
      <c r="AC4" s="220"/>
    </row>
    <row r="5" spans="1:29" ht="26.25" customHeight="1" x14ac:dyDescent="0.45">
      <c r="N5" s="118"/>
      <c r="O5" s="118"/>
      <c r="P5" s="118"/>
      <c r="Q5" s="118"/>
      <c r="R5" s="118"/>
      <c r="S5" s="118"/>
      <c r="T5" s="122" t="s">
        <v>766</v>
      </c>
      <c r="U5" s="122"/>
      <c r="V5" s="122"/>
      <c r="W5" s="122"/>
      <c r="X5" s="118"/>
      <c r="Y5" s="118"/>
      <c r="Z5" s="118"/>
      <c r="AA5" s="118"/>
      <c r="AB5" s="220"/>
      <c r="AC5" s="220"/>
    </row>
    <row r="6" spans="1:29" ht="26.25" customHeight="1" x14ac:dyDescent="0.45">
      <c r="N6" s="118"/>
      <c r="O6" s="118"/>
      <c r="P6" s="118"/>
      <c r="Q6" s="118"/>
      <c r="R6" s="118"/>
      <c r="S6" s="118"/>
      <c r="T6" s="122" t="s">
        <v>781</v>
      </c>
      <c r="U6" s="122"/>
      <c r="V6" s="122"/>
      <c r="W6" s="122"/>
      <c r="X6" s="118"/>
      <c r="Y6" s="118"/>
      <c r="Z6" s="118"/>
      <c r="AA6" s="118"/>
      <c r="AB6" s="220"/>
      <c r="AC6" s="220"/>
    </row>
    <row r="7" spans="1:29" ht="26.25" customHeight="1" x14ac:dyDescent="0.4"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220"/>
      <c r="AC7" s="220"/>
    </row>
    <row r="8" spans="1:29" ht="26.25" customHeight="1" x14ac:dyDescent="0.4"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220"/>
      <c r="AC8" s="220"/>
    </row>
    <row r="9" spans="1:29" ht="54" customHeight="1" x14ac:dyDescent="0.4"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220"/>
      <c r="AC9" s="220"/>
    </row>
    <row r="10" spans="1:29" ht="15" hidden="1" customHeight="1" x14ac:dyDescent="0.4"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220"/>
      <c r="AC10" s="220"/>
    </row>
    <row r="11" spans="1:29" ht="75.75" customHeight="1" x14ac:dyDescent="0.25">
      <c r="A11" s="217" t="s">
        <v>754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20"/>
      <c r="AC11" s="220"/>
    </row>
    <row r="12" spans="1:29" ht="23.25" customHeight="1" x14ac:dyDescent="0.25">
      <c r="A12" s="216" t="s">
        <v>617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20"/>
      <c r="AC12" s="220"/>
    </row>
    <row r="13" spans="1:29" ht="15.75" customHeight="1" x14ac:dyDescent="0.25">
      <c r="A13" s="199" t="s">
        <v>517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220"/>
      <c r="AC13" s="220"/>
    </row>
    <row r="14" spans="1:29" s="72" customFormat="1" ht="21" customHeight="1" x14ac:dyDescent="0.3">
      <c r="A14" s="68"/>
      <c r="B14" s="69"/>
      <c r="C14" s="70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12" t="s">
        <v>344</v>
      </c>
      <c r="AA14" s="12" t="s">
        <v>344</v>
      </c>
      <c r="AB14" s="220"/>
      <c r="AC14" s="220"/>
    </row>
    <row r="15" spans="1:29" s="73" customFormat="1" ht="22.9" customHeight="1" x14ac:dyDescent="0.25">
      <c r="A15" s="218" t="s">
        <v>323</v>
      </c>
      <c r="B15" s="218" t="s">
        <v>313</v>
      </c>
      <c r="C15" s="218" t="s">
        <v>325</v>
      </c>
      <c r="D15" s="204" t="s">
        <v>216</v>
      </c>
      <c r="E15" s="205"/>
      <c r="F15" s="205"/>
      <c r="G15" s="205"/>
      <c r="H15" s="205"/>
      <c r="I15" s="205"/>
      <c r="J15" s="205"/>
      <c r="K15" s="206"/>
      <c r="L15" s="202" t="s">
        <v>758</v>
      </c>
      <c r="M15" s="204" t="s">
        <v>217</v>
      </c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6"/>
      <c r="Y15" s="202" t="s">
        <v>758</v>
      </c>
      <c r="Z15" s="201" t="s">
        <v>218</v>
      </c>
      <c r="AA15" s="203" t="s">
        <v>218</v>
      </c>
      <c r="AB15" s="220"/>
      <c r="AC15" s="220"/>
    </row>
    <row r="16" spans="1:29" s="73" customFormat="1" ht="51" customHeight="1" x14ac:dyDescent="0.25">
      <c r="A16" s="218"/>
      <c r="B16" s="218"/>
      <c r="C16" s="218"/>
      <c r="D16" s="203" t="s">
        <v>756</v>
      </c>
      <c r="E16" s="203"/>
      <c r="F16" s="203"/>
      <c r="G16" s="203"/>
      <c r="H16" s="203"/>
      <c r="I16" s="203" t="s">
        <v>757</v>
      </c>
      <c r="J16" s="203"/>
      <c r="K16" s="203"/>
      <c r="L16" s="202"/>
      <c r="M16" s="203" t="s">
        <v>756</v>
      </c>
      <c r="N16" s="203"/>
      <c r="O16" s="203"/>
      <c r="P16" s="203"/>
      <c r="Q16" s="203"/>
      <c r="R16" s="203"/>
      <c r="S16" s="212" t="s">
        <v>757</v>
      </c>
      <c r="T16" s="212"/>
      <c r="U16" s="212"/>
      <c r="V16" s="212"/>
      <c r="W16" s="212"/>
      <c r="X16" s="212"/>
      <c r="Y16" s="202"/>
      <c r="Z16" s="201"/>
      <c r="AA16" s="203"/>
      <c r="AB16" s="220"/>
      <c r="AC16" s="220"/>
    </row>
    <row r="17" spans="1:32" s="73" customFormat="1" ht="29.25" customHeight="1" x14ac:dyDescent="0.25">
      <c r="A17" s="218"/>
      <c r="B17" s="218"/>
      <c r="C17" s="218"/>
      <c r="D17" s="219" t="s">
        <v>314</v>
      </c>
      <c r="E17" s="219" t="s">
        <v>219</v>
      </c>
      <c r="F17" s="200" t="s">
        <v>220</v>
      </c>
      <c r="G17" s="200"/>
      <c r="H17" s="219" t="s">
        <v>221</v>
      </c>
      <c r="I17" s="201" t="s">
        <v>314</v>
      </c>
      <c r="J17" s="201" t="s">
        <v>220</v>
      </c>
      <c r="K17" s="201"/>
      <c r="L17" s="202"/>
      <c r="M17" s="219" t="s">
        <v>314</v>
      </c>
      <c r="N17" s="219" t="s">
        <v>315</v>
      </c>
      <c r="O17" s="219" t="s">
        <v>219</v>
      </c>
      <c r="P17" s="200" t="s">
        <v>220</v>
      </c>
      <c r="Q17" s="200"/>
      <c r="R17" s="219" t="s">
        <v>221</v>
      </c>
      <c r="S17" s="213" t="s">
        <v>314</v>
      </c>
      <c r="T17" s="201" t="s">
        <v>315</v>
      </c>
      <c r="U17" s="213" t="s">
        <v>219</v>
      </c>
      <c r="V17" s="213" t="s">
        <v>220</v>
      </c>
      <c r="W17" s="213"/>
      <c r="X17" s="213" t="s">
        <v>221</v>
      </c>
      <c r="Y17" s="202"/>
      <c r="Z17" s="201"/>
      <c r="AA17" s="203"/>
      <c r="AB17" s="220"/>
      <c r="AC17" s="220"/>
    </row>
    <row r="18" spans="1:32" s="73" customFormat="1" ht="60.75" customHeight="1" x14ac:dyDescent="0.25">
      <c r="A18" s="218"/>
      <c r="B18" s="218"/>
      <c r="C18" s="218"/>
      <c r="D18" s="219"/>
      <c r="E18" s="219"/>
      <c r="F18" s="158" t="s">
        <v>222</v>
      </c>
      <c r="G18" s="158" t="s">
        <v>223</v>
      </c>
      <c r="H18" s="219"/>
      <c r="I18" s="201"/>
      <c r="J18" s="151" t="s">
        <v>222</v>
      </c>
      <c r="K18" s="151" t="s">
        <v>223</v>
      </c>
      <c r="L18" s="202"/>
      <c r="M18" s="219"/>
      <c r="N18" s="219"/>
      <c r="O18" s="219"/>
      <c r="P18" s="158" t="s">
        <v>222</v>
      </c>
      <c r="Q18" s="158" t="s">
        <v>223</v>
      </c>
      <c r="R18" s="219"/>
      <c r="S18" s="213"/>
      <c r="T18" s="201"/>
      <c r="U18" s="213"/>
      <c r="V18" s="156" t="s">
        <v>222</v>
      </c>
      <c r="W18" s="156" t="s">
        <v>223</v>
      </c>
      <c r="X18" s="213"/>
      <c r="Y18" s="202"/>
      <c r="Z18" s="201"/>
      <c r="AA18" s="203"/>
      <c r="AB18" s="220"/>
      <c r="AC18" s="220"/>
    </row>
    <row r="19" spans="1:32" s="73" customFormat="1" ht="21" customHeight="1" x14ac:dyDescent="0.25">
      <c r="A19" s="74" t="s">
        <v>42</v>
      </c>
      <c r="B19" s="75"/>
      <c r="C19" s="76" t="s">
        <v>734</v>
      </c>
      <c r="D19" s="77">
        <f>D21+D23+D24+D26</f>
        <v>346154870.16000003</v>
      </c>
      <c r="E19" s="77">
        <f t="shared" ref="E19:X19" si="0">E21+E23+E24+E26</f>
        <v>346154870.16000003</v>
      </c>
      <c r="F19" s="77">
        <f t="shared" si="0"/>
        <v>259232432</v>
      </c>
      <c r="G19" s="77">
        <f t="shared" si="0"/>
        <v>11295892</v>
      </c>
      <c r="H19" s="77">
        <f t="shared" si="0"/>
        <v>0</v>
      </c>
      <c r="I19" s="77">
        <f t="shared" si="0"/>
        <v>340166518.41999996</v>
      </c>
      <c r="J19" s="77">
        <f t="shared" si="0"/>
        <v>258251734.14999995</v>
      </c>
      <c r="K19" s="77">
        <f t="shared" si="0"/>
        <v>8617900.9499999993</v>
      </c>
      <c r="L19" s="136">
        <f>I19/D19*100</f>
        <v>98.270036837201758</v>
      </c>
      <c r="M19" s="77">
        <f t="shared" si="0"/>
        <v>15760635.4</v>
      </c>
      <c r="N19" s="77">
        <f t="shared" si="0"/>
        <v>15391635.4</v>
      </c>
      <c r="O19" s="77">
        <f t="shared" si="0"/>
        <v>369000</v>
      </c>
      <c r="P19" s="77">
        <f t="shared" si="0"/>
        <v>0</v>
      </c>
      <c r="Q19" s="77">
        <f t="shared" si="0"/>
        <v>208200</v>
      </c>
      <c r="R19" s="77">
        <f t="shared" si="0"/>
        <v>15391635.4</v>
      </c>
      <c r="S19" s="77">
        <f t="shared" si="0"/>
        <v>33352016.219999991</v>
      </c>
      <c r="T19" s="77">
        <f t="shared" si="0"/>
        <v>1827259.4500000002</v>
      </c>
      <c r="U19" s="77">
        <f t="shared" si="0"/>
        <v>23646620.099999998</v>
      </c>
      <c r="V19" s="77">
        <f t="shared" si="0"/>
        <v>702727.43</v>
      </c>
      <c r="W19" s="77">
        <f t="shared" si="0"/>
        <v>160446.82</v>
      </c>
      <c r="X19" s="77">
        <f t="shared" si="0"/>
        <v>9705396.1199999992</v>
      </c>
      <c r="Y19" s="136" t="s">
        <v>775</v>
      </c>
      <c r="Z19" s="77">
        <f>S19+I19</f>
        <v>373518534.63999993</v>
      </c>
      <c r="AA19" s="77">
        <f t="shared" ref="AA19" si="1">AA21+AA23+AA24+AA26</f>
        <v>361915505.56</v>
      </c>
      <c r="AB19" s="220"/>
      <c r="AC19" s="220"/>
      <c r="AD19" s="196">
        <f>D19+M19</f>
        <v>361915505.56</v>
      </c>
      <c r="AF19" s="73">
        <f>Z19/AD19*100</f>
        <v>103.20600496572987</v>
      </c>
    </row>
    <row r="20" spans="1:32" s="73" customFormat="1" ht="83.45" customHeight="1" x14ac:dyDescent="0.25">
      <c r="A20" s="74"/>
      <c r="B20" s="75"/>
      <c r="C20" s="54" t="s">
        <v>618</v>
      </c>
      <c r="D20" s="78">
        <f>D22+D25</f>
        <v>3426052</v>
      </c>
      <c r="E20" s="78">
        <f t="shared" ref="E20:X20" si="2">E22+E25</f>
        <v>3426052</v>
      </c>
      <c r="F20" s="78">
        <f t="shared" si="2"/>
        <v>2531101</v>
      </c>
      <c r="G20" s="78">
        <f t="shared" si="2"/>
        <v>0</v>
      </c>
      <c r="H20" s="78">
        <f t="shared" si="2"/>
        <v>0</v>
      </c>
      <c r="I20" s="78">
        <f t="shared" si="2"/>
        <v>3274132.4</v>
      </c>
      <c r="J20" s="78">
        <f t="shared" si="2"/>
        <v>2531101</v>
      </c>
      <c r="K20" s="78">
        <f t="shared" si="2"/>
        <v>0</v>
      </c>
      <c r="L20" s="178">
        <f t="shared" ref="L20:L83" si="3">I20/D20*100</f>
        <v>95.565753234335034</v>
      </c>
      <c r="M20" s="78">
        <f t="shared" si="2"/>
        <v>312000</v>
      </c>
      <c r="N20" s="78">
        <f t="shared" si="2"/>
        <v>312000</v>
      </c>
      <c r="O20" s="78">
        <f t="shared" si="2"/>
        <v>0</v>
      </c>
      <c r="P20" s="78">
        <f t="shared" si="2"/>
        <v>0</v>
      </c>
      <c r="Q20" s="78">
        <f t="shared" si="2"/>
        <v>0</v>
      </c>
      <c r="R20" s="78">
        <f t="shared" si="2"/>
        <v>312000</v>
      </c>
      <c r="S20" s="78">
        <f t="shared" si="2"/>
        <v>312000</v>
      </c>
      <c r="T20" s="78">
        <f t="shared" si="2"/>
        <v>312000</v>
      </c>
      <c r="U20" s="78">
        <f t="shared" si="2"/>
        <v>0</v>
      </c>
      <c r="V20" s="78">
        <f t="shared" si="2"/>
        <v>0</v>
      </c>
      <c r="W20" s="78">
        <f t="shared" si="2"/>
        <v>0</v>
      </c>
      <c r="X20" s="78">
        <f t="shared" si="2"/>
        <v>312000</v>
      </c>
      <c r="Y20" s="178">
        <f t="shared" ref="Y20:Y78" si="4">S20/M20*100</f>
        <v>100</v>
      </c>
      <c r="Z20" s="78">
        <f t="shared" ref="Z20:Z83" si="5">S20+I20</f>
        <v>3586132.4</v>
      </c>
      <c r="AA20" s="78">
        <f t="shared" ref="AA20" si="6">AA22+AA25</f>
        <v>3738052</v>
      </c>
      <c r="AB20" s="220"/>
      <c r="AC20" s="220"/>
    </row>
    <row r="21" spans="1:32" ht="37.5" customHeight="1" x14ac:dyDescent="0.25">
      <c r="A21" s="45" t="s">
        <v>114</v>
      </c>
      <c r="B21" s="45" t="s">
        <v>44</v>
      </c>
      <c r="C21" s="35" t="s">
        <v>701</v>
      </c>
      <c r="D21" s="79">
        <f>'дод 2'!E24+'дод 2'!E93+'дод 2'!E189+'дод 2'!E230+'дод 2'!E276+'дод 2'!E285+'дод 2'!E310+'дод 2'!E376+'дод 2'!E388+'дод 2'!E419+'дод 2'!E427+'дод 2'!E434+'дод 2'!E465+'дод 2'!E379+'дод 2'!E443+'дод 2'!E452+'дод 2'!E430+'дод 2'!E481</f>
        <v>343836270.16000003</v>
      </c>
      <c r="E21" s="79">
        <f>'дод 2'!F24+'дод 2'!F93+'дод 2'!F189+'дод 2'!F230+'дод 2'!F276+'дод 2'!F285+'дод 2'!F310+'дод 2'!F376+'дод 2'!F388+'дод 2'!F419+'дод 2'!F427+'дод 2'!F434+'дод 2'!F465+'дод 2'!F379+'дод 2'!F443+'дод 2'!F452+'дод 2'!F430+'дод 2'!F481</f>
        <v>343836270.16000003</v>
      </c>
      <c r="F21" s="79">
        <f>'дод 2'!G24+'дод 2'!G93+'дод 2'!G189+'дод 2'!G230+'дод 2'!G276+'дод 2'!G285+'дод 2'!G310+'дод 2'!G376+'дод 2'!G388+'дод 2'!G419+'дод 2'!G427+'дод 2'!G434+'дод 2'!G465+'дод 2'!G379+'дод 2'!G443+'дод 2'!G452+'дод 2'!G430+'дод 2'!G481</f>
        <v>259232432</v>
      </c>
      <c r="G21" s="79">
        <f>'дод 2'!H24+'дод 2'!H93+'дод 2'!H189+'дод 2'!H230+'дод 2'!H276+'дод 2'!H285+'дод 2'!H310+'дод 2'!H376+'дод 2'!H388+'дод 2'!H419+'дод 2'!H427+'дод 2'!H434+'дод 2'!H465+'дод 2'!H379+'дод 2'!H443+'дод 2'!H452+'дод 2'!H430+'дод 2'!H481</f>
        <v>11295892</v>
      </c>
      <c r="H21" s="79">
        <f>'дод 2'!I24+'дод 2'!I93+'дод 2'!I189+'дод 2'!I230+'дод 2'!I276+'дод 2'!I285+'дод 2'!I310+'дод 2'!I376+'дод 2'!I388+'дод 2'!I419+'дод 2'!I427+'дод 2'!I434+'дод 2'!I465+'дод 2'!I379+'дод 2'!I443+'дод 2'!I452+'дод 2'!I430+'дод 2'!I481</f>
        <v>0</v>
      </c>
      <c r="I21" s="79">
        <f>'дод 2'!J24+'дод 2'!J93+'дод 2'!J189+'дод 2'!J230+'дод 2'!J276+'дод 2'!J285+'дод 2'!J310+'дод 2'!J376+'дод 2'!J388+'дод 2'!J419+'дод 2'!J427+'дод 2'!J434+'дод 2'!J465+'дод 2'!J379+'дод 2'!J443+'дод 2'!J452+'дод 2'!J430+'дод 2'!J481</f>
        <v>338450765.54999995</v>
      </c>
      <c r="J21" s="79">
        <f>'дод 2'!K24+'дод 2'!K93+'дод 2'!K189+'дод 2'!K230+'дод 2'!K276+'дод 2'!K285+'дод 2'!K310+'дод 2'!K376+'дод 2'!K388+'дод 2'!K419+'дод 2'!K427+'дод 2'!K434+'дод 2'!K465+'дод 2'!K379+'дод 2'!K443+'дод 2'!K452+'дод 2'!K430+'дод 2'!K481</f>
        <v>258251734.14999995</v>
      </c>
      <c r="K21" s="79">
        <f>'дод 2'!L24+'дод 2'!L93+'дод 2'!L189+'дод 2'!L230+'дод 2'!L276+'дод 2'!L285+'дод 2'!L310+'дод 2'!L376+'дод 2'!L388+'дод 2'!L419+'дод 2'!L427+'дод 2'!L434+'дод 2'!L465+'дод 2'!L379+'дод 2'!L443+'дод 2'!L452+'дод 2'!L430+'дод 2'!L481</f>
        <v>8617900.9499999993</v>
      </c>
      <c r="L21" s="179">
        <f t="shared" si="3"/>
        <v>98.433700840375565</v>
      </c>
      <c r="M21" s="79">
        <f>'дод 2'!N24+'дод 2'!N93+'дод 2'!N189+'дод 2'!N230+'дод 2'!N276+'дод 2'!N285+'дод 2'!N310+'дод 2'!N376+'дод 2'!N388+'дод 2'!N419+'дод 2'!N427+'дод 2'!N434+'дод 2'!N465+'дод 2'!N379+'дод 2'!N443+'дод 2'!N452+'дод 2'!N430+'дод 2'!N481</f>
        <v>15760635.4</v>
      </c>
      <c r="N21" s="79">
        <f>'дод 2'!O24+'дод 2'!O93+'дод 2'!O189+'дод 2'!O230+'дод 2'!O276+'дод 2'!O285+'дод 2'!O310+'дод 2'!O376+'дод 2'!O388+'дод 2'!O419+'дод 2'!O427+'дод 2'!O434+'дод 2'!O465+'дод 2'!O379+'дод 2'!O443+'дод 2'!O452+'дод 2'!O430+'дод 2'!O481</f>
        <v>15391635.4</v>
      </c>
      <c r="O21" s="79">
        <f>'дод 2'!P24+'дод 2'!P93+'дод 2'!P189+'дод 2'!P230+'дод 2'!P276+'дод 2'!P285+'дод 2'!P310+'дод 2'!P376+'дод 2'!P388+'дод 2'!P419+'дод 2'!P427+'дод 2'!P434+'дод 2'!P465+'дод 2'!P379+'дод 2'!P443+'дод 2'!P452+'дод 2'!P430+'дод 2'!P481</f>
        <v>369000</v>
      </c>
      <c r="P21" s="79">
        <f>'дод 2'!Q24+'дод 2'!Q93+'дод 2'!Q189+'дод 2'!Q230+'дод 2'!Q276+'дод 2'!Q285+'дод 2'!Q310+'дод 2'!Q376+'дод 2'!Q388+'дод 2'!Q419+'дод 2'!Q427+'дод 2'!Q434+'дод 2'!Q465+'дод 2'!Q379+'дод 2'!Q443+'дод 2'!Q452+'дод 2'!Q430+'дод 2'!Q481</f>
        <v>0</v>
      </c>
      <c r="Q21" s="79">
        <f>'дод 2'!R24+'дод 2'!R93+'дод 2'!R189+'дод 2'!R230+'дод 2'!R276+'дод 2'!R285+'дод 2'!R310+'дод 2'!R376+'дод 2'!R388+'дод 2'!R419+'дод 2'!R427+'дод 2'!R434+'дод 2'!R465+'дод 2'!R379+'дод 2'!R443+'дод 2'!R452+'дод 2'!R430+'дод 2'!R481</f>
        <v>208200</v>
      </c>
      <c r="R21" s="79">
        <f>'дод 2'!S24+'дод 2'!S93+'дод 2'!S189+'дод 2'!S230+'дод 2'!S276+'дод 2'!S285+'дод 2'!S310+'дод 2'!S376+'дод 2'!S388+'дод 2'!S419+'дод 2'!S427+'дод 2'!S434+'дод 2'!S465+'дод 2'!S379+'дод 2'!S443+'дод 2'!S452+'дод 2'!S430+'дод 2'!S481</f>
        <v>15391635.4</v>
      </c>
      <c r="S21" s="79">
        <f>'дод 2'!T24+'дод 2'!T93+'дод 2'!T189+'дод 2'!T230+'дод 2'!T276+'дод 2'!T285+'дод 2'!T310+'дод 2'!T376+'дод 2'!T388+'дод 2'!T419+'дод 2'!T427+'дод 2'!T434+'дод 2'!T465+'дод 2'!T379+'дод 2'!T443+'дод 2'!T452+'дод 2'!T430+'дод 2'!T481</f>
        <v>33352016.219999991</v>
      </c>
      <c r="T21" s="79">
        <f>'дод 2'!U24+'дод 2'!U93+'дод 2'!U189+'дод 2'!U230+'дод 2'!U276+'дод 2'!U285+'дод 2'!U310+'дод 2'!U376+'дод 2'!U388+'дод 2'!U419+'дод 2'!U427+'дод 2'!U434+'дод 2'!U465+'дод 2'!U379+'дод 2'!U443+'дод 2'!U452+'дод 2'!U430+'дод 2'!U481</f>
        <v>1827259.4500000002</v>
      </c>
      <c r="U21" s="79">
        <f>'дод 2'!V24+'дод 2'!V93+'дод 2'!V189+'дод 2'!V230+'дод 2'!V276+'дод 2'!V285+'дод 2'!V310+'дод 2'!V376+'дод 2'!V388+'дод 2'!V419+'дод 2'!V427+'дод 2'!V434+'дод 2'!V465+'дод 2'!V379+'дод 2'!V443+'дод 2'!V452+'дод 2'!V430+'дод 2'!V481</f>
        <v>23646620.099999998</v>
      </c>
      <c r="V21" s="79">
        <f>'дод 2'!W24+'дод 2'!W93+'дод 2'!W189+'дод 2'!W230+'дод 2'!W276+'дод 2'!W285+'дод 2'!W310+'дод 2'!W376+'дод 2'!W388+'дод 2'!W419+'дод 2'!W427+'дод 2'!W434+'дод 2'!W465+'дод 2'!W379+'дод 2'!W443+'дод 2'!W452+'дод 2'!W430+'дод 2'!W481</f>
        <v>702727.43</v>
      </c>
      <c r="W21" s="79">
        <f>'дод 2'!X24+'дод 2'!X93+'дод 2'!X189+'дод 2'!X230+'дод 2'!X276+'дод 2'!X285+'дод 2'!X310+'дод 2'!X376+'дод 2'!X388+'дод 2'!X419+'дод 2'!X427+'дод 2'!X434+'дод 2'!X465+'дод 2'!X379+'дод 2'!X443+'дод 2'!X452+'дод 2'!X430+'дод 2'!X481</f>
        <v>160446.82</v>
      </c>
      <c r="X21" s="79">
        <f>'дод 2'!Y24+'дод 2'!Y93+'дод 2'!Y189+'дод 2'!Y230+'дод 2'!Y276+'дод 2'!Y285+'дод 2'!Y310+'дод 2'!Y376+'дод 2'!Y388+'дод 2'!Y419+'дод 2'!Y427+'дод 2'!Y434+'дод 2'!Y465+'дод 2'!Y379+'дод 2'!Y443+'дод 2'!Y452+'дод 2'!Y430+'дод 2'!Y481</f>
        <v>9705396.1199999992</v>
      </c>
      <c r="Y21" s="179" t="s">
        <v>775</v>
      </c>
      <c r="Z21" s="79">
        <f t="shared" si="5"/>
        <v>371802781.76999992</v>
      </c>
      <c r="AA21" s="79">
        <f>'дод 2'!AB24+'дод 2'!AB93+'дод 2'!AB189+'дод 2'!AB230+'дод 2'!AB276+'дод 2'!AB285+'дод 2'!AB310+'дод 2'!AB376+'дод 2'!AB388+'дод 2'!AB419+'дод 2'!AB427+'дод 2'!AB434+'дод 2'!AB465+'дод 2'!AB379+'дод 2'!AB443+'дод 2'!AB452+'дод 2'!AB430+'дод 2'!AB481</f>
        <v>359596905.56</v>
      </c>
      <c r="AB21" s="220"/>
      <c r="AC21" s="220"/>
    </row>
    <row r="22" spans="1:32" ht="78.400000000000006" customHeight="1" x14ac:dyDescent="0.25">
      <c r="A22" s="45"/>
      <c r="B22" s="45"/>
      <c r="C22" s="48" t="s">
        <v>618</v>
      </c>
      <c r="D22" s="80">
        <f>'дод 2'!E466+'дод 2'!E482+'дод 2'!E311</f>
        <v>3126052</v>
      </c>
      <c r="E22" s="80">
        <f>'дод 2'!F466+'дод 2'!F482+'дод 2'!F311</f>
        <v>3126052</v>
      </c>
      <c r="F22" s="80">
        <f>'дод 2'!G466+'дод 2'!G482+'дод 2'!G311</f>
        <v>2531101</v>
      </c>
      <c r="G22" s="80">
        <f>'дод 2'!H466+'дод 2'!H482+'дод 2'!H311</f>
        <v>0</v>
      </c>
      <c r="H22" s="80">
        <f>'дод 2'!I466+'дод 2'!I482+'дод 2'!I311</f>
        <v>0</v>
      </c>
      <c r="I22" s="80">
        <f>'дод 2'!J466+'дод 2'!J482+'дод 2'!J311</f>
        <v>3126052</v>
      </c>
      <c r="J22" s="80">
        <f>'дод 2'!K466+'дод 2'!K482+'дод 2'!K311</f>
        <v>2531101</v>
      </c>
      <c r="K22" s="80">
        <f>'дод 2'!L466+'дод 2'!L482+'дод 2'!L311</f>
        <v>0</v>
      </c>
      <c r="L22" s="180">
        <f t="shared" si="3"/>
        <v>100</v>
      </c>
      <c r="M22" s="80">
        <f>'дод 2'!N466+'дод 2'!N482+'дод 2'!N311</f>
        <v>312000</v>
      </c>
      <c r="N22" s="80">
        <f>'дод 2'!O466+'дод 2'!O482+'дод 2'!O311</f>
        <v>312000</v>
      </c>
      <c r="O22" s="80">
        <f>'дод 2'!P466+'дод 2'!P482+'дод 2'!P311</f>
        <v>0</v>
      </c>
      <c r="P22" s="80">
        <f>'дод 2'!Q466+'дод 2'!Q482+'дод 2'!Q311</f>
        <v>0</v>
      </c>
      <c r="Q22" s="80">
        <f>'дод 2'!R466+'дод 2'!R482+'дод 2'!R311</f>
        <v>0</v>
      </c>
      <c r="R22" s="80">
        <f>'дод 2'!S466+'дод 2'!S482+'дод 2'!S311</f>
        <v>312000</v>
      </c>
      <c r="S22" s="80">
        <f>'дод 2'!T466+'дод 2'!T482+'дод 2'!T311</f>
        <v>312000</v>
      </c>
      <c r="T22" s="80">
        <f>'дод 2'!U466+'дод 2'!U482+'дод 2'!U311</f>
        <v>312000</v>
      </c>
      <c r="U22" s="80">
        <f>'дод 2'!V466+'дод 2'!V482+'дод 2'!V311</f>
        <v>0</v>
      </c>
      <c r="V22" s="80">
        <f>'дод 2'!W466+'дод 2'!W482+'дод 2'!W311</f>
        <v>0</v>
      </c>
      <c r="W22" s="80">
        <f>'дод 2'!X466+'дод 2'!X482+'дод 2'!X311</f>
        <v>0</v>
      </c>
      <c r="X22" s="80">
        <f>'дод 2'!Y466+'дод 2'!Y482+'дод 2'!Y311</f>
        <v>312000</v>
      </c>
      <c r="Y22" s="180">
        <f t="shared" si="4"/>
        <v>100</v>
      </c>
      <c r="Z22" s="80">
        <f t="shared" si="5"/>
        <v>3438052</v>
      </c>
      <c r="AA22" s="80">
        <f>'дод 2'!AB466+'дод 2'!AB482+'дод 2'!AB311</f>
        <v>3438052</v>
      </c>
      <c r="AB22" s="220"/>
      <c r="AC22" s="220"/>
    </row>
    <row r="23" spans="1:32" ht="33" hidden="1" customHeight="1" x14ac:dyDescent="0.25">
      <c r="A23" s="34" t="s">
        <v>86</v>
      </c>
      <c r="B23" s="34" t="s">
        <v>432</v>
      </c>
      <c r="C23" s="35" t="s">
        <v>423</v>
      </c>
      <c r="D23" s="79">
        <f>'дод 2'!E25</f>
        <v>0</v>
      </c>
      <c r="E23" s="79">
        <f>'дод 2'!F25</f>
        <v>0</v>
      </c>
      <c r="F23" s="79">
        <f>'дод 2'!G25</f>
        <v>0</v>
      </c>
      <c r="G23" s="79">
        <f>'дод 2'!H25</f>
        <v>0</v>
      </c>
      <c r="H23" s="79">
        <f>'дод 2'!I25</f>
        <v>0</v>
      </c>
      <c r="I23" s="79">
        <f>'дод 2'!J25</f>
        <v>0</v>
      </c>
      <c r="J23" s="79">
        <f>'дод 2'!K25</f>
        <v>0</v>
      </c>
      <c r="K23" s="79">
        <f>'дод 2'!L25</f>
        <v>0</v>
      </c>
      <c r="L23" s="179" t="e">
        <f t="shared" si="3"/>
        <v>#DIV/0!</v>
      </c>
      <c r="M23" s="79">
        <f>'дод 2'!N25</f>
        <v>0</v>
      </c>
      <c r="N23" s="79">
        <f>'дод 2'!O25</f>
        <v>0</v>
      </c>
      <c r="O23" s="79">
        <f>'дод 2'!P25</f>
        <v>0</v>
      </c>
      <c r="P23" s="79">
        <f>'дод 2'!Q25</f>
        <v>0</v>
      </c>
      <c r="Q23" s="79">
        <f>'дод 2'!R25</f>
        <v>0</v>
      </c>
      <c r="R23" s="79">
        <f>'дод 2'!S25</f>
        <v>0</v>
      </c>
      <c r="S23" s="79">
        <f>'дод 2'!T25</f>
        <v>0</v>
      </c>
      <c r="T23" s="79">
        <f>'дод 2'!U25</f>
        <v>0</v>
      </c>
      <c r="U23" s="79">
        <f>'дод 2'!V25</f>
        <v>0</v>
      </c>
      <c r="V23" s="79">
        <f>'дод 2'!W25</f>
        <v>0</v>
      </c>
      <c r="W23" s="79">
        <f>'дод 2'!X25</f>
        <v>0</v>
      </c>
      <c r="X23" s="79">
        <f>'дод 2'!Y25</f>
        <v>0</v>
      </c>
      <c r="Y23" s="179" t="e">
        <f t="shared" si="4"/>
        <v>#DIV/0!</v>
      </c>
      <c r="Z23" s="79">
        <f t="shared" si="5"/>
        <v>0</v>
      </c>
      <c r="AA23" s="79">
        <f>'дод 2'!AB25</f>
        <v>0</v>
      </c>
      <c r="AB23" s="220"/>
      <c r="AC23" s="220"/>
    </row>
    <row r="24" spans="1:32" ht="22.5" customHeight="1" x14ac:dyDescent="0.25">
      <c r="A24" s="45" t="s">
        <v>43</v>
      </c>
      <c r="B24" s="45" t="s">
        <v>89</v>
      </c>
      <c r="C24" s="35" t="s">
        <v>706</v>
      </c>
      <c r="D24" s="79">
        <f>'дод 2'!E26+'дод 2'!E231+'дод 2'!E312</f>
        <v>2318600</v>
      </c>
      <c r="E24" s="79">
        <f>'дод 2'!F26+'дод 2'!F231+'дод 2'!F312</f>
        <v>2318600</v>
      </c>
      <c r="F24" s="79">
        <f>'дод 2'!G26+'дод 2'!G231+'дод 2'!G312</f>
        <v>0</v>
      </c>
      <c r="G24" s="79">
        <f>'дод 2'!H26+'дод 2'!H231+'дод 2'!H312</f>
        <v>0</v>
      </c>
      <c r="H24" s="79">
        <f>'дод 2'!I26+'дод 2'!I231+'дод 2'!I312</f>
        <v>0</v>
      </c>
      <c r="I24" s="79">
        <f>'дод 2'!J26+'дод 2'!J231+'дод 2'!J312</f>
        <v>1715752.87</v>
      </c>
      <c r="J24" s="79">
        <f>'дод 2'!K26+'дод 2'!K231+'дод 2'!K312</f>
        <v>0</v>
      </c>
      <c r="K24" s="79">
        <f>'дод 2'!L26+'дод 2'!L231+'дод 2'!L312</f>
        <v>0</v>
      </c>
      <c r="L24" s="179">
        <f t="shared" si="3"/>
        <v>73.999519968946785</v>
      </c>
      <c r="M24" s="79">
        <f>'дод 2'!N26+'дод 2'!N231+'дод 2'!N312</f>
        <v>0</v>
      </c>
      <c r="N24" s="79">
        <f>'дод 2'!O26+'дод 2'!O231+'дод 2'!O312</f>
        <v>0</v>
      </c>
      <c r="O24" s="79">
        <f>'дод 2'!P26+'дод 2'!P231+'дод 2'!P312</f>
        <v>0</v>
      </c>
      <c r="P24" s="79">
        <f>'дод 2'!Q26+'дод 2'!Q231+'дод 2'!Q312</f>
        <v>0</v>
      </c>
      <c r="Q24" s="79">
        <f>'дод 2'!R26+'дод 2'!R231+'дод 2'!R312</f>
        <v>0</v>
      </c>
      <c r="R24" s="79">
        <f>'дод 2'!S26+'дод 2'!S231+'дод 2'!S312</f>
        <v>0</v>
      </c>
      <c r="S24" s="79">
        <f>'дод 2'!T26+'дод 2'!T231+'дод 2'!T312</f>
        <v>0</v>
      </c>
      <c r="T24" s="79">
        <f>'дод 2'!U26+'дод 2'!U231+'дод 2'!U312</f>
        <v>0</v>
      </c>
      <c r="U24" s="79">
        <f>'дод 2'!V26+'дод 2'!V231+'дод 2'!V312</f>
        <v>0</v>
      </c>
      <c r="V24" s="79">
        <f>'дод 2'!W26+'дод 2'!W231+'дод 2'!W312</f>
        <v>0</v>
      </c>
      <c r="W24" s="79">
        <f>'дод 2'!X26+'дод 2'!X231+'дод 2'!X312</f>
        <v>0</v>
      </c>
      <c r="X24" s="79">
        <f>'дод 2'!Y26+'дод 2'!Y231+'дод 2'!Y312</f>
        <v>0</v>
      </c>
      <c r="Y24" s="179"/>
      <c r="Z24" s="79">
        <f t="shared" si="5"/>
        <v>1715752.87</v>
      </c>
      <c r="AA24" s="79">
        <f>'дод 2'!AB26+'дод 2'!AB231+'дод 2'!AB312</f>
        <v>2318600</v>
      </c>
      <c r="AB24" s="220"/>
      <c r="AC24" s="220"/>
    </row>
    <row r="25" spans="1:32" ht="95.25" customHeight="1" x14ac:dyDescent="0.25">
      <c r="A25" s="45"/>
      <c r="B25" s="45"/>
      <c r="C25" s="48" t="s">
        <v>618</v>
      </c>
      <c r="D25" s="80">
        <f>'дод 2'!E27</f>
        <v>300000</v>
      </c>
      <c r="E25" s="80">
        <f>'дод 2'!F27</f>
        <v>300000</v>
      </c>
      <c r="F25" s="80">
        <f>'дод 2'!G27</f>
        <v>0</v>
      </c>
      <c r="G25" s="80">
        <f>'дод 2'!H27</f>
        <v>0</v>
      </c>
      <c r="H25" s="80">
        <f>'дод 2'!I27</f>
        <v>0</v>
      </c>
      <c r="I25" s="80">
        <f>'дод 2'!J27</f>
        <v>148080.4</v>
      </c>
      <c r="J25" s="80">
        <f>'дод 2'!K27</f>
        <v>0</v>
      </c>
      <c r="K25" s="80">
        <f>'дод 2'!L27</f>
        <v>0</v>
      </c>
      <c r="L25" s="180">
        <f t="shared" si="3"/>
        <v>49.360133333333337</v>
      </c>
      <c r="M25" s="80">
        <f>'дод 2'!N27</f>
        <v>0</v>
      </c>
      <c r="N25" s="80">
        <f>'дод 2'!O27</f>
        <v>0</v>
      </c>
      <c r="O25" s="80">
        <f>'дод 2'!P27</f>
        <v>0</v>
      </c>
      <c r="P25" s="80">
        <f>'дод 2'!Q27</f>
        <v>0</v>
      </c>
      <c r="Q25" s="80">
        <f>'дод 2'!R27</f>
        <v>0</v>
      </c>
      <c r="R25" s="80">
        <f>'дод 2'!S27</f>
        <v>0</v>
      </c>
      <c r="S25" s="80">
        <f>'дод 2'!T27</f>
        <v>0</v>
      </c>
      <c r="T25" s="80">
        <f>'дод 2'!U27</f>
        <v>0</v>
      </c>
      <c r="U25" s="80">
        <f>'дод 2'!V27</f>
        <v>0</v>
      </c>
      <c r="V25" s="80">
        <f>'дод 2'!W27</f>
        <v>0</v>
      </c>
      <c r="W25" s="80">
        <f>'дод 2'!X27</f>
        <v>0</v>
      </c>
      <c r="X25" s="80">
        <f>'дод 2'!Y27</f>
        <v>0</v>
      </c>
      <c r="Y25" s="180"/>
      <c r="Z25" s="80">
        <f t="shared" si="5"/>
        <v>148080.4</v>
      </c>
      <c r="AA25" s="80">
        <f>'дод 2'!AB27</f>
        <v>300000</v>
      </c>
      <c r="AB25" s="220"/>
      <c r="AC25" s="220"/>
    </row>
    <row r="26" spans="1:32" ht="27" hidden="1" customHeight="1" x14ac:dyDescent="0.25">
      <c r="A26" s="34" t="s">
        <v>411</v>
      </c>
      <c r="B26" s="34" t="s">
        <v>114</v>
      </c>
      <c r="C26" s="35" t="s">
        <v>412</v>
      </c>
      <c r="D26" s="79">
        <f>'дод 2'!E28</f>
        <v>0</v>
      </c>
      <c r="E26" s="79">
        <f>'дод 2'!F28</f>
        <v>0</v>
      </c>
      <c r="F26" s="79">
        <f>'дод 2'!G28</f>
        <v>0</v>
      </c>
      <c r="G26" s="79">
        <f>'дод 2'!H28</f>
        <v>0</v>
      </c>
      <c r="H26" s="79">
        <f>'дод 2'!I28</f>
        <v>0</v>
      </c>
      <c r="I26" s="79">
        <f>'дод 2'!J28</f>
        <v>0</v>
      </c>
      <c r="J26" s="79">
        <f>'дод 2'!K28</f>
        <v>0</v>
      </c>
      <c r="K26" s="79">
        <f>'дод 2'!L28</f>
        <v>0</v>
      </c>
      <c r="L26" s="179" t="e">
        <f t="shared" si="3"/>
        <v>#DIV/0!</v>
      </c>
      <c r="M26" s="79">
        <f>'дод 2'!N28</f>
        <v>0</v>
      </c>
      <c r="N26" s="79">
        <f>'дод 2'!O28</f>
        <v>0</v>
      </c>
      <c r="O26" s="79">
        <f>'дод 2'!P28</f>
        <v>0</v>
      </c>
      <c r="P26" s="79">
        <f>'дод 2'!Q28</f>
        <v>0</v>
      </c>
      <c r="Q26" s="79">
        <f>'дод 2'!R28</f>
        <v>0</v>
      </c>
      <c r="R26" s="79">
        <f>'дод 2'!S28</f>
        <v>0</v>
      </c>
      <c r="S26" s="79">
        <f>'дод 2'!T28</f>
        <v>0</v>
      </c>
      <c r="T26" s="79">
        <f>'дод 2'!U28</f>
        <v>0</v>
      </c>
      <c r="U26" s="79">
        <f>'дод 2'!V28</f>
        <v>0</v>
      </c>
      <c r="V26" s="79">
        <f>'дод 2'!W28</f>
        <v>0</v>
      </c>
      <c r="W26" s="79">
        <f>'дод 2'!X28</f>
        <v>0</v>
      </c>
      <c r="X26" s="79">
        <f>'дод 2'!Y28</f>
        <v>0</v>
      </c>
      <c r="Y26" s="179" t="e">
        <f t="shared" si="4"/>
        <v>#DIV/0!</v>
      </c>
      <c r="Z26" s="79">
        <f t="shared" si="5"/>
        <v>0</v>
      </c>
      <c r="AA26" s="79">
        <f>'дод 2'!AB28</f>
        <v>0</v>
      </c>
      <c r="AB26" s="220"/>
      <c r="AC26" s="220"/>
    </row>
    <row r="27" spans="1:32" s="82" customFormat="1" ht="63" hidden="1" customHeight="1" x14ac:dyDescent="0.25">
      <c r="A27" s="81"/>
      <c r="B27" s="28"/>
      <c r="C27" s="48" t="s">
        <v>415</v>
      </c>
      <c r="D27" s="80">
        <f>'дод 2'!E29</f>
        <v>0</v>
      </c>
      <c r="E27" s="80">
        <f>'дод 2'!F29</f>
        <v>0</v>
      </c>
      <c r="F27" s="80">
        <f>'дод 2'!G29</f>
        <v>0</v>
      </c>
      <c r="G27" s="80">
        <f>'дод 2'!H29</f>
        <v>0</v>
      </c>
      <c r="H27" s="80">
        <f>'дод 2'!I29</f>
        <v>0</v>
      </c>
      <c r="I27" s="80">
        <f>'дод 2'!J29</f>
        <v>0</v>
      </c>
      <c r="J27" s="80">
        <f>'дод 2'!K29</f>
        <v>0</v>
      </c>
      <c r="K27" s="80">
        <f>'дод 2'!L29</f>
        <v>0</v>
      </c>
      <c r="L27" s="180" t="e">
        <f t="shared" si="3"/>
        <v>#DIV/0!</v>
      </c>
      <c r="M27" s="80">
        <f>'дод 2'!N29</f>
        <v>0</v>
      </c>
      <c r="N27" s="80">
        <f>'дод 2'!O29</f>
        <v>0</v>
      </c>
      <c r="O27" s="80">
        <f>'дод 2'!P29</f>
        <v>0</v>
      </c>
      <c r="P27" s="80">
        <f>'дод 2'!Q29</f>
        <v>0</v>
      </c>
      <c r="Q27" s="80">
        <f>'дод 2'!R29</f>
        <v>0</v>
      </c>
      <c r="R27" s="80">
        <f>'дод 2'!S29</f>
        <v>0</v>
      </c>
      <c r="S27" s="80">
        <f>'дод 2'!T29</f>
        <v>0</v>
      </c>
      <c r="T27" s="80">
        <f>'дод 2'!U29</f>
        <v>0</v>
      </c>
      <c r="U27" s="80">
        <f>'дод 2'!V29</f>
        <v>0</v>
      </c>
      <c r="V27" s="80">
        <f>'дод 2'!W29</f>
        <v>0</v>
      </c>
      <c r="W27" s="80">
        <f>'дод 2'!X29</f>
        <v>0</v>
      </c>
      <c r="X27" s="80">
        <f>'дод 2'!Y29</f>
        <v>0</v>
      </c>
      <c r="Y27" s="180" t="e">
        <f t="shared" si="4"/>
        <v>#DIV/0!</v>
      </c>
      <c r="Z27" s="80">
        <f t="shared" si="5"/>
        <v>0</v>
      </c>
      <c r="AA27" s="80">
        <f>'дод 2'!AB29</f>
        <v>0</v>
      </c>
      <c r="AB27" s="220"/>
      <c r="AC27" s="220"/>
    </row>
    <row r="28" spans="1:32" s="73" customFormat="1" ht="18.75" customHeight="1" x14ac:dyDescent="0.25">
      <c r="A28" s="83" t="s">
        <v>45</v>
      </c>
      <c r="B28" s="38"/>
      <c r="C28" s="76" t="s">
        <v>602</v>
      </c>
      <c r="D28" s="77">
        <f t="shared" ref="D28:AA28" si="7">D44+D46+D55+D58+D59+D62+D64+D66+D69+D71+D72+D79+D80+D81+D82+D84+D85+D86+D88+D90+D92+D94+D73+D75+D102+D103+D107+D105+D97+D96+D99+D77+D100+D109</f>
        <v>1527601023.1700001</v>
      </c>
      <c r="E28" s="77">
        <f t="shared" ref="E28:X28" si="8">E44+E46+E55+E58+E59+E62+E64+E66+E69+E71+E72+E79+E80+E81+E82+E84+E85+E86+E88+E90+E92+E94+E73+E75+E102+E103+E107+E105+E97+E96+E99+E77+E100+E109</f>
        <v>1527601023.1700001</v>
      </c>
      <c r="F28" s="77">
        <f t="shared" si="8"/>
        <v>1040771761</v>
      </c>
      <c r="G28" s="77">
        <f t="shared" si="8"/>
        <v>144472365</v>
      </c>
      <c r="H28" s="77">
        <f t="shared" si="8"/>
        <v>0</v>
      </c>
      <c r="I28" s="77">
        <f t="shared" si="8"/>
        <v>1489871690.6800001</v>
      </c>
      <c r="J28" s="77">
        <f t="shared" si="8"/>
        <v>1037487290.16</v>
      </c>
      <c r="K28" s="77">
        <f t="shared" si="8"/>
        <v>130786940.65000001</v>
      </c>
      <c r="L28" s="136">
        <f t="shared" si="3"/>
        <v>97.530157945842035</v>
      </c>
      <c r="M28" s="77">
        <f t="shared" si="8"/>
        <v>574794922</v>
      </c>
      <c r="N28" s="77">
        <f t="shared" si="8"/>
        <v>421818094.64999998</v>
      </c>
      <c r="O28" s="77">
        <f t="shared" si="8"/>
        <v>138481858</v>
      </c>
      <c r="P28" s="77">
        <f t="shared" si="8"/>
        <v>9759935</v>
      </c>
      <c r="Q28" s="77">
        <f t="shared" si="8"/>
        <v>5594400</v>
      </c>
      <c r="R28" s="77">
        <f t="shared" si="8"/>
        <v>436313064</v>
      </c>
      <c r="S28" s="77">
        <f t="shared" si="8"/>
        <v>451138227.42999995</v>
      </c>
      <c r="T28" s="77">
        <f t="shared" si="8"/>
        <v>328513741.38</v>
      </c>
      <c r="U28" s="77">
        <f t="shared" si="8"/>
        <v>82492815.950000003</v>
      </c>
      <c r="V28" s="77">
        <f t="shared" si="8"/>
        <v>15930733.279999999</v>
      </c>
      <c r="W28" s="77">
        <f t="shared" si="8"/>
        <v>4898124.4099999992</v>
      </c>
      <c r="X28" s="77">
        <f t="shared" si="8"/>
        <v>368645411.48000002</v>
      </c>
      <c r="Y28" s="136">
        <f t="shared" si="4"/>
        <v>78.486815064451804</v>
      </c>
      <c r="Z28" s="77">
        <f t="shared" si="5"/>
        <v>1941009918.1100001</v>
      </c>
      <c r="AA28" s="77">
        <f t="shared" si="7"/>
        <v>2102395945.1700001</v>
      </c>
      <c r="AB28" s="220"/>
      <c r="AC28" s="220"/>
      <c r="AD28" s="196">
        <f>D28+M28</f>
        <v>2102395945.1700001</v>
      </c>
      <c r="AF28" s="73">
        <f>Z28/AD28*100</f>
        <v>92.323709174251178</v>
      </c>
    </row>
    <row r="29" spans="1:32" s="85" customFormat="1" ht="30.75" customHeight="1" x14ac:dyDescent="0.25">
      <c r="A29" s="84"/>
      <c r="B29" s="40"/>
      <c r="C29" s="54" t="s">
        <v>375</v>
      </c>
      <c r="D29" s="78">
        <f>D60+D63+D65+D76</f>
        <v>551078300</v>
      </c>
      <c r="E29" s="78">
        <f t="shared" ref="E29:X29" si="9">E60+E63+E65+E76</f>
        <v>551078300</v>
      </c>
      <c r="F29" s="78">
        <f t="shared" si="9"/>
        <v>452384600</v>
      </c>
      <c r="G29" s="78">
        <f t="shared" si="9"/>
        <v>0</v>
      </c>
      <c r="H29" s="78">
        <f t="shared" si="9"/>
        <v>0</v>
      </c>
      <c r="I29" s="78">
        <f t="shared" si="9"/>
        <v>546955919.57000005</v>
      </c>
      <c r="J29" s="78">
        <f t="shared" si="9"/>
        <v>449712648.14999998</v>
      </c>
      <c r="K29" s="78">
        <f t="shared" si="9"/>
        <v>0</v>
      </c>
      <c r="L29" s="178">
        <f t="shared" si="3"/>
        <v>99.251942885430267</v>
      </c>
      <c r="M29" s="78">
        <f t="shared" si="9"/>
        <v>0</v>
      </c>
      <c r="N29" s="78">
        <f t="shared" si="9"/>
        <v>0</v>
      </c>
      <c r="O29" s="78">
        <f t="shared" si="9"/>
        <v>0</v>
      </c>
      <c r="P29" s="78">
        <f t="shared" si="9"/>
        <v>0</v>
      </c>
      <c r="Q29" s="78">
        <f t="shared" si="9"/>
        <v>0</v>
      </c>
      <c r="R29" s="78">
        <f t="shared" si="9"/>
        <v>0</v>
      </c>
      <c r="S29" s="78">
        <f t="shared" si="9"/>
        <v>0</v>
      </c>
      <c r="T29" s="78">
        <f t="shared" si="9"/>
        <v>0</v>
      </c>
      <c r="U29" s="78">
        <f t="shared" si="9"/>
        <v>0</v>
      </c>
      <c r="V29" s="78">
        <f t="shared" si="9"/>
        <v>0</v>
      </c>
      <c r="W29" s="78">
        <f t="shared" si="9"/>
        <v>0</v>
      </c>
      <c r="X29" s="78">
        <f t="shared" si="9"/>
        <v>0</v>
      </c>
      <c r="Y29" s="178"/>
      <c r="Z29" s="78">
        <f t="shared" si="5"/>
        <v>546955919.57000005</v>
      </c>
      <c r="AA29" s="78">
        <f t="shared" ref="AA29" si="10">AA60+AA63+AA65+AA76</f>
        <v>551078300</v>
      </c>
      <c r="AB29" s="220"/>
      <c r="AC29" s="220"/>
    </row>
    <row r="30" spans="1:32" s="85" customFormat="1" ht="31.5" customHeight="1" x14ac:dyDescent="0.25">
      <c r="A30" s="84"/>
      <c r="B30" s="40"/>
      <c r="C30" s="19" t="s">
        <v>575</v>
      </c>
      <c r="D30" s="78">
        <f>D68</f>
        <v>351767.89</v>
      </c>
      <c r="E30" s="78">
        <f t="shared" ref="E30:X30" si="11">E68</f>
        <v>351767.89</v>
      </c>
      <c r="F30" s="78">
        <f t="shared" si="11"/>
        <v>290000</v>
      </c>
      <c r="G30" s="78">
        <f t="shared" si="11"/>
        <v>0</v>
      </c>
      <c r="H30" s="78">
        <f t="shared" si="11"/>
        <v>0</v>
      </c>
      <c r="I30" s="78">
        <f t="shared" si="11"/>
        <v>351767.89</v>
      </c>
      <c r="J30" s="78">
        <f t="shared" si="11"/>
        <v>290000</v>
      </c>
      <c r="K30" s="78">
        <f t="shared" si="11"/>
        <v>0</v>
      </c>
      <c r="L30" s="178">
        <f t="shared" si="3"/>
        <v>100</v>
      </c>
      <c r="M30" s="78">
        <f t="shared" si="11"/>
        <v>0</v>
      </c>
      <c r="N30" s="78">
        <f t="shared" si="11"/>
        <v>0</v>
      </c>
      <c r="O30" s="78">
        <f t="shared" si="11"/>
        <v>0</v>
      </c>
      <c r="P30" s="78">
        <f t="shared" si="11"/>
        <v>0</v>
      </c>
      <c r="Q30" s="78">
        <f t="shared" si="11"/>
        <v>0</v>
      </c>
      <c r="R30" s="78">
        <f t="shared" si="11"/>
        <v>0</v>
      </c>
      <c r="S30" s="78">
        <f t="shared" si="11"/>
        <v>0</v>
      </c>
      <c r="T30" s="78">
        <f t="shared" si="11"/>
        <v>0</v>
      </c>
      <c r="U30" s="78">
        <f t="shared" si="11"/>
        <v>0</v>
      </c>
      <c r="V30" s="78">
        <f t="shared" si="11"/>
        <v>0</v>
      </c>
      <c r="W30" s="78">
        <f t="shared" si="11"/>
        <v>0</v>
      </c>
      <c r="X30" s="78">
        <f t="shared" si="11"/>
        <v>0</v>
      </c>
      <c r="Y30" s="178"/>
      <c r="Z30" s="78">
        <f t="shared" si="5"/>
        <v>351767.89</v>
      </c>
      <c r="AA30" s="78">
        <f t="shared" ref="AA30" si="12">AA68</f>
        <v>351767.89</v>
      </c>
      <c r="AB30" s="220"/>
      <c r="AC30" s="220"/>
    </row>
    <row r="31" spans="1:32" s="85" customFormat="1" ht="54.4" customHeight="1" x14ac:dyDescent="0.25">
      <c r="A31" s="84"/>
      <c r="B31" s="40"/>
      <c r="C31" s="19" t="s">
        <v>673</v>
      </c>
      <c r="D31" s="78">
        <f>D98</f>
        <v>2847046</v>
      </c>
      <c r="E31" s="78">
        <f t="shared" ref="E31:X31" si="13">E98</f>
        <v>2847046</v>
      </c>
      <c r="F31" s="78">
        <f t="shared" si="13"/>
        <v>0</v>
      </c>
      <c r="G31" s="78">
        <f t="shared" si="13"/>
        <v>0</v>
      </c>
      <c r="H31" s="78">
        <f t="shared" si="13"/>
        <v>0</v>
      </c>
      <c r="I31" s="78">
        <f t="shared" si="13"/>
        <v>2846060.89</v>
      </c>
      <c r="J31" s="78">
        <f t="shared" si="13"/>
        <v>0</v>
      </c>
      <c r="K31" s="78">
        <f t="shared" si="13"/>
        <v>0</v>
      </c>
      <c r="L31" s="178">
        <f t="shared" si="3"/>
        <v>99.965398873077575</v>
      </c>
      <c r="M31" s="78">
        <f t="shared" si="13"/>
        <v>5552954</v>
      </c>
      <c r="N31" s="78">
        <f t="shared" si="13"/>
        <v>5552954</v>
      </c>
      <c r="O31" s="78">
        <f t="shared" si="13"/>
        <v>0</v>
      </c>
      <c r="P31" s="78">
        <f t="shared" si="13"/>
        <v>0</v>
      </c>
      <c r="Q31" s="78">
        <f t="shared" si="13"/>
        <v>0</v>
      </c>
      <c r="R31" s="78">
        <f t="shared" si="13"/>
        <v>5552954</v>
      </c>
      <c r="S31" s="78">
        <f t="shared" si="13"/>
        <v>5552954</v>
      </c>
      <c r="T31" s="78">
        <f t="shared" si="13"/>
        <v>5552954</v>
      </c>
      <c r="U31" s="78">
        <f t="shared" si="13"/>
        <v>0</v>
      </c>
      <c r="V31" s="78">
        <f t="shared" si="13"/>
        <v>0</v>
      </c>
      <c r="W31" s="78">
        <f t="shared" si="13"/>
        <v>0</v>
      </c>
      <c r="X31" s="78">
        <f t="shared" si="13"/>
        <v>5552954</v>
      </c>
      <c r="Y31" s="178">
        <f t="shared" si="4"/>
        <v>100</v>
      </c>
      <c r="Z31" s="78">
        <f t="shared" si="5"/>
        <v>8399014.8900000006</v>
      </c>
      <c r="AA31" s="78">
        <f t="shared" ref="AA31" si="14">AA98</f>
        <v>8400000</v>
      </c>
      <c r="AB31" s="220"/>
      <c r="AC31" s="220"/>
    </row>
    <row r="32" spans="1:32" s="85" customFormat="1" ht="75.400000000000006" customHeight="1" x14ac:dyDescent="0.25">
      <c r="A32" s="84"/>
      <c r="B32" s="40"/>
      <c r="C32" s="19" t="str">
        <f>C101</f>
        <v>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v>
      </c>
      <c r="D32" s="78">
        <f>D101</f>
        <v>0</v>
      </c>
      <c r="E32" s="78">
        <f t="shared" ref="E32:X32" si="15">E101</f>
        <v>0</v>
      </c>
      <c r="F32" s="78">
        <f t="shared" si="15"/>
        <v>0</v>
      </c>
      <c r="G32" s="78">
        <f t="shared" si="15"/>
        <v>0</v>
      </c>
      <c r="H32" s="78">
        <f t="shared" si="15"/>
        <v>0</v>
      </c>
      <c r="I32" s="78">
        <f t="shared" si="15"/>
        <v>0</v>
      </c>
      <c r="J32" s="78">
        <f t="shared" si="15"/>
        <v>0</v>
      </c>
      <c r="K32" s="78">
        <f t="shared" si="15"/>
        <v>0</v>
      </c>
      <c r="L32" s="178"/>
      <c r="M32" s="78">
        <f t="shared" si="15"/>
        <v>79554500</v>
      </c>
      <c r="N32" s="78">
        <f t="shared" si="15"/>
        <v>79554500</v>
      </c>
      <c r="O32" s="78">
        <f t="shared" si="15"/>
        <v>0</v>
      </c>
      <c r="P32" s="78">
        <f t="shared" si="15"/>
        <v>0</v>
      </c>
      <c r="Q32" s="78">
        <f t="shared" si="15"/>
        <v>0</v>
      </c>
      <c r="R32" s="78">
        <f t="shared" si="15"/>
        <v>79554500</v>
      </c>
      <c r="S32" s="78">
        <f t="shared" si="15"/>
        <v>67512062.799999997</v>
      </c>
      <c r="T32" s="78">
        <f t="shared" si="15"/>
        <v>67512062.799999997</v>
      </c>
      <c r="U32" s="78">
        <f t="shared" si="15"/>
        <v>0</v>
      </c>
      <c r="V32" s="78">
        <f t="shared" si="15"/>
        <v>0</v>
      </c>
      <c r="W32" s="78">
        <f t="shared" si="15"/>
        <v>0</v>
      </c>
      <c r="X32" s="78">
        <f t="shared" si="15"/>
        <v>67512062.799999997</v>
      </c>
      <c r="Y32" s="178">
        <f t="shared" si="4"/>
        <v>84.862657423527267</v>
      </c>
      <c r="Z32" s="78">
        <f t="shared" si="5"/>
        <v>67512062.799999997</v>
      </c>
      <c r="AA32" s="78">
        <f t="shared" ref="AA32" si="16">AA101</f>
        <v>79554500</v>
      </c>
      <c r="AB32" s="220"/>
      <c r="AC32" s="220"/>
    </row>
    <row r="33" spans="1:29" s="85" customFormat="1" ht="58.5" customHeight="1" x14ac:dyDescent="0.25">
      <c r="A33" s="84"/>
      <c r="B33" s="40"/>
      <c r="C33" s="19" t="str">
        <f>C110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D33" s="78">
        <f>D110</f>
        <v>12935800</v>
      </c>
      <c r="E33" s="78">
        <f t="shared" ref="E33:X33" si="17">E110</f>
        <v>12935800</v>
      </c>
      <c r="F33" s="78">
        <f t="shared" si="17"/>
        <v>0</v>
      </c>
      <c r="G33" s="78">
        <f t="shared" si="17"/>
        <v>0</v>
      </c>
      <c r="H33" s="78">
        <f t="shared" si="17"/>
        <v>0</v>
      </c>
      <c r="I33" s="78">
        <f t="shared" si="17"/>
        <v>521533.91</v>
      </c>
      <c r="J33" s="78">
        <f t="shared" si="17"/>
        <v>0</v>
      </c>
      <c r="K33" s="78">
        <f t="shared" si="17"/>
        <v>0</v>
      </c>
      <c r="L33" s="178">
        <f t="shared" si="3"/>
        <v>4.031709751233012</v>
      </c>
      <c r="M33" s="78">
        <f t="shared" si="17"/>
        <v>22533600</v>
      </c>
      <c r="N33" s="78">
        <f t="shared" si="17"/>
        <v>0</v>
      </c>
      <c r="O33" s="78">
        <f t="shared" si="17"/>
        <v>22533600</v>
      </c>
      <c r="P33" s="78">
        <f t="shared" si="17"/>
        <v>0</v>
      </c>
      <c r="Q33" s="78">
        <f t="shared" si="17"/>
        <v>0</v>
      </c>
      <c r="R33" s="78">
        <f t="shared" si="17"/>
        <v>0</v>
      </c>
      <c r="S33" s="78">
        <f t="shared" si="17"/>
        <v>0</v>
      </c>
      <c r="T33" s="78">
        <f t="shared" si="17"/>
        <v>0</v>
      </c>
      <c r="U33" s="78">
        <f t="shared" si="17"/>
        <v>0</v>
      </c>
      <c r="V33" s="78">
        <f t="shared" si="17"/>
        <v>0</v>
      </c>
      <c r="W33" s="78">
        <f t="shared" si="17"/>
        <v>0</v>
      </c>
      <c r="X33" s="78">
        <f t="shared" si="17"/>
        <v>0</v>
      </c>
      <c r="Y33" s="178">
        <f t="shared" si="4"/>
        <v>0</v>
      </c>
      <c r="Z33" s="78">
        <f t="shared" si="5"/>
        <v>521533.91</v>
      </c>
      <c r="AA33" s="78">
        <f t="shared" ref="AA33" si="18">AA110</f>
        <v>35469400</v>
      </c>
      <c r="AB33" s="220"/>
      <c r="AC33" s="220"/>
    </row>
    <row r="34" spans="1:29" s="85" customFormat="1" ht="75.400000000000006" customHeight="1" x14ac:dyDescent="0.25">
      <c r="A34" s="84"/>
      <c r="B34" s="40"/>
      <c r="C34" s="19" t="str">
        <f>C74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34" s="78">
        <f>D74+D47+D106+D56</f>
        <v>1686473</v>
      </c>
      <c r="E34" s="78">
        <f t="shared" ref="E34:X34" si="19">E74+E47+E106+E56</f>
        <v>1686473</v>
      </c>
      <c r="F34" s="78">
        <f t="shared" si="19"/>
        <v>0</v>
      </c>
      <c r="G34" s="78">
        <f t="shared" si="19"/>
        <v>0</v>
      </c>
      <c r="H34" s="78">
        <f t="shared" si="19"/>
        <v>0</v>
      </c>
      <c r="I34" s="78">
        <f t="shared" si="19"/>
        <v>1562339.57</v>
      </c>
      <c r="J34" s="78">
        <f t="shared" si="19"/>
        <v>0</v>
      </c>
      <c r="K34" s="78">
        <f t="shared" si="19"/>
        <v>0</v>
      </c>
      <c r="L34" s="178">
        <f t="shared" si="3"/>
        <v>92.639465322006345</v>
      </c>
      <c r="M34" s="78">
        <f t="shared" si="19"/>
        <v>39145989</v>
      </c>
      <c r="N34" s="78">
        <f t="shared" si="19"/>
        <v>39145989</v>
      </c>
      <c r="O34" s="78">
        <f t="shared" si="19"/>
        <v>0</v>
      </c>
      <c r="P34" s="78">
        <f t="shared" si="19"/>
        <v>0</v>
      </c>
      <c r="Q34" s="78">
        <f t="shared" si="19"/>
        <v>0</v>
      </c>
      <c r="R34" s="78">
        <f t="shared" si="19"/>
        <v>39145989</v>
      </c>
      <c r="S34" s="78">
        <f t="shared" si="19"/>
        <v>3360522.0300000003</v>
      </c>
      <c r="T34" s="78">
        <f t="shared" si="19"/>
        <v>3360522.0300000003</v>
      </c>
      <c r="U34" s="78">
        <f t="shared" si="19"/>
        <v>0</v>
      </c>
      <c r="V34" s="78">
        <f t="shared" si="19"/>
        <v>0</v>
      </c>
      <c r="W34" s="78">
        <f t="shared" si="19"/>
        <v>0</v>
      </c>
      <c r="X34" s="78">
        <f t="shared" si="19"/>
        <v>3360522.0300000003</v>
      </c>
      <c r="Y34" s="178">
        <f t="shared" si="4"/>
        <v>8.5845883980604007</v>
      </c>
      <c r="Z34" s="78">
        <f t="shared" si="5"/>
        <v>4922861.6000000006</v>
      </c>
      <c r="AA34" s="78">
        <f t="shared" ref="AA34" si="20">AA74+AA47+AA106+AA56</f>
        <v>40832462</v>
      </c>
      <c r="AB34" s="220"/>
      <c r="AC34" s="220"/>
    </row>
    <row r="35" spans="1:29" s="85" customFormat="1" ht="47.25" x14ac:dyDescent="0.25">
      <c r="A35" s="84"/>
      <c r="B35" s="40"/>
      <c r="C35" s="54" t="s">
        <v>370</v>
      </c>
      <c r="D35" s="78">
        <f>D61+D83</f>
        <v>4320175</v>
      </c>
      <c r="E35" s="78">
        <f t="shared" ref="E35:X35" si="21">E61+E83</f>
        <v>4320175</v>
      </c>
      <c r="F35" s="78">
        <f t="shared" si="21"/>
        <v>1714570</v>
      </c>
      <c r="G35" s="78">
        <f t="shared" si="21"/>
        <v>0</v>
      </c>
      <c r="H35" s="78">
        <f t="shared" si="21"/>
        <v>0</v>
      </c>
      <c r="I35" s="78">
        <f t="shared" si="21"/>
        <v>3569322.3200000003</v>
      </c>
      <c r="J35" s="78">
        <f t="shared" si="21"/>
        <v>1711153.81</v>
      </c>
      <c r="K35" s="78">
        <f t="shared" si="21"/>
        <v>0</v>
      </c>
      <c r="L35" s="178">
        <f t="shared" si="3"/>
        <v>82.619854982726409</v>
      </c>
      <c r="M35" s="78">
        <f t="shared" si="21"/>
        <v>0</v>
      </c>
      <c r="N35" s="78">
        <f t="shared" si="21"/>
        <v>0</v>
      </c>
      <c r="O35" s="78">
        <f t="shared" si="21"/>
        <v>0</v>
      </c>
      <c r="P35" s="78">
        <f t="shared" si="21"/>
        <v>0</v>
      </c>
      <c r="Q35" s="78">
        <f t="shared" si="21"/>
        <v>0</v>
      </c>
      <c r="R35" s="78">
        <f t="shared" si="21"/>
        <v>0</v>
      </c>
      <c r="S35" s="78">
        <f t="shared" si="21"/>
        <v>0</v>
      </c>
      <c r="T35" s="78">
        <f t="shared" si="21"/>
        <v>0</v>
      </c>
      <c r="U35" s="78">
        <f t="shared" si="21"/>
        <v>0</v>
      </c>
      <c r="V35" s="78">
        <f t="shared" si="21"/>
        <v>0</v>
      </c>
      <c r="W35" s="78">
        <f t="shared" si="21"/>
        <v>0</v>
      </c>
      <c r="X35" s="78">
        <f t="shared" si="21"/>
        <v>0</v>
      </c>
      <c r="Y35" s="178"/>
      <c r="Z35" s="78">
        <f t="shared" si="5"/>
        <v>3569322.3200000003</v>
      </c>
      <c r="AA35" s="78">
        <f t="shared" ref="AA35" si="22">AA61+AA83</f>
        <v>4320175</v>
      </c>
      <c r="AB35" s="220"/>
      <c r="AC35" s="220"/>
    </row>
    <row r="36" spans="1:29" s="85" customFormat="1" ht="47.25" customHeight="1" x14ac:dyDescent="0.25">
      <c r="A36" s="84"/>
      <c r="B36" s="40"/>
      <c r="C36" s="54" t="s">
        <v>372</v>
      </c>
      <c r="D36" s="78">
        <f t="shared" ref="D36:AA36" si="23">D67+D108+D78</f>
        <v>0</v>
      </c>
      <c r="E36" s="78">
        <f t="shared" ref="E36:X36" si="24">E67+E108+E78</f>
        <v>0</v>
      </c>
      <c r="F36" s="78">
        <f t="shared" si="24"/>
        <v>0</v>
      </c>
      <c r="G36" s="78">
        <f t="shared" si="24"/>
        <v>0</v>
      </c>
      <c r="H36" s="78">
        <f t="shared" si="24"/>
        <v>0</v>
      </c>
      <c r="I36" s="78">
        <f t="shared" si="24"/>
        <v>0</v>
      </c>
      <c r="J36" s="78">
        <f t="shared" si="24"/>
        <v>0</v>
      </c>
      <c r="K36" s="78">
        <f t="shared" si="24"/>
        <v>0</v>
      </c>
      <c r="L36" s="178"/>
      <c r="M36" s="78">
        <f t="shared" si="24"/>
        <v>25887830</v>
      </c>
      <c r="N36" s="78">
        <f t="shared" si="24"/>
        <v>7819500</v>
      </c>
      <c r="O36" s="78">
        <f t="shared" si="24"/>
        <v>4558902</v>
      </c>
      <c r="P36" s="78">
        <f t="shared" si="24"/>
        <v>0</v>
      </c>
      <c r="Q36" s="78">
        <f t="shared" si="24"/>
        <v>0</v>
      </c>
      <c r="R36" s="78">
        <f t="shared" si="24"/>
        <v>21328928</v>
      </c>
      <c r="S36" s="78">
        <f t="shared" si="24"/>
        <v>19927443.77</v>
      </c>
      <c r="T36" s="78">
        <f t="shared" si="24"/>
        <v>3514398.89</v>
      </c>
      <c r="U36" s="78">
        <f t="shared" si="24"/>
        <v>3507058.64</v>
      </c>
      <c r="V36" s="78">
        <f t="shared" si="24"/>
        <v>0</v>
      </c>
      <c r="W36" s="78">
        <f t="shared" si="24"/>
        <v>0</v>
      </c>
      <c r="X36" s="78">
        <f t="shared" si="24"/>
        <v>16420385.130000001</v>
      </c>
      <c r="Y36" s="178">
        <f t="shared" si="4"/>
        <v>76.976107190135295</v>
      </c>
      <c r="Z36" s="78">
        <f t="shared" si="5"/>
        <v>19927443.77</v>
      </c>
      <c r="AA36" s="78">
        <f t="shared" si="23"/>
        <v>25887830</v>
      </c>
      <c r="AB36" s="220"/>
      <c r="AC36" s="220"/>
    </row>
    <row r="37" spans="1:29" s="85" customFormat="1" ht="53.25" customHeight="1" x14ac:dyDescent="0.25">
      <c r="A37" s="84"/>
      <c r="B37" s="40"/>
      <c r="C37" s="19" t="s">
        <v>668</v>
      </c>
      <c r="D37" s="78">
        <f>D93</f>
        <v>2233488.84</v>
      </c>
      <c r="E37" s="78">
        <f t="shared" ref="E37:X37" si="25">E93</f>
        <v>2233488.84</v>
      </c>
      <c r="F37" s="78">
        <f t="shared" si="25"/>
        <v>1830728</v>
      </c>
      <c r="G37" s="78">
        <f t="shared" si="25"/>
        <v>0</v>
      </c>
      <c r="H37" s="78">
        <f t="shared" si="25"/>
        <v>0</v>
      </c>
      <c r="I37" s="78">
        <f t="shared" si="25"/>
        <v>2233206.7999999998</v>
      </c>
      <c r="J37" s="78">
        <f t="shared" si="25"/>
        <v>1830497.34</v>
      </c>
      <c r="K37" s="78">
        <f t="shared" si="25"/>
        <v>0</v>
      </c>
      <c r="L37" s="178">
        <f t="shared" si="3"/>
        <v>99.987372222553844</v>
      </c>
      <c r="M37" s="78">
        <f t="shared" si="25"/>
        <v>0</v>
      </c>
      <c r="N37" s="78">
        <f t="shared" si="25"/>
        <v>0</v>
      </c>
      <c r="O37" s="78">
        <f t="shared" si="25"/>
        <v>0</v>
      </c>
      <c r="P37" s="78">
        <f t="shared" si="25"/>
        <v>0</v>
      </c>
      <c r="Q37" s="78">
        <f t="shared" si="25"/>
        <v>0</v>
      </c>
      <c r="R37" s="78">
        <f t="shared" si="25"/>
        <v>0</v>
      </c>
      <c r="S37" s="78">
        <f t="shared" si="25"/>
        <v>0</v>
      </c>
      <c r="T37" s="78">
        <f t="shared" si="25"/>
        <v>0</v>
      </c>
      <c r="U37" s="78">
        <f t="shared" si="25"/>
        <v>0</v>
      </c>
      <c r="V37" s="78">
        <f t="shared" si="25"/>
        <v>0</v>
      </c>
      <c r="W37" s="78">
        <f t="shared" si="25"/>
        <v>0</v>
      </c>
      <c r="X37" s="78">
        <f t="shared" si="25"/>
        <v>0</v>
      </c>
      <c r="Y37" s="178"/>
      <c r="Z37" s="78">
        <f t="shared" si="5"/>
        <v>2233206.7999999998</v>
      </c>
      <c r="AA37" s="78">
        <f t="shared" ref="AA37" si="26">AA93</f>
        <v>2233488.84</v>
      </c>
      <c r="AB37" s="220"/>
      <c r="AC37" s="220"/>
    </row>
    <row r="38" spans="1:29" s="85" customFormat="1" ht="63" customHeight="1" x14ac:dyDescent="0.25">
      <c r="A38" s="84"/>
      <c r="B38" s="40"/>
      <c r="C38" s="19" t="str">
        <f>C91</f>
        <v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</c>
      <c r="D38" s="78">
        <f>D91</f>
        <v>577400</v>
      </c>
      <c r="E38" s="78">
        <f t="shared" ref="E38:X38" si="27">E91</f>
        <v>577400</v>
      </c>
      <c r="F38" s="78">
        <f t="shared" si="27"/>
        <v>0</v>
      </c>
      <c r="G38" s="78">
        <f t="shared" si="27"/>
        <v>0</v>
      </c>
      <c r="H38" s="78">
        <f t="shared" si="27"/>
        <v>0</v>
      </c>
      <c r="I38" s="78">
        <f t="shared" si="27"/>
        <v>559818.69999999995</v>
      </c>
      <c r="J38" s="78">
        <f t="shared" si="27"/>
        <v>0</v>
      </c>
      <c r="K38" s="78">
        <f t="shared" si="27"/>
        <v>0</v>
      </c>
      <c r="L38" s="178">
        <f t="shared" si="3"/>
        <v>96.95509179078627</v>
      </c>
      <c r="M38" s="78">
        <f t="shared" si="27"/>
        <v>10157256</v>
      </c>
      <c r="N38" s="78">
        <f t="shared" si="27"/>
        <v>10157256</v>
      </c>
      <c r="O38" s="78">
        <f t="shared" si="27"/>
        <v>0</v>
      </c>
      <c r="P38" s="78">
        <f t="shared" si="27"/>
        <v>0</v>
      </c>
      <c r="Q38" s="78">
        <f t="shared" si="27"/>
        <v>0</v>
      </c>
      <c r="R38" s="78">
        <f t="shared" si="27"/>
        <v>10157256</v>
      </c>
      <c r="S38" s="78">
        <f t="shared" si="27"/>
        <v>9472070.1999999993</v>
      </c>
      <c r="T38" s="78">
        <f t="shared" si="27"/>
        <v>9472070.1999999993</v>
      </c>
      <c r="U38" s="78">
        <f t="shared" si="27"/>
        <v>0</v>
      </c>
      <c r="V38" s="78">
        <f t="shared" si="27"/>
        <v>0</v>
      </c>
      <c r="W38" s="78">
        <f t="shared" si="27"/>
        <v>0</v>
      </c>
      <c r="X38" s="78">
        <f t="shared" si="27"/>
        <v>9472070.1999999993</v>
      </c>
      <c r="Y38" s="178">
        <f t="shared" si="4"/>
        <v>93.254223384740911</v>
      </c>
      <c r="Z38" s="78">
        <f t="shared" si="5"/>
        <v>10031888.899999999</v>
      </c>
      <c r="AA38" s="78">
        <f t="shared" ref="AA38" si="28">AA91</f>
        <v>10734656</v>
      </c>
      <c r="AB38" s="221">
        <v>2</v>
      </c>
      <c r="AC38" s="220"/>
    </row>
    <row r="39" spans="1:29" s="85" customFormat="1" ht="63" customHeight="1" x14ac:dyDescent="0.25">
      <c r="A39" s="84"/>
      <c r="B39" s="84"/>
      <c r="C39" s="19" t="s">
        <v>669</v>
      </c>
      <c r="D39" s="78">
        <f>D95</f>
        <v>872618.44</v>
      </c>
      <c r="E39" s="78">
        <f t="shared" ref="E39:X39" si="29">E95</f>
        <v>872618.44</v>
      </c>
      <c r="F39" s="78">
        <f t="shared" si="29"/>
        <v>715261</v>
      </c>
      <c r="G39" s="78">
        <f t="shared" si="29"/>
        <v>0</v>
      </c>
      <c r="H39" s="78">
        <f t="shared" si="29"/>
        <v>0</v>
      </c>
      <c r="I39" s="78">
        <f t="shared" si="29"/>
        <v>872618.44</v>
      </c>
      <c r="J39" s="78">
        <f t="shared" si="29"/>
        <v>715261</v>
      </c>
      <c r="K39" s="78">
        <f t="shared" si="29"/>
        <v>0</v>
      </c>
      <c r="L39" s="178">
        <f t="shared" si="3"/>
        <v>100</v>
      </c>
      <c r="M39" s="78">
        <f t="shared" si="29"/>
        <v>0</v>
      </c>
      <c r="N39" s="78">
        <f t="shared" si="29"/>
        <v>0</v>
      </c>
      <c r="O39" s="78">
        <f t="shared" si="29"/>
        <v>0</v>
      </c>
      <c r="P39" s="78">
        <f t="shared" si="29"/>
        <v>0</v>
      </c>
      <c r="Q39" s="78">
        <f t="shared" si="29"/>
        <v>0</v>
      </c>
      <c r="R39" s="78">
        <f t="shared" si="29"/>
        <v>0</v>
      </c>
      <c r="S39" s="78">
        <f t="shared" si="29"/>
        <v>0</v>
      </c>
      <c r="T39" s="78">
        <f t="shared" si="29"/>
        <v>0</v>
      </c>
      <c r="U39" s="78">
        <f t="shared" si="29"/>
        <v>0</v>
      </c>
      <c r="V39" s="78">
        <f t="shared" si="29"/>
        <v>0</v>
      </c>
      <c r="W39" s="78">
        <f t="shared" si="29"/>
        <v>0</v>
      </c>
      <c r="X39" s="78">
        <f t="shared" si="29"/>
        <v>0</v>
      </c>
      <c r="Y39" s="178"/>
      <c r="Z39" s="78">
        <f t="shared" si="5"/>
        <v>872618.44</v>
      </c>
      <c r="AA39" s="78">
        <f t="shared" ref="AA39" si="30">AA95</f>
        <v>872618.44</v>
      </c>
      <c r="AB39" s="221"/>
      <c r="AC39" s="220"/>
    </row>
    <row r="40" spans="1:29" s="85" customFormat="1" ht="55.5" hidden="1" customHeight="1" x14ac:dyDescent="0.25">
      <c r="A40" s="84"/>
      <c r="B40" s="84"/>
      <c r="C40" s="19" t="s">
        <v>524</v>
      </c>
      <c r="D40" s="78">
        <f>D87</f>
        <v>0</v>
      </c>
      <c r="E40" s="78">
        <f t="shared" ref="E40:X40" si="31">E87</f>
        <v>0</v>
      </c>
      <c r="F40" s="78">
        <f t="shared" si="31"/>
        <v>0</v>
      </c>
      <c r="G40" s="78">
        <f t="shared" si="31"/>
        <v>0</v>
      </c>
      <c r="H40" s="78">
        <f t="shared" si="31"/>
        <v>0</v>
      </c>
      <c r="I40" s="78">
        <f t="shared" si="31"/>
        <v>0</v>
      </c>
      <c r="J40" s="78">
        <f t="shared" si="31"/>
        <v>0</v>
      </c>
      <c r="K40" s="78">
        <f t="shared" si="31"/>
        <v>0</v>
      </c>
      <c r="L40" s="178" t="e">
        <f t="shared" si="3"/>
        <v>#DIV/0!</v>
      </c>
      <c r="M40" s="78">
        <f t="shared" si="31"/>
        <v>0</v>
      </c>
      <c r="N40" s="78">
        <f t="shared" si="31"/>
        <v>0</v>
      </c>
      <c r="O40" s="78">
        <f t="shared" si="31"/>
        <v>0</v>
      </c>
      <c r="P40" s="78">
        <f t="shared" si="31"/>
        <v>0</v>
      </c>
      <c r="Q40" s="78">
        <f t="shared" si="31"/>
        <v>0</v>
      </c>
      <c r="R40" s="78">
        <f t="shared" si="31"/>
        <v>0</v>
      </c>
      <c r="S40" s="78">
        <f t="shared" si="31"/>
        <v>0</v>
      </c>
      <c r="T40" s="78">
        <f t="shared" si="31"/>
        <v>0</v>
      </c>
      <c r="U40" s="78">
        <f t="shared" si="31"/>
        <v>0</v>
      </c>
      <c r="V40" s="78">
        <f t="shared" si="31"/>
        <v>0</v>
      </c>
      <c r="W40" s="78">
        <f t="shared" si="31"/>
        <v>0</v>
      </c>
      <c r="X40" s="78">
        <f t="shared" si="31"/>
        <v>0</v>
      </c>
      <c r="Y40" s="178" t="e">
        <f t="shared" si="4"/>
        <v>#DIV/0!</v>
      </c>
      <c r="Z40" s="78">
        <f t="shared" si="5"/>
        <v>0</v>
      </c>
      <c r="AA40" s="78">
        <f t="shared" ref="AA40" si="32">AA87</f>
        <v>0</v>
      </c>
      <c r="AB40" s="221"/>
      <c r="AC40" s="220"/>
    </row>
    <row r="41" spans="1:29" s="85" customFormat="1" ht="63" hidden="1" customHeight="1" x14ac:dyDescent="0.25">
      <c r="A41" s="84"/>
      <c r="B41" s="84"/>
      <c r="C41" s="19" t="s">
        <v>505</v>
      </c>
      <c r="D41" s="78">
        <f>D91</f>
        <v>577400</v>
      </c>
      <c r="E41" s="78">
        <f t="shared" ref="E41:X41" si="33">E91</f>
        <v>577400</v>
      </c>
      <c r="F41" s="78">
        <f t="shared" si="33"/>
        <v>0</v>
      </c>
      <c r="G41" s="78">
        <f t="shared" si="33"/>
        <v>0</v>
      </c>
      <c r="H41" s="78">
        <f t="shared" si="33"/>
        <v>0</v>
      </c>
      <c r="I41" s="78">
        <f t="shared" si="33"/>
        <v>559818.69999999995</v>
      </c>
      <c r="J41" s="78">
        <f t="shared" si="33"/>
        <v>0</v>
      </c>
      <c r="K41" s="78">
        <f t="shared" si="33"/>
        <v>0</v>
      </c>
      <c r="L41" s="178">
        <f t="shared" si="3"/>
        <v>96.95509179078627</v>
      </c>
      <c r="M41" s="78">
        <f t="shared" si="33"/>
        <v>10157256</v>
      </c>
      <c r="N41" s="78">
        <f t="shared" si="33"/>
        <v>10157256</v>
      </c>
      <c r="O41" s="78">
        <f t="shared" si="33"/>
        <v>0</v>
      </c>
      <c r="P41" s="78">
        <f t="shared" si="33"/>
        <v>0</v>
      </c>
      <c r="Q41" s="78">
        <f t="shared" si="33"/>
        <v>0</v>
      </c>
      <c r="R41" s="78">
        <f t="shared" si="33"/>
        <v>10157256</v>
      </c>
      <c r="S41" s="78">
        <f t="shared" si="33"/>
        <v>9472070.1999999993</v>
      </c>
      <c r="T41" s="78">
        <f t="shared" si="33"/>
        <v>9472070.1999999993</v>
      </c>
      <c r="U41" s="78">
        <f t="shared" si="33"/>
        <v>0</v>
      </c>
      <c r="V41" s="78">
        <f t="shared" si="33"/>
        <v>0</v>
      </c>
      <c r="W41" s="78">
        <f t="shared" si="33"/>
        <v>0</v>
      </c>
      <c r="X41" s="78">
        <f t="shared" si="33"/>
        <v>9472070.1999999993</v>
      </c>
      <c r="Y41" s="178">
        <f t="shared" si="4"/>
        <v>93.254223384740911</v>
      </c>
      <c r="Z41" s="78">
        <f t="shared" si="5"/>
        <v>10031888.899999999</v>
      </c>
      <c r="AA41" s="78">
        <f t="shared" ref="AA41" si="34">AA91</f>
        <v>10734656</v>
      </c>
      <c r="AB41" s="221"/>
      <c r="AC41" s="220"/>
    </row>
    <row r="42" spans="1:29" s="85" customFormat="1" ht="15.75" customHeight="1" x14ac:dyDescent="0.25">
      <c r="A42" s="84"/>
      <c r="B42" s="84"/>
      <c r="C42" s="19" t="s">
        <v>380</v>
      </c>
      <c r="D42" s="78">
        <f>D48</f>
        <v>0</v>
      </c>
      <c r="E42" s="78">
        <f t="shared" ref="E42:X42" si="35">E48</f>
        <v>0</v>
      </c>
      <c r="F42" s="78">
        <f t="shared" si="35"/>
        <v>0</v>
      </c>
      <c r="G42" s="78">
        <f t="shared" si="35"/>
        <v>0</v>
      </c>
      <c r="H42" s="78">
        <f t="shared" si="35"/>
        <v>0</v>
      </c>
      <c r="I42" s="78">
        <f t="shared" si="35"/>
        <v>0</v>
      </c>
      <c r="J42" s="78">
        <f t="shared" si="35"/>
        <v>0</v>
      </c>
      <c r="K42" s="78">
        <f t="shared" si="35"/>
        <v>0</v>
      </c>
      <c r="L42" s="178"/>
      <c r="M42" s="78">
        <f t="shared" si="35"/>
        <v>6564196</v>
      </c>
      <c r="N42" s="78">
        <f t="shared" si="35"/>
        <v>0</v>
      </c>
      <c r="O42" s="78">
        <f t="shared" si="35"/>
        <v>6564196</v>
      </c>
      <c r="P42" s="78">
        <f t="shared" si="35"/>
        <v>0</v>
      </c>
      <c r="Q42" s="78">
        <f t="shared" si="35"/>
        <v>0</v>
      </c>
      <c r="R42" s="78">
        <f t="shared" si="35"/>
        <v>0</v>
      </c>
      <c r="S42" s="78">
        <f t="shared" si="35"/>
        <v>1011611.5</v>
      </c>
      <c r="T42" s="78">
        <f t="shared" si="35"/>
        <v>0</v>
      </c>
      <c r="U42" s="78">
        <f t="shared" si="35"/>
        <v>1011611.5</v>
      </c>
      <c r="V42" s="78">
        <f t="shared" si="35"/>
        <v>0</v>
      </c>
      <c r="W42" s="78">
        <f t="shared" si="35"/>
        <v>0</v>
      </c>
      <c r="X42" s="78">
        <f t="shared" si="35"/>
        <v>0</v>
      </c>
      <c r="Y42" s="178">
        <f t="shared" si="4"/>
        <v>15.411049578653655</v>
      </c>
      <c r="Z42" s="78">
        <f t="shared" si="5"/>
        <v>1011611.5</v>
      </c>
      <c r="AA42" s="78">
        <f t="shared" ref="AA42" si="36">AA48</f>
        <v>6564196</v>
      </c>
      <c r="AB42" s="221"/>
      <c r="AC42" s="220"/>
    </row>
    <row r="43" spans="1:29" s="85" customFormat="1" ht="48.75" customHeight="1" x14ac:dyDescent="0.25">
      <c r="A43" s="84"/>
      <c r="B43" s="84"/>
      <c r="C43" s="19" t="s">
        <v>679</v>
      </c>
      <c r="D43" s="78">
        <f>D104</f>
        <v>0</v>
      </c>
      <c r="E43" s="78">
        <f t="shared" ref="E43:X43" si="37">E104</f>
        <v>0</v>
      </c>
      <c r="F43" s="78">
        <f t="shared" si="37"/>
        <v>0</v>
      </c>
      <c r="G43" s="78">
        <f t="shared" si="37"/>
        <v>0</v>
      </c>
      <c r="H43" s="78">
        <f t="shared" si="37"/>
        <v>0</v>
      </c>
      <c r="I43" s="78">
        <f t="shared" si="37"/>
        <v>0</v>
      </c>
      <c r="J43" s="78">
        <f t="shared" si="37"/>
        <v>0</v>
      </c>
      <c r="K43" s="78">
        <f t="shared" si="37"/>
        <v>0</v>
      </c>
      <c r="L43" s="178"/>
      <c r="M43" s="78">
        <f t="shared" si="37"/>
        <v>73585211</v>
      </c>
      <c r="N43" s="78">
        <f t="shared" si="37"/>
        <v>73585211</v>
      </c>
      <c r="O43" s="78">
        <f t="shared" si="37"/>
        <v>0</v>
      </c>
      <c r="P43" s="78">
        <f t="shared" si="37"/>
        <v>0</v>
      </c>
      <c r="Q43" s="78">
        <f t="shared" si="37"/>
        <v>0</v>
      </c>
      <c r="R43" s="78">
        <f t="shared" si="37"/>
        <v>73585211</v>
      </c>
      <c r="S43" s="78">
        <f t="shared" si="37"/>
        <v>65775761</v>
      </c>
      <c r="T43" s="78">
        <f t="shared" si="37"/>
        <v>65775761</v>
      </c>
      <c r="U43" s="78">
        <f t="shared" si="37"/>
        <v>0</v>
      </c>
      <c r="V43" s="78">
        <f t="shared" si="37"/>
        <v>0</v>
      </c>
      <c r="W43" s="78">
        <f t="shared" si="37"/>
        <v>0</v>
      </c>
      <c r="X43" s="78">
        <f t="shared" si="37"/>
        <v>65775761</v>
      </c>
      <c r="Y43" s="178">
        <f t="shared" si="4"/>
        <v>89.387201729978045</v>
      </c>
      <c r="Z43" s="78">
        <f t="shared" si="5"/>
        <v>65775761</v>
      </c>
      <c r="AA43" s="78">
        <f t="shared" ref="AA43" si="38">AA104</f>
        <v>73585211</v>
      </c>
      <c r="AB43" s="221"/>
      <c r="AC43" s="220"/>
    </row>
    <row r="44" spans="1:29" ht="17.25" customHeight="1" x14ac:dyDescent="0.25">
      <c r="A44" s="45" t="s">
        <v>46</v>
      </c>
      <c r="B44" s="45" t="s">
        <v>47</v>
      </c>
      <c r="C44" s="35" t="s">
        <v>468</v>
      </c>
      <c r="D44" s="79">
        <f>'дод 2'!E94+'дод 2'!E389</f>
        <v>372814754</v>
      </c>
      <c r="E44" s="79">
        <f>'дод 2'!F94+'дод 2'!F389</f>
        <v>372814754</v>
      </c>
      <c r="F44" s="79">
        <f>'дод 2'!G94+'дод 2'!G389</f>
        <v>249988758</v>
      </c>
      <c r="G44" s="79">
        <f>'дод 2'!H94+'дод 2'!H389</f>
        <v>46095800</v>
      </c>
      <c r="H44" s="79">
        <f>'дод 2'!I94+'дод 2'!I389</f>
        <v>0</v>
      </c>
      <c r="I44" s="79">
        <f>'дод 2'!J94+'дод 2'!J389</f>
        <v>368399092.58999997</v>
      </c>
      <c r="J44" s="79">
        <f>'дод 2'!K94+'дод 2'!K389</f>
        <v>249987132.44</v>
      </c>
      <c r="K44" s="79">
        <f>'дод 2'!L94+'дод 2'!L389</f>
        <v>43272743.350000001</v>
      </c>
      <c r="L44" s="179">
        <f t="shared" si="3"/>
        <v>98.815588341763956</v>
      </c>
      <c r="M44" s="79">
        <f>'дод 2'!N94+'дод 2'!N389</f>
        <v>112068138</v>
      </c>
      <c r="N44" s="79">
        <f>'дод 2'!O94+'дод 2'!O389</f>
        <v>81315646.650000006</v>
      </c>
      <c r="O44" s="79">
        <f>'дод 2'!P94+'дод 2'!P389</f>
        <v>29919150</v>
      </c>
      <c r="P44" s="79">
        <f>'дод 2'!Q94+'дод 2'!Q389</f>
        <v>0</v>
      </c>
      <c r="Q44" s="79">
        <f>'дод 2'!R94+'дод 2'!R389</f>
        <v>0</v>
      </c>
      <c r="R44" s="79">
        <f>'дод 2'!S94+'дод 2'!S389</f>
        <v>82148988</v>
      </c>
      <c r="S44" s="79">
        <f>'дод 2'!T94+'дод 2'!T389</f>
        <v>90903492.75999999</v>
      </c>
      <c r="T44" s="79">
        <f>'дод 2'!U94+'дод 2'!U389</f>
        <v>78011701.460000008</v>
      </c>
      <c r="U44" s="79">
        <f>'дод 2'!V94+'дод 2'!V389</f>
        <v>11280631</v>
      </c>
      <c r="V44" s="79">
        <f>'дод 2'!W94+'дод 2'!W389</f>
        <v>753639.44</v>
      </c>
      <c r="W44" s="79">
        <f>'дод 2'!X94+'дод 2'!X389</f>
        <v>0</v>
      </c>
      <c r="X44" s="79">
        <f>'дод 2'!Y94+'дод 2'!Y389</f>
        <v>79622861.75999999</v>
      </c>
      <c r="Y44" s="179">
        <f t="shared" si="4"/>
        <v>81.114484796740356</v>
      </c>
      <c r="Z44" s="79">
        <f t="shared" si="5"/>
        <v>459302585.34999996</v>
      </c>
      <c r="AA44" s="79">
        <f>'дод 2'!AB94+'дод 2'!AB389</f>
        <v>484882892</v>
      </c>
      <c r="AB44" s="221"/>
      <c r="AC44" s="220"/>
    </row>
    <row r="45" spans="1:29" s="82" customFormat="1" ht="47.25" hidden="1" customHeight="1" x14ac:dyDescent="0.25">
      <c r="A45" s="81"/>
      <c r="B45" s="81"/>
      <c r="C45" s="48" t="s">
        <v>369</v>
      </c>
      <c r="D45" s="80"/>
      <c r="E45" s="80"/>
      <c r="F45" s="80"/>
      <c r="G45" s="80"/>
      <c r="H45" s="80"/>
      <c r="I45" s="80"/>
      <c r="J45" s="80"/>
      <c r="K45" s="80"/>
      <c r="L45" s="180" t="e">
        <f t="shared" si="3"/>
        <v>#DIV/0!</v>
      </c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180" t="e">
        <f t="shared" si="4"/>
        <v>#DIV/0!</v>
      </c>
      <c r="Z45" s="80">
        <f t="shared" si="5"/>
        <v>0</v>
      </c>
      <c r="AA45" s="80"/>
      <c r="AB45" s="221"/>
      <c r="AC45" s="220"/>
    </row>
    <row r="46" spans="1:29" ht="38.25" customHeight="1" x14ac:dyDescent="0.25">
      <c r="A46" s="45">
        <v>1021</v>
      </c>
      <c r="B46" s="45" t="s">
        <v>49</v>
      </c>
      <c r="C46" s="24" t="s">
        <v>663</v>
      </c>
      <c r="D46" s="79">
        <f>'дод 2'!E95+'дод 2'!E390</f>
        <v>259665872</v>
      </c>
      <c r="E46" s="79">
        <f>'дод 2'!F95+'дод 2'!F390</f>
        <v>259665872</v>
      </c>
      <c r="F46" s="79">
        <f>'дод 2'!G95+'дод 2'!G390</f>
        <v>137075250</v>
      </c>
      <c r="G46" s="79">
        <f>'дод 2'!H95+'дод 2'!H390</f>
        <v>63623300</v>
      </c>
      <c r="H46" s="79">
        <f>'дод 2'!I95+'дод 2'!I390</f>
        <v>0</v>
      </c>
      <c r="I46" s="79">
        <f>'дод 2'!J95+'дод 2'!J390</f>
        <v>249233954</v>
      </c>
      <c r="J46" s="79">
        <f>'дод 2'!K95+'дод 2'!K390</f>
        <v>137029869.61000001</v>
      </c>
      <c r="K46" s="79">
        <f>'дод 2'!L95+'дод 2'!L390</f>
        <v>55721829.149999999</v>
      </c>
      <c r="L46" s="179">
        <f t="shared" si="3"/>
        <v>95.982561004397212</v>
      </c>
      <c r="M46" s="79">
        <f>'дод 2'!N95+'дод 2'!N390</f>
        <v>84505320</v>
      </c>
      <c r="N46" s="79">
        <f>'дод 2'!O95+'дод 2'!O390</f>
        <v>21156374</v>
      </c>
      <c r="O46" s="79">
        <f>'дод 2'!P95+'дод 2'!P390</f>
        <v>63348946</v>
      </c>
      <c r="P46" s="79">
        <f>'дод 2'!Q95+'дод 2'!Q390</f>
        <v>2197510</v>
      </c>
      <c r="Q46" s="79">
        <f>'дод 2'!R95+'дод 2'!R390</f>
        <v>276700</v>
      </c>
      <c r="R46" s="79">
        <f>'дод 2'!S95+'дод 2'!S390</f>
        <v>21156374</v>
      </c>
      <c r="S46" s="79">
        <f>'дод 2'!T95+'дод 2'!T390</f>
        <v>64973188.719999999</v>
      </c>
      <c r="T46" s="79">
        <f>'дод 2'!U95+'дод 2'!U390</f>
        <v>18134350.219999999</v>
      </c>
      <c r="U46" s="79">
        <f>'дод 2'!V95+'дод 2'!V390</f>
        <v>29092582.100000001</v>
      </c>
      <c r="V46" s="79">
        <f>'дод 2'!W95+'дод 2'!W390</f>
        <v>6491751.8899999997</v>
      </c>
      <c r="W46" s="79">
        <f>'дод 2'!X95+'дод 2'!X390</f>
        <v>49172.35</v>
      </c>
      <c r="X46" s="79">
        <f>'дод 2'!Y95+'дод 2'!Y390</f>
        <v>35880606.619999997</v>
      </c>
      <c r="Y46" s="179">
        <f t="shared" si="4"/>
        <v>76.886506932344616</v>
      </c>
      <c r="Z46" s="79">
        <f t="shared" si="5"/>
        <v>314207142.72000003</v>
      </c>
      <c r="AA46" s="79">
        <f>'дод 2'!AB95+'дод 2'!AB390</f>
        <v>344171192</v>
      </c>
      <c r="AB46" s="221"/>
      <c r="AC46" s="220"/>
    </row>
    <row r="47" spans="1:29" s="82" customFormat="1" ht="94.5" x14ac:dyDescent="0.25">
      <c r="A47" s="81"/>
      <c r="B47" s="81"/>
      <c r="C47" s="48" t="s">
        <v>618</v>
      </c>
      <c r="D47" s="80">
        <f>'дод 2'!E97</f>
        <v>325568</v>
      </c>
      <c r="E47" s="80">
        <f>'дод 2'!F97</f>
        <v>325568</v>
      </c>
      <c r="F47" s="80">
        <f>'дод 2'!G97</f>
        <v>0</v>
      </c>
      <c r="G47" s="80">
        <f>'дод 2'!H97</f>
        <v>0</v>
      </c>
      <c r="H47" s="80">
        <f>'дод 2'!I97</f>
        <v>0</v>
      </c>
      <c r="I47" s="80">
        <f>'дод 2'!J97</f>
        <v>249876</v>
      </c>
      <c r="J47" s="80">
        <f>'дод 2'!K97</f>
        <v>0</v>
      </c>
      <c r="K47" s="80">
        <f>'дод 2'!L97</f>
        <v>0</v>
      </c>
      <c r="L47" s="180">
        <f t="shared" si="3"/>
        <v>76.75078631806565</v>
      </c>
      <c r="M47" s="80">
        <f>'дод 2'!N97</f>
        <v>30000</v>
      </c>
      <c r="N47" s="80">
        <f>'дод 2'!O97</f>
        <v>30000</v>
      </c>
      <c r="O47" s="80">
        <f>'дод 2'!P97</f>
        <v>0</v>
      </c>
      <c r="P47" s="80">
        <f>'дод 2'!Q97</f>
        <v>0</v>
      </c>
      <c r="Q47" s="80">
        <f>'дод 2'!R97</f>
        <v>0</v>
      </c>
      <c r="R47" s="80">
        <f>'дод 2'!S97</f>
        <v>30000</v>
      </c>
      <c r="S47" s="80">
        <f>'дод 2'!T97</f>
        <v>30000</v>
      </c>
      <c r="T47" s="80">
        <f>'дод 2'!U97</f>
        <v>30000</v>
      </c>
      <c r="U47" s="80">
        <f>'дод 2'!V97</f>
        <v>0</v>
      </c>
      <c r="V47" s="80">
        <f>'дод 2'!W97</f>
        <v>0</v>
      </c>
      <c r="W47" s="80">
        <f>'дод 2'!X97</f>
        <v>0</v>
      </c>
      <c r="X47" s="80">
        <f>'дод 2'!Y97</f>
        <v>30000</v>
      </c>
      <c r="Y47" s="180">
        <f t="shared" si="4"/>
        <v>100</v>
      </c>
      <c r="Z47" s="80">
        <f t="shared" si="5"/>
        <v>279876</v>
      </c>
      <c r="AA47" s="80">
        <f>'дод 2'!AB97</f>
        <v>355568</v>
      </c>
      <c r="AB47" s="221"/>
      <c r="AC47" s="220"/>
    </row>
    <row r="48" spans="1:29" s="82" customFormat="1" ht="20.65" customHeight="1" x14ac:dyDescent="0.25">
      <c r="A48" s="81"/>
      <c r="B48" s="81"/>
      <c r="C48" s="29" t="s">
        <v>379</v>
      </c>
      <c r="D48" s="80">
        <f>'дод 2'!E96</f>
        <v>0</v>
      </c>
      <c r="E48" s="80">
        <f>'дод 2'!F96</f>
        <v>0</v>
      </c>
      <c r="F48" s="80">
        <f>'дод 2'!G96</f>
        <v>0</v>
      </c>
      <c r="G48" s="80">
        <f>'дод 2'!H96</f>
        <v>0</v>
      </c>
      <c r="H48" s="80">
        <f>'дод 2'!I96</f>
        <v>0</v>
      </c>
      <c r="I48" s="80">
        <f>'дод 2'!J96</f>
        <v>0</v>
      </c>
      <c r="J48" s="80">
        <f>'дод 2'!K96</f>
        <v>0</v>
      </c>
      <c r="K48" s="80">
        <f>'дод 2'!L96</f>
        <v>0</v>
      </c>
      <c r="L48" s="180"/>
      <c r="M48" s="80">
        <f>'дод 2'!N96</f>
        <v>6564196</v>
      </c>
      <c r="N48" s="80">
        <f>'дод 2'!O96</f>
        <v>0</v>
      </c>
      <c r="O48" s="80">
        <f>'дод 2'!P96</f>
        <v>6564196</v>
      </c>
      <c r="P48" s="80">
        <f>'дод 2'!Q96</f>
        <v>0</v>
      </c>
      <c r="Q48" s="80">
        <f>'дод 2'!R96</f>
        <v>0</v>
      </c>
      <c r="R48" s="80">
        <f>'дод 2'!S96</f>
        <v>0</v>
      </c>
      <c r="S48" s="80">
        <f>'дод 2'!T96</f>
        <v>1011611.5</v>
      </c>
      <c r="T48" s="80">
        <f>'дод 2'!U96</f>
        <v>0</v>
      </c>
      <c r="U48" s="80">
        <f>'дод 2'!V96</f>
        <v>1011611.5</v>
      </c>
      <c r="V48" s="80">
        <f>'дод 2'!W96</f>
        <v>0</v>
      </c>
      <c r="W48" s="80">
        <f>'дод 2'!X96</f>
        <v>0</v>
      </c>
      <c r="X48" s="80">
        <f>'дод 2'!Y96</f>
        <v>0</v>
      </c>
      <c r="Y48" s="180">
        <f t="shared" si="4"/>
        <v>15.411049578653655</v>
      </c>
      <c r="Z48" s="80">
        <f t="shared" si="5"/>
        <v>1011611.5</v>
      </c>
      <c r="AA48" s="80">
        <f>'дод 2'!AB96</f>
        <v>6564196</v>
      </c>
      <c r="AB48" s="221"/>
      <c r="AC48" s="220"/>
    </row>
    <row r="49" spans="1:29" s="82" customFormat="1" ht="50.25" hidden="1" customHeight="1" x14ac:dyDescent="0.25">
      <c r="A49" s="81"/>
      <c r="B49" s="81"/>
      <c r="C49" s="29" t="str">
        <f>'дод 2'!D96</f>
        <v>іншої субвенції з місцевого бюджету</v>
      </c>
      <c r="D49" s="80">
        <f>'дод 2'!E96</f>
        <v>0</v>
      </c>
      <c r="E49" s="80">
        <f>'дод 2'!F96</f>
        <v>0</v>
      </c>
      <c r="F49" s="80">
        <f>'дод 2'!G96</f>
        <v>0</v>
      </c>
      <c r="G49" s="80">
        <f>'дод 2'!H96</f>
        <v>0</v>
      </c>
      <c r="H49" s="80">
        <f>'дод 2'!I96</f>
        <v>0</v>
      </c>
      <c r="I49" s="80">
        <f>'дод 2'!J96</f>
        <v>0</v>
      </c>
      <c r="J49" s="80">
        <f>'дод 2'!K96</f>
        <v>0</v>
      </c>
      <c r="K49" s="80">
        <f>'дод 2'!L96</f>
        <v>0</v>
      </c>
      <c r="L49" s="180" t="e">
        <f t="shared" si="3"/>
        <v>#DIV/0!</v>
      </c>
      <c r="M49" s="80">
        <f>'дод 2'!N96</f>
        <v>6564196</v>
      </c>
      <c r="N49" s="80">
        <f>'дод 2'!O96</f>
        <v>0</v>
      </c>
      <c r="O49" s="80">
        <f>'дод 2'!P96</f>
        <v>6564196</v>
      </c>
      <c r="P49" s="80">
        <f>'дод 2'!Q96</f>
        <v>0</v>
      </c>
      <c r="Q49" s="80">
        <f>'дод 2'!R96</f>
        <v>0</v>
      </c>
      <c r="R49" s="80">
        <f>'дод 2'!S96</f>
        <v>0</v>
      </c>
      <c r="S49" s="80">
        <f>'дод 2'!T96</f>
        <v>1011611.5</v>
      </c>
      <c r="T49" s="80">
        <f>'дод 2'!U96</f>
        <v>0</v>
      </c>
      <c r="U49" s="80">
        <f>'дод 2'!V96</f>
        <v>1011611.5</v>
      </c>
      <c r="V49" s="80">
        <f>'дод 2'!W96</f>
        <v>0</v>
      </c>
      <c r="W49" s="80">
        <f>'дод 2'!X96</f>
        <v>0</v>
      </c>
      <c r="X49" s="80">
        <f>'дод 2'!Y96</f>
        <v>0</v>
      </c>
      <c r="Y49" s="180">
        <f t="shared" si="4"/>
        <v>15.411049578653655</v>
      </c>
      <c r="Z49" s="80">
        <f t="shared" si="5"/>
        <v>1011611.5</v>
      </c>
      <c r="AA49" s="80">
        <f>'дод 2'!AB96</f>
        <v>6564196</v>
      </c>
      <c r="AB49" s="221"/>
      <c r="AC49" s="220"/>
    </row>
    <row r="50" spans="1:29" s="82" customFormat="1" ht="47.25" hidden="1" customHeight="1" x14ac:dyDescent="0.25">
      <c r="A50" s="81"/>
      <c r="B50" s="81"/>
      <c r="C50" s="48" t="s">
        <v>370</v>
      </c>
      <c r="D50" s="80"/>
      <c r="E50" s="80"/>
      <c r="F50" s="80"/>
      <c r="G50" s="80"/>
      <c r="H50" s="80"/>
      <c r="I50" s="80"/>
      <c r="J50" s="80"/>
      <c r="K50" s="80"/>
      <c r="L50" s="180" t="e">
        <f t="shared" si="3"/>
        <v>#DIV/0!</v>
      </c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180" t="e">
        <f t="shared" si="4"/>
        <v>#DIV/0!</v>
      </c>
      <c r="Z50" s="80">
        <f t="shared" si="5"/>
        <v>0</v>
      </c>
      <c r="AA50" s="80"/>
      <c r="AB50" s="221"/>
      <c r="AC50" s="220"/>
    </row>
    <row r="51" spans="1:29" s="82" customFormat="1" ht="47.25" hidden="1" customHeight="1" x14ac:dyDescent="0.25">
      <c r="A51" s="81"/>
      <c r="B51" s="81"/>
      <c r="C51" s="48" t="s">
        <v>372</v>
      </c>
      <c r="D51" s="80"/>
      <c r="E51" s="80"/>
      <c r="F51" s="80"/>
      <c r="G51" s="80"/>
      <c r="H51" s="80"/>
      <c r="I51" s="80"/>
      <c r="J51" s="80"/>
      <c r="K51" s="80"/>
      <c r="L51" s="180" t="e">
        <f t="shared" si="3"/>
        <v>#DIV/0!</v>
      </c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180" t="e">
        <f t="shared" si="4"/>
        <v>#DIV/0!</v>
      </c>
      <c r="Z51" s="80">
        <f t="shared" si="5"/>
        <v>0</v>
      </c>
      <c r="AA51" s="80"/>
      <c r="AB51" s="221"/>
      <c r="AC51" s="220"/>
    </row>
    <row r="52" spans="1:29" s="82" customFormat="1" ht="58.5" hidden="1" customHeight="1" x14ac:dyDescent="0.25">
      <c r="A52" s="81"/>
      <c r="B52" s="81"/>
      <c r="C52" s="48" t="s">
        <v>369</v>
      </c>
      <c r="D52" s="80"/>
      <c r="E52" s="80"/>
      <c r="F52" s="80"/>
      <c r="G52" s="80"/>
      <c r="H52" s="80"/>
      <c r="I52" s="80"/>
      <c r="J52" s="80"/>
      <c r="K52" s="80"/>
      <c r="L52" s="180" t="e">
        <f t="shared" si="3"/>
        <v>#DIV/0!</v>
      </c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180" t="e">
        <f t="shared" si="4"/>
        <v>#DIV/0!</v>
      </c>
      <c r="Z52" s="80">
        <f t="shared" si="5"/>
        <v>0</v>
      </c>
      <c r="AA52" s="80"/>
      <c r="AB52" s="221"/>
      <c r="AC52" s="220"/>
    </row>
    <row r="53" spans="1:29" s="82" customFormat="1" ht="31.5" hidden="1" customHeight="1" x14ac:dyDescent="0.25">
      <c r="A53" s="81"/>
      <c r="B53" s="81"/>
      <c r="C53" s="48" t="s">
        <v>375</v>
      </c>
      <c r="D53" s="80"/>
      <c r="E53" s="80"/>
      <c r="F53" s="80"/>
      <c r="G53" s="80"/>
      <c r="H53" s="80"/>
      <c r="I53" s="80"/>
      <c r="J53" s="80"/>
      <c r="K53" s="80"/>
      <c r="L53" s="180" t="e">
        <f t="shared" si="3"/>
        <v>#DIV/0!</v>
      </c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180" t="e">
        <f t="shared" si="4"/>
        <v>#DIV/0!</v>
      </c>
      <c r="Z53" s="80">
        <f t="shared" si="5"/>
        <v>0</v>
      </c>
      <c r="AA53" s="80"/>
      <c r="AB53" s="221"/>
      <c r="AC53" s="220"/>
    </row>
    <row r="54" spans="1:29" s="82" customFormat="1" ht="63" hidden="1" customHeight="1" x14ac:dyDescent="0.25">
      <c r="A54" s="81"/>
      <c r="B54" s="81"/>
      <c r="C54" s="48" t="s">
        <v>371</v>
      </c>
      <c r="D54" s="80"/>
      <c r="E54" s="80"/>
      <c r="F54" s="80"/>
      <c r="G54" s="80"/>
      <c r="H54" s="80"/>
      <c r="I54" s="80"/>
      <c r="J54" s="80"/>
      <c r="K54" s="80"/>
      <c r="L54" s="180" t="e">
        <f t="shared" si="3"/>
        <v>#DIV/0!</v>
      </c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180" t="e">
        <f t="shared" si="4"/>
        <v>#DIV/0!</v>
      </c>
      <c r="Z54" s="80">
        <f t="shared" si="5"/>
        <v>0</v>
      </c>
      <c r="AA54" s="80"/>
      <c r="AB54" s="221"/>
      <c r="AC54" s="220"/>
    </row>
    <row r="55" spans="1:29" ht="64.150000000000006" customHeight="1" x14ac:dyDescent="0.25">
      <c r="A55" s="45">
        <v>1022</v>
      </c>
      <c r="B55" s="22" t="s">
        <v>53</v>
      </c>
      <c r="C55" s="24" t="s">
        <v>747</v>
      </c>
      <c r="D55" s="79">
        <f>'дод 2'!E98+'дод 2'!E391</f>
        <v>18169841</v>
      </c>
      <c r="E55" s="79">
        <f>'дод 2'!F98+'дод 2'!F391</f>
        <v>18169841</v>
      </c>
      <c r="F55" s="79">
        <f>'дод 2'!G98+'дод 2'!G391</f>
        <v>10850800</v>
      </c>
      <c r="G55" s="79">
        <f>'дод 2'!H98+'дод 2'!H391</f>
        <v>2866500</v>
      </c>
      <c r="H55" s="79">
        <f>'дод 2'!I98+'дод 2'!I391</f>
        <v>0</v>
      </c>
      <c r="I55" s="79">
        <f>'дод 2'!J98+'дод 2'!J391</f>
        <v>18023897.23</v>
      </c>
      <c r="J55" s="79">
        <f>'дод 2'!K98+'дод 2'!K391</f>
        <v>10850752.140000001</v>
      </c>
      <c r="K55" s="79">
        <f>'дод 2'!L98+'дод 2'!L391</f>
        <v>2755496.49</v>
      </c>
      <c r="L55" s="179">
        <f t="shared" si="3"/>
        <v>99.196780147938554</v>
      </c>
      <c r="M55" s="79">
        <f>'дод 2'!N98+'дод 2'!N391</f>
        <v>0</v>
      </c>
      <c r="N55" s="79">
        <f>'дод 2'!O98+'дод 2'!O391</f>
        <v>0</v>
      </c>
      <c r="O55" s="79">
        <f>'дод 2'!P98+'дод 2'!P391</f>
        <v>0</v>
      </c>
      <c r="P55" s="79">
        <f>'дод 2'!Q98+'дод 2'!Q391</f>
        <v>0</v>
      </c>
      <c r="Q55" s="79">
        <f>'дод 2'!R98+'дод 2'!R391</f>
        <v>0</v>
      </c>
      <c r="R55" s="79">
        <f>'дод 2'!S98+'дод 2'!S391</f>
        <v>0</v>
      </c>
      <c r="S55" s="79">
        <f>'дод 2'!T98+'дод 2'!T391</f>
        <v>1475549.6800000002</v>
      </c>
      <c r="T55" s="79">
        <f>'дод 2'!U98+'дод 2'!U391</f>
        <v>0</v>
      </c>
      <c r="U55" s="79">
        <f>'дод 2'!V98+'дод 2'!V391</f>
        <v>870764.27</v>
      </c>
      <c r="V55" s="79">
        <f>'дод 2'!W98+'дод 2'!W391</f>
        <v>286566.84000000003</v>
      </c>
      <c r="W55" s="79">
        <f>'дод 2'!X98+'дод 2'!X391</f>
        <v>0</v>
      </c>
      <c r="X55" s="79">
        <f>'дод 2'!Y98+'дод 2'!Y391</f>
        <v>604785.41</v>
      </c>
      <c r="Y55" s="179"/>
      <c r="Z55" s="79">
        <f t="shared" si="5"/>
        <v>19499446.91</v>
      </c>
      <c r="AA55" s="79">
        <f>'дод 2'!AB98+'дод 2'!AB391</f>
        <v>18169841</v>
      </c>
      <c r="AB55" s="221"/>
      <c r="AC55" s="220"/>
    </row>
    <row r="56" spans="1:29" ht="94.5" x14ac:dyDescent="0.25">
      <c r="A56" s="45"/>
      <c r="B56" s="22"/>
      <c r="C56" s="48" t="s">
        <v>618</v>
      </c>
      <c r="D56" s="80">
        <f>'дод 2'!E99</f>
        <v>21541</v>
      </c>
      <c r="E56" s="80">
        <f>'дод 2'!F99</f>
        <v>21541</v>
      </c>
      <c r="F56" s="80">
        <f>'дод 2'!G99</f>
        <v>0</v>
      </c>
      <c r="G56" s="80">
        <f>'дод 2'!H99</f>
        <v>0</v>
      </c>
      <c r="H56" s="80">
        <f>'дод 2'!I99</f>
        <v>0</v>
      </c>
      <c r="I56" s="80">
        <f>'дод 2'!J99</f>
        <v>21541</v>
      </c>
      <c r="J56" s="80">
        <f>'дод 2'!K99</f>
        <v>0</v>
      </c>
      <c r="K56" s="80">
        <f>'дод 2'!L99</f>
        <v>0</v>
      </c>
      <c r="L56" s="180">
        <f t="shared" si="3"/>
        <v>100</v>
      </c>
      <c r="M56" s="80">
        <f>'дод 2'!N99</f>
        <v>0</v>
      </c>
      <c r="N56" s="80">
        <f>'дод 2'!O99</f>
        <v>0</v>
      </c>
      <c r="O56" s="80">
        <f>'дод 2'!P99</f>
        <v>0</v>
      </c>
      <c r="P56" s="80">
        <f>'дод 2'!Q99</f>
        <v>0</v>
      </c>
      <c r="Q56" s="80">
        <f>'дод 2'!R99</f>
        <v>0</v>
      </c>
      <c r="R56" s="80">
        <f>'дод 2'!S99</f>
        <v>0</v>
      </c>
      <c r="S56" s="80">
        <f>'дод 2'!T99</f>
        <v>0</v>
      </c>
      <c r="T56" s="80">
        <f>'дод 2'!U99</f>
        <v>0</v>
      </c>
      <c r="U56" s="80">
        <f>'дод 2'!V99</f>
        <v>0</v>
      </c>
      <c r="V56" s="80">
        <f>'дод 2'!W99</f>
        <v>0</v>
      </c>
      <c r="W56" s="80">
        <f>'дод 2'!X99</f>
        <v>0</v>
      </c>
      <c r="X56" s="80">
        <f>'дод 2'!Y99</f>
        <v>0</v>
      </c>
      <c r="Y56" s="180"/>
      <c r="Z56" s="80">
        <f t="shared" si="5"/>
        <v>21541</v>
      </c>
      <c r="AA56" s="80">
        <f>'дод 2'!AB99</f>
        <v>21541</v>
      </c>
      <c r="AB56" s="221"/>
      <c r="AC56" s="220"/>
    </row>
    <row r="57" spans="1:29" ht="78.75" hidden="1" customHeight="1" x14ac:dyDescent="0.25">
      <c r="A57" s="45"/>
      <c r="B57" s="45"/>
      <c r="C57" s="48" t="s">
        <v>373</v>
      </c>
      <c r="D57" s="79"/>
      <c r="E57" s="79"/>
      <c r="F57" s="79"/>
      <c r="G57" s="79"/>
      <c r="H57" s="79"/>
      <c r="I57" s="79"/>
      <c r="J57" s="79"/>
      <c r="K57" s="79"/>
      <c r="L57" s="179" t="e">
        <f t="shared" si="3"/>
        <v>#DIV/0!</v>
      </c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179"/>
      <c r="Z57" s="79">
        <f t="shared" si="5"/>
        <v>0</v>
      </c>
      <c r="AA57" s="79"/>
      <c r="AB57" s="221"/>
      <c r="AC57" s="220"/>
    </row>
    <row r="58" spans="1:29" ht="64.5" customHeight="1" x14ac:dyDescent="0.25">
      <c r="A58" s="45">
        <v>1025</v>
      </c>
      <c r="B58" s="45" t="s">
        <v>53</v>
      </c>
      <c r="C58" s="33" t="s">
        <v>603</v>
      </c>
      <c r="D58" s="79">
        <f>'дод 2'!E100</f>
        <v>13539100</v>
      </c>
      <c r="E58" s="79">
        <f>'дод 2'!F100</f>
        <v>13539100</v>
      </c>
      <c r="F58" s="79">
        <f>'дод 2'!G100</f>
        <v>9565000</v>
      </c>
      <c r="G58" s="79">
        <f>'дод 2'!H100</f>
        <v>1219000</v>
      </c>
      <c r="H58" s="79">
        <f>'дод 2'!I100</f>
        <v>0</v>
      </c>
      <c r="I58" s="79">
        <f>'дод 2'!J100</f>
        <v>13061214.279999999</v>
      </c>
      <c r="J58" s="79">
        <f>'дод 2'!K100</f>
        <v>9562422.6300000008</v>
      </c>
      <c r="K58" s="79">
        <f>'дод 2'!L100</f>
        <v>943617.06</v>
      </c>
      <c r="L58" s="179">
        <f t="shared" si="3"/>
        <v>96.470328751541828</v>
      </c>
      <c r="M58" s="79">
        <f>'дод 2'!N100</f>
        <v>0</v>
      </c>
      <c r="N58" s="79">
        <f>'дод 2'!O100</f>
        <v>0</v>
      </c>
      <c r="O58" s="79">
        <f>'дод 2'!P100</f>
        <v>0</v>
      </c>
      <c r="P58" s="79">
        <f>'дод 2'!Q100</f>
        <v>0</v>
      </c>
      <c r="Q58" s="79">
        <f>'дод 2'!R100</f>
        <v>0</v>
      </c>
      <c r="R58" s="79">
        <f>'дод 2'!S100</f>
        <v>0</v>
      </c>
      <c r="S58" s="79">
        <f>'дод 2'!T100</f>
        <v>258589.57</v>
      </c>
      <c r="T58" s="79">
        <f>'дод 2'!U100</f>
        <v>0</v>
      </c>
      <c r="U58" s="79">
        <f>'дод 2'!V100</f>
        <v>206361.57</v>
      </c>
      <c r="V58" s="79">
        <f>'дод 2'!W100</f>
        <v>0</v>
      </c>
      <c r="W58" s="79">
        <f>'дод 2'!X100</f>
        <v>0</v>
      </c>
      <c r="X58" s="79">
        <f>'дод 2'!Y100</f>
        <v>52228</v>
      </c>
      <c r="Y58" s="179"/>
      <c r="Z58" s="79">
        <f t="shared" si="5"/>
        <v>13319803.85</v>
      </c>
      <c r="AA58" s="79">
        <f>'дод 2'!AB100</f>
        <v>13539100</v>
      </c>
      <c r="AB58" s="221"/>
      <c r="AC58" s="220"/>
    </row>
    <row r="59" spans="1:29" s="82" customFormat="1" ht="47.25" x14ac:dyDescent="0.25">
      <c r="A59" s="23">
        <v>1031</v>
      </c>
      <c r="B59" s="22" t="s">
        <v>49</v>
      </c>
      <c r="C59" s="24" t="s">
        <v>604</v>
      </c>
      <c r="D59" s="79">
        <f>'дод 2'!E101</f>
        <v>508400300</v>
      </c>
      <c r="E59" s="79">
        <f>'дод 2'!F101</f>
        <v>508400300</v>
      </c>
      <c r="F59" s="79">
        <f>'дод 2'!G101</f>
        <v>415576000</v>
      </c>
      <c r="G59" s="79">
        <f>'дод 2'!H101</f>
        <v>0</v>
      </c>
      <c r="H59" s="79">
        <f>'дод 2'!I101</f>
        <v>0</v>
      </c>
      <c r="I59" s="79">
        <f>'дод 2'!J101</f>
        <v>506644238.12</v>
      </c>
      <c r="J59" s="79">
        <f>'дод 2'!K101</f>
        <v>415329350.98000002</v>
      </c>
      <c r="K59" s="79">
        <f>'дод 2'!L101</f>
        <v>0</v>
      </c>
      <c r="L59" s="179">
        <f t="shared" si="3"/>
        <v>99.654590707361905</v>
      </c>
      <c r="M59" s="79">
        <f>'дод 2'!N101</f>
        <v>0</v>
      </c>
      <c r="N59" s="79">
        <f>'дод 2'!O101</f>
        <v>0</v>
      </c>
      <c r="O59" s="79">
        <f>'дод 2'!P101</f>
        <v>0</v>
      </c>
      <c r="P59" s="79">
        <f>'дод 2'!Q101</f>
        <v>0</v>
      </c>
      <c r="Q59" s="79">
        <f>'дод 2'!R101</f>
        <v>0</v>
      </c>
      <c r="R59" s="79">
        <f>'дод 2'!S101</f>
        <v>0</v>
      </c>
      <c r="S59" s="79">
        <f>'дод 2'!T101</f>
        <v>0</v>
      </c>
      <c r="T59" s="79">
        <f>'дод 2'!U101</f>
        <v>0</v>
      </c>
      <c r="U59" s="79">
        <f>'дод 2'!V101</f>
        <v>0</v>
      </c>
      <c r="V59" s="79">
        <f>'дод 2'!W101</f>
        <v>0</v>
      </c>
      <c r="W59" s="79">
        <f>'дод 2'!X101</f>
        <v>0</v>
      </c>
      <c r="X59" s="79">
        <f>'дод 2'!Y101</f>
        <v>0</v>
      </c>
      <c r="Y59" s="179"/>
      <c r="Z59" s="79">
        <f t="shared" si="5"/>
        <v>506644238.12</v>
      </c>
      <c r="AA59" s="79">
        <f>'дод 2'!AB101</f>
        <v>508400300</v>
      </c>
      <c r="AB59" s="221"/>
      <c r="AC59" s="220"/>
    </row>
    <row r="60" spans="1:29" s="82" customFormat="1" ht="18.75" customHeight="1" x14ac:dyDescent="0.25">
      <c r="A60" s="81"/>
      <c r="B60" s="81"/>
      <c r="C60" s="29" t="s">
        <v>375</v>
      </c>
      <c r="D60" s="80">
        <f>'дод 2'!E102</f>
        <v>506171900</v>
      </c>
      <c r="E60" s="80">
        <f>'дод 2'!F102</f>
        <v>506171900</v>
      </c>
      <c r="F60" s="80">
        <f>'дод 2'!G102</f>
        <v>415576000</v>
      </c>
      <c r="G60" s="80">
        <f>'дод 2'!H102</f>
        <v>0</v>
      </c>
      <c r="H60" s="80">
        <f>'дод 2'!I102</f>
        <v>0</v>
      </c>
      <c r="I60" s="80">
        <f>'дод 2'!J102</f>
        <v>505163270.56999999</v>
      </c>
      <c r="J60" s="80">
        <f>'дод 2'!K102</f>
        <v>415329350.98000002</v>
      </c>
      <c r="K60" s="80">
        <f>'дод 2'!L102</f>
        <v>0</v>
      </c>
      <c r="L60" s="180">
        <f t="shared" si="3"/>
        <v>99.80073381592301</v>
      </c>
      <c r="M60" s="80">
        <f>'дод 2'!N102</f>
        <v>0</v>
      </c>
      <c r="N60" s="80">
        <f>'дод 2'!O102</f>
        <v>0</v>
      </c>
      <c r="O60" s="80">
        <f>'дод 2'!P102</f>
        <v>0</v>
      </c>
      <c r="P60" s="80">
        <f>'дод 2'!Q102</f>
        <v>0</v>
      </c>
      <c r="Q60" s="80">
        <f>'дод 2'!R102</f>
        <v>0</v>
      </c>
      <c r="R60" s="80">
        <f>'дод 2'!S102</f>
        <v>0</v>
      </c>
      <c r="S60" s="80">
        <f>'дод 2'!T102</f>
        <v>0</v>
      </c>
      <c r="T60" s="80">
        <f>'дод 2'!U102</f>
        <v>0</v>
      </c>
      <c r="U60" s="80">
        <f>'дод 2'!V102</f>
        <v>0</v>
      </c>
      <c r="V60" s="80">
        <f>'дод 2'!W102</f>
        <v>0</v>
      </c>
      <c r="W60" s="80">
        <f>'дод 2'!X102</f>
        <v>0</v>
      </c>
      <c r="X60" s="80">
        <f>'дод 2'!Y102</f>
        <v>0</v>
      </c>
      <c r="Y60" s="180"/>
      <c r="Z60" s="80">
        <f t="shared" si="5"/>
        <v>505163270.56999999</v>
      </c>
      <c r="AA60" s="80">
        <f>'дод 2'!AB102</f>
        <v>506171900</v>
      </c>
      <c r="AB60" s="221"/>
      <c r="AC60" s="220"/>
    </row>
    <row r="61" spans="1:29" ht="36" customHeight="1" x14ac:dyDescent="0.25">
      <c r="A61" s="45"/>
      <c r="B61" s="45"/>
      <c r="C61" s="29" t="s">
        <v>370</v>
      </c>
      <c r="D61" s="80">
        <f>'дод 2'!E103</f>
        <v>2228400</v>
      </c>
      <c r="E61" s="80">
        <f>'дод 2'!F103</f>
        <v>2228400</v>
      </c>
      <c r="F61" s="80">
        <f>'дод 2'!G103</f>
        <v>0</v>
      </c>
      <c r="G61" s="80">
        <f>'дод 2'!H103</f>
        <v>0</v>
      </c>
      <c r="H61" s="80">
        <f>'дод 2'!I103</f>
        <v>0</v>
      </c>
      <c r="I61" s="80">
        <f>'дод 2'!J103</f>
        <v>1480967.55</v>
      </c>
      <c r="J61" s="80">
        <f>'дод 2'!K103</f>
        <v>0</v>
      </c>
      <c r="K61" s="80">
        <f>'дод 2'!L103</f>
        <v>0</v>
      </c>
      <c r="L61" s="180">
        <f t="shared" si="3"/>
        <v>66.458784329563812</v>
      </c>
      <c r="M61" s="80">
        <f>'дод 2'!N103</f>
        <v>0</v>
      </c>
      <c r="N61" s="80">
        <f>'дод 2'!O103</f>
        <v>0</v>
      </c>
      <c r="O61" s="80">
        <f>'дод 2'!P103</f>
        <v>0</v>
      </c>
      <c r="P61" s="80">
        <f>'дод 2'!Q103</f>
        <v>0</v>
      </c>
      <c r="Q61" s="80">
        <f>'дод 2'!R103</f>
        <v>0</v>
      </c>
      <c r="R61" s="80">
        <f>'дод 2'!S103</f>
        <v>0</v>
      </c>
      <c r="S61" s="80">
        <f>'дод 2'!T103</f>
        <v>0</v>
      </c>
      <c r="T61" s="80">
        <f>'дод 2'!U103</f>
        <v>0</v>
      </c>
      <c r="U61" s="80">
        <f>'дод 2'!V103</f>
        <v>0</v>
      </c>
      <c r="V61" s="80">
        <f>'дод 2'!W103</f>
        <v>0</v>
      </c>
      <c r="W61" s="80">
        <f>'дод 2'!X103</f>
        <v>0</v>
      </c>
      <c r="X61" s="80">
        <f>'дод 2'!Y103</f>
        <v>0</v>
      </c>
      <c r="Y61" s="180"/>
      <c r="Z61" s="80">
        <f t="shared" si="5"/>
        <v>1480967.55</v>
      </c>
      <c r="AA61" s="80">
        <f>'дод 2'!AB103</f>
        <v>2228400</v>
      </c>
      <c r="AB61" s="221"/>
      <c r="AC61" s="220"/>
    </row>
    <row r="62" spans="1:29" ht="52.5" customHeight="1" x14ac:dyDescent="0.25">
      <c r="A62" s="22" t="s">
        <v>443</v>
      </c>
      <c r="B62" s="22" t="s">
        <v>53</v>
      </c>
      <c r="C62" s="24" t="s">
        <v>605</v>
      </c>
      <c r="D62" s="79">
        <f>'дод 2'!E104</f>
        <v>20154300</v>
      </c>
      <c r="E62" s="79">
        <f>'дод 2'!F104</f>
        <v>20154300</v>
      </c>
      <c r="F62" s="79">
        <f>'дод 2'!G104</f>
        <v>16520000</v>
      </c>
      <c r="G62" s="79">
        <f>'дод 2'!H104</f>
        <v>0</v>
      </c>
      <c r="H62" s="79">
        <f>'дод 2'!I104</f>
        <v>0</v>
      </c>
      <c r="I62" s="79">
        <f>'дод 2'!J104</f>
        <v>19770578.989999998</v>
      </c>
      <c r="J62" s="79">
        <f>'дод 2'!K104</f>
        <v>16239086.27</v>
      </c>
      <c r="K62" s="79">
        <f>'дод 2'!L104</f>
        <v>0</v>
      </c>
      <c r="L62" s="179">
        <f t="shared" si="3"/>
        <v>98.096083664528152</v>
      </c>
      <c r="M62" s="79">
        <f>'дод 2'!N104</f>
        <v>0</v>
      </c>
      <c r="N62" s="79">
        <f>'дод 2'!O104</f>
        <v>0</v>
      </c>
      <c r="O62" s="79">
        <f>'дод 2'!P104</f>
        <v>0</v>
      </c>
      <c r="P62" s="79">
        <f>'дод 2'!Q104</f>
        <v>0</v>
      </c>
      <c r="Q62" s="79">
        <f>'дод 2'!R104</f>
        <v>0</v>
      </c>
      <c r="R62" s="79">
        <f>'дод 2'!S104</f>
        <v>0</v>
      </c>
      <c r="S62" s="79">
        <f>'дод 2'!T104</f>
        <v>0</v>
      </c>
      <c r="T62" s="79">
        <f>'дод 2'!U104</f>
        <v>0</v>
      </c>
      <c r="U62" s="79">
        <f>'дод 2'!V104</f>
        <v>0</v>
      </c>
      <c r="V62" s="79">
        <f>'дод 2'!W104</f>
        <v>0</v>
      </c>
      <c r="W62" s="79">
        <f>'дод 2'!X104</f>
        <v>0</v>
      </c>
      <c r="X62" s="79">
        <f>'дод 2'!Y104</f>
        <v>0</v>
      </c>
      <c r="Y62" s="179"/>
      <c r="Z62" s="79">
        <f t="shared" si="5"/>
        <v>19770578.989999998</v>
      </c>
      <c r="AA62" s="79">
        <f>'дод 2'!AB104</f>
        <v>20154300</v>
      </c>
      <c r="AB62" s="221"/>
      <c r="AC62" s="220"/>
    </row>
    <row r="63" spans="1:29" ht="31.5" customHeight="1" x14ac:dyDescent="0.25">
      <c r="A63" s="45"/>
      <c r="B63" s="45"/>
      <c r="C63" s="29" t="s">
        <v>375</v>
      </c>
      <c r="D63" s="80">
        <f>'дод 2'!E105</f>
        <v>20154300</v>
      </c>
      <c r="E63" s="80">
        <f>'дод 2'!F105</f>
        <v>20154300</v>
      </c>
      <c r="F63" s="80">
        <f>'дод 2'!G105</f>
        <v>16520000</v>
      </c>
      <c r="G63" s="80">
        <f>'дод 2'!H105</f>
        <v>0</v>
      </c>
      <c r="H63" s="80">
        <f>'дод 2'!I105</f>
        <v>0</v>
      </c>
      <c r="I63" s="80">
        <f>'дод 2'!J105</f>
        <v>19770578.989999998</v>
      </c>
      <c r="J63" s="80">
        <f>'дод 2'!K105</f>
        <v>16239086.27</v>
      </c>
      <c r="K63" s="80">
        <f>'дод 2'!L105</f>
        <v>0</v>
      </c>
      <c r="L63" s="180">
        <f t="shared" si="3"/>
        <v>98.096083664528152</v>
      </c>
      <c r="M63" s="80">
        <f>'дод 2'!N105</f>
        <v>0</v>
      </c>
      <c r="N63" s="80">
        <f>'дод 2'!O105</f>
        <v>0</v>
      </c>
      <c r="O63" s="80">
        <f>'дод 2'!P105</f>
        <v>0</v>
      </c>
      <c r="P63" s="80">
        <f>'дод 2'!Q105</f>
        <v>0</v>
      </c>
      <c r="Q63" s="80">
        <f>'дод 2'!R105</f>
        <v>0</v>
      </c>
      <c r="R63" s="80">
        <f>'дод 2'!S105</f>
        <v>0</v>
      </c>
      <c r="S63" s="80">
        <f>'дод 2'!T105</f>
        <v>0</v>
      </c>
      <c r="T63" s="80">
        <f>'дод 2'!U105</f>
        <v>0</v>
      </c>
      <c r="U63" s="80">
        <f>'дод 2'!V105</f>
        <v>0</v>
      </c>
      <c r="V63" s="80">
        <f>'дод 2'!W105</f>
        <v>0</v>
      </c>
      <c r="W63" s="80">
        <f>'дод 2'!X105</f>
        <v>0</v>
      </c>
      <c r="X63" s="80">
        <f>'дод 2'!Y105</f>
        <v>0</v>
      </c>
      <c r="Y63" s="180"/>
      <c r="Z63" s="80">
        <f t="shared" si="5"/>
        <v>19770578.989999998</v>
      </c>
      <c r="AA63" s="80">
        <f>'дод 2'!AB105</f>
        <v>20154300</v>
      </c>
      <c r="AB63" s="221"/>
      <c r="AC63" s="220"/>
    </row>
    <row r="64" spans="1:29" ht="69.400000000000006" customHeight="1" x14ac:dyDescent="0.25">
      <c r="A64" s="45">
        <v>1035</v>
      </c>
      <c r="B64" s="45" t="s">
        <v>53</v>
      </c>
      <c r="C64" s="24" t="s">
        <v>606</v>
      </c>
      <c r="D64" s="79">
        <f>'дод 2'!E106</f>
        <v>1773800</v>
      </c>
      <c r="E64" s="79">
        <f>'дод 2'!F106</f>
        <v>1773800</v>
      </c>
      <c r="F64" s="79">
        <f>'дод 2'!G106</f>
        <v>1454000</v>
      </c>
      <c r="G64" s="79">
        <f>'дод 2'!H106</f>
        <v>0</v>
      </c>
      <c r="H64" s="79">
        <f>'дод 2'!I106</f>
        <v>0</v>
      </c>
      <c r="I64" s="79">
        <f>'дод 2'!J106</f>
        <v>1245468.23</v>
      </c>
      <c r="J64" s="79">
        <f>'дод 2'!K106</f>
        <v>1044305.65</v>
      </c>
      <c r="K64" s="79">
        <f>'дод 2'!L106</f>
        <v>0</v>
      </c>
      <c r="L64" s="179">
        <f t="shared" si="3"/>
        <v>70.214693313789596</v>
      </c>
      <c r="M64" s="79">
        <f>'дод 2'!N106</f>
        <v>0</v>
      </c>
      <c r="N64" s="79">
        <f>'дод 2'!O106</f>
        <v>0</v>
      </c>
      <c r="O64" s="79">
        <f>'дод 2'!P106</f>
        <v>0</v>
      </c>
      <c r="P64" s="79">
        <f>'дод 2'!Q106</f>
        <v>0</v>
      </c>
      <c r="Q64" s="79">
        <f>'дод 2'!R106</f>
        <v>0</v>
      </c>
      <c r="R64" s="79">
        <f>'дод 2'!S106</f>
        <v>0</v>
      </c>
      <c r="S64" s="79">
        <f>'дод 2'!T106</f>
        <v>0</v>
      </c>
      <c r="T64" s="79">
        <f>'дод 2'!U106</f>
        <v>0</v>
      </c>
      <c r="U64" s="79">
        <f>'дод 2'!V106</f>
        <v>0</v>
      </c>
      <c r="V64" s="79">
        <f>'дод 2'!W106</f>
        <v>0</v>
      </c>
      <c r="W64" s="79">
        <f>'дод 2'!X106</f>
        <v>0</v>
      </c>
      <c r="X64" s="79">
        <f>'дод 2'!Y106</f>
        <v>0</v>
      </c>
      <c r="Y64" s="179"/>
      <c r="Z64" s="79">
        <f t="shared" si="5"/>
        <v>1245468.23</v>
      </c>
      <c r="AA64" s="79">
        <f>'дод 2'!AB106</f>
        <v>1773800</v>
      </c>
      <c r="AB64" s="221"/>
      <c r="AC64" s="220"/>
    </row>
    <row r="65" spans="1:29" ht="31.5" customHeight="1" x14ac:dyDescent="0.25">
      <c r="A65" s="45"/>
      <c r="B65" s="45"/>
      <c r="C65" s="29" t="s">
        <v>375</v>
      </c>
      <c r="D65" s="80">
        <f>'дод 2'!E107</f>
        <v>1773800</v>
      </c>
      <c r="E65" s="80">
        <f>'дод 2'!F107</f>
        <v>1773800</v>
      </c>
      <c r="F65" s="80">
        <f>'дод 2'!G107</f>
        <v>1454000</v>
      </c>
      <c r="G65" s="80">
        <f>'дод 2'!H107</f>
        <v>0</v>
      </c>
      <c r="H65" s="80">
        <f>'дод 2'!I107</f>
        <v>0</v>
      </c>
      <c r="I65" s="80">
        <f>'дод 2'!J107</f>
        <v>1245468.23</v>
      </c>
      <c r="J65" s="80">
        <f>'дод 2'!K107</f>
        <v>1044305.65</v>
      </c>
      <c r="K65" s="80">
        <f>'дод 2'!L107</f>
        <v>0</v>
      </c>
      <c r="L65" s="180">
        <f t="shared" si="3"/>
        <v>70.214693313789596</v>
      </c>
      <c r="M65" s="80">
        <f>'дод 2'!N107</f>
        <v>0</v>
      </c>
      <c r="N65" s="80">
        <f>'дод 2'!O107</f>
        <v>0</v>
      </c>
      <c r="O65" s="80">
        <f>'дод 2'!P107</f>
        <v>0</v>
      </c>
      <c r="P65" s="80">
        <f>'дод 2'!Q107</f>
        <v>0</v>
      </c>
      <c r="Q65" s="80">
        <f>'дод 2'!R107</f>
        <v>0</v>
      </c>
      <c r="R65" s="80">
        <f>'дод 2'!S107</f>
        <v>0</v>
      </c>
      <c r="S65" s="80">
        <f>'дод 2'!T107</f>
        <v>0</v>
      </c>
      <c r="T65" s="80">
        <f>'дод 2'!U107</f>
        <v>0</v>
      </c>
      <c r="U65" s="80">
        <f>'дод 2'!V107</f>
        <v>0</v>
      </c>
      <c r="V65" s="80">
        <f>'дод 2'!W107</f>
        <v>0</v>
      </c>
      <c r="W65" s="80">
        <f>'дод 2'!X107</f>
        <v>0</v>
      </c>
      <c r="X65" s="80">
        <f>'дод 2'!Y107</f>
        <v>0</v>
      </c>
      <c r="Y65" s="180"/>
      <c r="Z65" s="80">
        <f t="shared" si="5"/>
        <v>1245468.23</v>
      </c>
      <c r="AA65" s="80">
        <f>'дод 2'!AB107</f>
        <v>1773800</v>
      </c>
      <c r="AB65" s="221"/>
      <c r="AC65" s="220"/>
    </row>
    <row r="66" spans="1:29" ht="31.5" customHeight="1" x14ac:dyDescent="0.25">
      <c r="A66" s="45">
        <v>1061</v>
      </c>
      <c r="B66" s="22" t="s">
        <v>49</v>
      </c>
      <c r="C66" s="24" t="s">
        <v>484</v>
      </c>
      <c r="D66" s="79">
        <f>'дод 2'!E108</f>
        <v>351767.89</v>
      </c>
      <c r="E66" s="79">
        <f>'дод 2'!F108</f>
        <v>351767.89</v>
      </c>
      <c r="F66" s="79">
        <f>'дод 2'!G108</f>
        <v>290000</v>
      </c>
      <c r="G66" s="79">
        <f>'дод 2'!H108</f>
        <v>0</v>
      </c>
      <c r="H66" s="79">
        <f>'дод 2'!I108</f>
        <v>0</v>
      </c>
      <c r="I66" s="79">
        <f>'дод 2'!J108</f>
        <v>351767.89</v>
      </c>
      <c r="J66" s="79">
        <f>'дод 2'!K108</f>
        <v>290000</v>
      </c>
      <c r="K66" s="79">
        <f>'дод 2'!L108</f>
        <v>0</v>
      </c>
      <c r="L66" s="179">
        <f t="shared" si="3"/>
        <v>100</v>
      </c>
      <c r="M66" s="79">
        <f>'дод 2'!N108</f>
        <v>0</v>
      </c>
      <c r="N66" s="79">
        <f>'дод 2'!O108</f>
        <v>0</v>
      </c>
      <c r="O66" s="79">
        <f>'дод 2'!P108</f>
        <v>0</v>
      </c>
      <c r="P66" s="79">
        <f>'дод 2'!Q108</f>
        <v>0</v>
      </c>
      <c r="Q66" s="79">
        <f>'дод 2'!R108</f>
        <v>0</v>
      </c>
      <c r="R66" s="79">
        <f>'дод 2'!S108</f>
        <v>0</v>
      </c>
      <c r="S66" s="79">
        <f>'дод 2'!T108</f>
        <v>0</v>
      </c>
      <c r="T66" s="79">
        <f>'дод 2'!U108</f>
        <v>0</v>
      </c>
      <c r="U66" s="79">
        <f>'дод 2'!V108</f>
        <v>0</v>
      </c>
      <c r="V66" s="79">
        <f>'дод 2'!W108</f>
        <v>0</v>
      </c>
      <c r="W66" s="79">
        <f>'дод 2'!X108</f>
        <v>0</v>
      </c>
      <c r="X66" s="79">
        <f>'дод 2'!Y108</f>
        <v>0</v>
      </c>
      <c r="Y66" s="179"/>
      <c r="Z66" s="79">
        <f t="shared" si="5"/>
        <v>351767.89</v>
      </c>
      <c r="AA66" s="79">
        <f>'дод 2'!AB108</f>
        <v>351767.89</v>
      </c>
      <c r="AB66" s="221"/>
      <c r="AC66" s="220"/>
    </row>
    <row r="67" spans="1:29" ht="47.25" hidden="1" customHeight="1" x14ac:dyDescent="0.25">
      <c r="A67" s="45"/>
      <c r="B67" s="22"/>
      <c r="C67" s="29" t="s">
        <v>494</v>
      </c>
      <c r="D67" s="80">
        <f>'дод 2'!E109</f>
        <v>0</v>
      </c>
      <c r="E67" s="80">
        <f>'дод 2'!F109</f>
        <v>0</v>
      </c>
      <c r="F67" s="80">
        <f>'дод 2'!G109</f>
        <v>0</v>
      </c>
      <c r="G67" s="80">
        <f>'дод 2'!H109</f>
        <v>0</v>
      </c>
      <c r="H67" s="80">
        <f>'дод 2'!I109</f>
        <v>0</v>
      </c>
      <c r="I67" s="80">
        <f>'дод 2'!J109</f>
        <v>0</v>
      </c>
      <c r="J67" s="80">
        <f>'дод 2'!K109</f>
        <v>0</v>
      </c>
      <c r="K67" s="80">
        <f>'дод 2'!L109</f>
        <v>0</v>
      </c>
      <c r="L67" s="180" t="e">
        <f t="shared" si="3"/>
        <v>#DIV/0!</v>
      </c>
      <c r="M67" s="80">
        <f>'дод 2'!N109</f>
        <v>0</v>
      </c>
      <c r="N67" s="80">
        <f>'дод 2'!O109</f>
        <v>0</v>
      </c>
      <c r="O67" s="80">
        <f>'дод 2'!P109</f>
        <v>0</v>
      </c>
      <c r="P67" s="80">
        <f>'дод 2'!Q109</f>
        <v>0</v>
      </c>
      <c r="Q67" s="80">
        <f>'дод 2'!R109</f>
        <v>0</v>
      </c>
      <c r="R67" s="80">
        <f>'дод 2'!S109</f>
        <v>0</v>
      </c>
      <c r="S67" s="80">
        <f>'дод 2'!T109</f>
        <v>0</v>
      </c>
      <c r="T67" s="80">
        <f>'дод 2'!U109</f>
        <v>0</v>
      </c>
      <c r="U67" s="80">
        <f>'дод 2'!V109</f>
        <v>0</v>
      </c>
      <c r="V67" s="80">
        <f>'дод 2'!W109</f>
        <v>0</v>
      </c>
      <c r="W67" s="80">
        <f>'дод 2'!X109</f>
        <v>0</v>
      </c>
      <c r="X67" s="80">
        <f>'дод 2'!Y109</f>
        <v>0</v>
      </c>
      <c r="Y67" s="180" t="e">
        <f t="shared" si="4"/>
        <v>#DIV/0!</v>
      </c>
      <c r="Z67" s="80">
        <f t="shared" si="5"/>
        <v>0</v>
      </c>
      <c r="AA67" s="80">
        <f>'дод 2'!AB109</f>
        <v>0</v>
      </c>
      <c r="AB67" s="221"/>
      <c r="AC67" s="220"/>
    </row>
    <row r="68" spans="1:29" s="82" customFormat="1" ht="31.5" customHeight="1" x14ac:dyDescent="0.25">
      <c r="A68" s="81"/>
      <c r="B68" s="27"/>
      <c r="C68" s="29" t="s">
        <v>491</v>
      </c>
      <c r="D68" s="80">
        <f>'дод 2'!E110</f>
        <v>351767.89</v>
      </c>
      <c r="E68" s="80">
        <f>'дод 2'!F110</f>
        <v>351767.89</v>
      </c>
      <c r="F68" s="80">
        <f>'дод 2'!G110</f>
        <v>290000</v>
      </c>
      <c r="G68" s="80">
        <f>'дод 2'!H110</f>
        <v>0</v>
      </c>
      <c r="H68" s="80">
        <f>'дод 2'!I110</f>
        <v>0</v>
      </c>
      <c r="I68" s="80">
        <f>'дод 2'!J110</f>
        <v>351767.89</v>
      </c>
      <c r="J68" s="80">
        <f>'дод 2'!K110</f>
        <v>290000</v>
      </c>
      <c r="K68" s="80">
        <f>'дод 2'!L110</f>
        <v>0</v>
      </c>
      <c r="L68" s="180">
        <f t="shared" si="3"/>
        <v>100</v>
      </c>
      <c r="M68" s="80">
        <f>'дод 2'!N110</f>
        <v>0</v>
      </c>
      <c r="N68" s="80">
        <f>'дод 2'!O110</f>
        <v>0</v>
      </c>
      <c r="O68" s="80">
        <f>'дод 2'!P110</f>
        <v>0</v>
      </c>
      <c r="P68" s="80">
        <f>'дод 2'!Q110</f>
        <v>0</v>
      </c>
      <c r="Q68" s="80">
        <f>'дод 2'!R110</f>
        <v>0</v>
      </c>
      <c r="R68" s="80">
        <f>'дод 2'!S110</f>
        <v>0</v>
      </c>
      <c r="S68" s="80">
        <f>'дод 2'!T110</f>
        <v>0</v>
      </c>
      <c r="T68" s="80">
        <f>'дод 2'!U110</f>
        <v>0</v>
      </c>
      <c r="U68" s="80">
        <f>'дод 2'!V110</f>
        <v>0</v>
      </c>
      <c r="V68" s="80">
        <f>'дод 2'!W110</f>
        <v>0</v>
      </c>
      <c r="W68" s="80">
        <f>'дод 2'!X110</f>
        <v>0</v>
      </c>
      <c r="X68" s="80">
        <f>'дод 2'!Y110</f>
        <v>0</v>
      </c>
      <c r="Y68" s="180"/>
      <c r="Z68" s="80">
        <f t="shared" si="5"/>
        <v>351767.89</v>
      </c>
      <c r="AA68" s="80">
        <f>'дод 2'!AB110</f>
        <v>351767.89</v>
      </c>
      <c r="AB68" s="221"/>
      <c r="AC68" s="220"/>
    </row>
    <row r="69" spans="1:29" s="82" customFormat="1" ht="63" hidden="1" customHeight="1" x14ac:dyDescent="0.25">
      <c r="A69" s="45">
        <v>1062</v>
      </c>
      <c r="B69" s="22" t="s">
        <v>53</v>
      </c>
      <c r="C69" s="24" t="s">
        <v>469</v>
      </c>
      <c r="D69" s="79">
        <f>'дод 2'!E111</f>
        <v>0</v>
      </c>
      <c r="E69" s="79">
        <f>'дод 2'!F111</f>
        <v>0</v>
      </c>
      <c r="F69" s="79">
        <f>'дод 2'!G111</f>
        <v>0</v>
      </c>
      <c r="G69" s="79">
        <f>'дод 2'!H111</f>
        <v>0</v>
      </c>
      <c r="H69" s="79">
        <f>'дод 2'!I111</f>
        <v>0</v>
      </c>
      <c r="I69" s="79">
        <f>'дод 2'!J111</f>
        <v>0</v>
      </c>
      <c r="J69" s="79">
        <f>'дод 2'!K111</f>
        <v>0</v>
      </c>
      <c r="K69" s="79">
        <f>'дод 2'!L111</f>
        <v>0</v>
      </c>
      <c r="L69" s="179" t="e">
        <f t="shared" si="3"/>
        <v>#DIV/0!</v>
      </c>
      <c r="M69" s="79">
        <f>'дод 2'!N111</f>
        <v>0</v>
      </c>
      <c r="N69" s="79">
        <f>'дод 2'!O111</f>
        <v>0</v>
      </c>
      <c r="O69" s="79">
        <f>'дод 2'!P111</f>
        <v>0</v>
      </c>
      <c r="P69" s="79">
        <f>'дод 2'!Q111</f>
        <v>0</v>
      </c>
      <c r="Q69" s="79">
        <f>'дод 2'!R111</f>
        <v>0</v>
      </c>
      <c r="R69" s="79">
        <f>'дод 2'!S111</f>
        <v>0</v>
      </c>
      <c r="S69" s="79">
        <f>'дод 2'!T111</f>
        <v>0</v>
      </c>
      <c r="T69" s="79">
        <f>'дод 2'!U111</f>
        <v>0</v>
      </c>
      <c r="U69" s="79">
        <f>'дод 2'!V111</f>
        <v>0</v>
      </c>
      <c r="V69" s="79">
        <f>'дод 2'!W111</f>
        <v>0</v>
      </c>
      <c r="W69" s="79">
        <f>'дод 2'!X111</f>
        <v>0</v>
      </c>
      <c r="X69" s="79">
        <f>'дод 2'!Y111</f>
        <v>0</v>
      </c>
      <c r="Y69" s="179" t="e">
        <f t="shared" si="4"/>
        <v>#DIV/0!</v>
      </c>
      <c r="Z69" s="79">
        <f t="shared" si="5"/>
        <v>0</v>
      </c>
      <c r="AA69" s="79">
        <f>'дод 2'!AB111</f>
        <v>0</v>
      </c>
      <c r="AB69" s="221"/>
      <c r="AC69" s="220"/>
    </row>
    <row r="70" spans="1:29" s="82" customFormat="1" ht="31.5" hidden="1" customHeight="1" x14ac:dyDescent="0.25">
      <c r="A70" s="81"/>
      <c r="B70" s="27"/>
      <c r="C70" s="29" t="str">
        <f>'дод 2'!D112</f>
        <v>залишку коштів освітньої субвенції , що утворився на початок бюджетного періоду</v>
      </c>
      <c r="D70" s="80">
        <f>'дод 2'!E112</f>
        <v>0</v>
      </c>
      <c r="E70" s="80">
        <f>'дод 2'!F112</f>
        <v>0</v>
      </c>
      <c r="F70" s="80">
        <f>'дод 2'!G112</f>
        <v>0</v>
      </c>
      <c r="G70" s="80">
        <f>'дод 2'!H112</f>
        <v>0</v>
      </c>
      <c r="H70" s="80">
        <f>'дод 2'!I112</f>
        <v>0</v>
      </c>
      <c r="I70" s="80">
        <f>'дод 2'!J112</f>
        <v>0</v>
      </c>
      <c r="J70" s="80">
        <f>'дод 2'!K112</f>
        <v>0</v>
      </c>
      <c r="K70" s="80">
        <f>'дод 2'!L112</f>
        <v>0</v>
      </c>
      <c r="L70" s="180" t="e">
        <f t="shared" si="3"/>
        <v>#DIV/0!</v>
      </c>
      <c r="M70" s="80">
        <f>'дод 2'!N112</f>
        <v>0</v>
      </c>
      <c r="N70" s="80">
        <f>'дод 2'!O112</f>
        <v>0</v>
      </c>
      <c r="O70" s="80">
        <f>'дод 2'!P112</f>
        <v>0</v>
      </c>
      <c r="P70" s="80">
        <f>'дод 2'!Q112</f>
        <v>0</v>
      </c>
      <c r="Q70" s="80">
        <f>'дод 2'!R112</f>
        <v>0</v>
      </c>
      <c r="R70" s="80">
        <f>'дод 2'!S112</f>
        <v>0</v>
      </c>
      <c r="S70" s="80">
        <f>'дод 2'!T112</f>
        <v>0</v>
      </c>
      <c r="T70" s="80">
        <f>'дод 2'!U112</f>
        <v>0</v>
      </c>
      <c r="U70" s="80">
        <f>'дод 2'!V112</f>
        <v>0</v>
      </c>
      <c r="V70" s="80">
        <f>'дод 2'!W112</f>
        <v>0</v>
      </c>
      <c r="W70" s="80">
        <f>'дод 2'!X112</f>
        <v>0</v>
      </c>
      <c r="X70" s="80">
        <f>'дод 2'!Y112</f>
        <v>0</v>
      </c>
      <c r="Y70" s="180" t="e">
        <f t="shared" si="4"/>
        <v>#DIV/0!</v>
      </c>
      <c r="Z70" s="80">
        <f t="shared" si="5"/>
        <v>0</v>
      </c>
      <c r="AA70" s="80">
        <f>'дод 2'!AB112</f>
        <v>0</v>
      </c>
      <c r="AB70" s="221"/>
      <c r="AC70" s="220"/>
    </row>
    <row r="71" spans="1:29" s="82" customFormat="1" ht="38.25" customHeight="1" x14ac:dyDescent="0.25">
      <c r="A71" s="22" t="s">
        <v>52</v>
      </c>
      <c r="B71" s="22" t="s">
        <v>55</v>
      </c>
      <c r="C71" s="24" t="s">
        <v>351</v>
      </c>
      <c r="D71" s="79">
        <f>'дод 2'!E113</f>
        <v>47641500</v>
      </c>
      <c r="E71" s="79">
        <f>'дод 2'!F113</f>
        <v>47641500</v>
      </c>
      <c r="F71" s="79">
        <f>'дод 2'!G113</f>
        <v>33130200</v>
      </c>
      <c r="G71" s="79">
        <f>'дод 2'!H113</f>
        <v>6479900</v>
      </c>
      <c r="H71" s="79">
        <f>'дод 2'!I113</f>
        <v>0</v>
      </c>
      <c r="I71" s="79">
        <f>'дод 2'!J113</f>
        <v>46797815.130000003</v>
      </c>
      <c r="J71" s="79">
        <f>'дод 2'!K113</f>
        <v>33129908.199999999</v>
      </c>
      <c r="K71" s="79">
        <f>'дод 2'!L113</f>
        <v>5681675.3200000003</v>
      </c>
      <c r="L71" s="179">
        <f t="shared" si="3"/>
        <v>98.229096753880555</v>
      </c>
      <c r="M71" s="79">
        <f>'дод 2'!N113</f>
        <v>4042440</v>
      </c>
      <c r="N71" s="79">
        <f>'дод 2'!O113</f>
        <v>4042440</v>
      </c>
      <c r="O71" s="79">
        <f>'дод 2'!P113</f>
        <v>0</v>
      </c>
      <c r="P71" s="79">
        <f>'дод 2'!Q113</f>
        <v>0</v>
      </c>
      <c r="Q71" s="79">
        <f>'дод 2'!R113</f>
        <v>0</v>
      </c>
      <c r="R71" s="79">
        <f>'дод 2'!S113</f>
        <v>4042440</v>
      </c>
      <c r="S71" s="79">
        <f>'дод 2'!T113</f>
        <v>5319290.4800000004</v>
      </c>
      <c r="T71" s="79">
        <f>'дод 2'!U113</f>
        <v>3602718.13</v>
      </c>
      <c r="U71" s="79">
        <f>'дод 2'!V113</f>
        <v>1669780.74</v>
      </c>
      <c r="V71" s="79">
        <f>'дод 2'!W113</f>
        <v>400094.93</v>
      </c>
      <c r="W71" s="79">
        <f>'дод 2'!X113</f>
        <v>0</v>
      </c>
      <c r="X71" s="79">
        <f>'дод 2'!Y113</f>
        <v>3649509.74</v>
      </c>
      <c r="Y71" s="179" t="s">
        <v>772</v>
      </c>
      <c r="Z71" s="79">
        <f t="shared" si="5"/>
        <v>52117105.609999999</v>
      </c>
      <c r="AA71" s="79">
        <f>'дод 2'!AB113</f>
        <v>51683940</v>
      </c>
      <c r="AB71" s="221"/>
      <c r="AC71" s="220"/>
    </row>
    <row r="72" spans="1:29" s="82" customFormat="1" ht="30" customHeight="1" x14ac:dyDescent="0.25">
      <c r="A72" s="23">
        <v>1080</v>
      </c>
      <c r="B72" s="22" t="s">
        <v>55</v>
      </c>
      <c r="C72" s="24" t="s">
        <v>531</v>
      </c>
      <c r="D72" s="79">
        <f>'дод 2'!E286</f>
        <v>58830500</v>
      </c>
      <c r="E72" s="79">
        <f>'дод 2'!F286</f>
        <v>58830500</v>
      </c>
      <c r="F72" s="79">
        <f>'дод 2'!G286</f>
        <v>45963100</v>
      </c>
      <c r="G72" s="79">
        <f>'дод 2'!H286</f>
        <v>1589300</v>
      </c>
      <c r="H72" s="79">
        <f>'дод 2'!I286</f>
        <v>0</v>
      </c>
      <c r="I72" s="79">
        <f>'дод 2'!J286</f>
        <v>58066018.840000004</v>
      </c>
      <c r="J72" s="79">
        <f>'дод 2'!K286</f>
        <v>45827909.700000003</v>
      </c>
      <c r="K72" s="79">
        <f>'дод 2'!L286</f>
        <v>1303283.8500000001</v>
      </c>
      <c r="L72" s="179">
        <f t="shared" si="3"/>
        <v>98.700536014482282</v>
      </c>
      <c r="M72" s="79">
        <f>'дод 2'!N286</f>
        <v>3692735</v>
      </c>
      <c r="N72" s="79">
        <f>'дод 2'!O286</f>
        <v>0</v>
      </c>
      <c r="O72" s="79">
        <f>'дод 2'!P286</f>
        <v>3690535</v>
      </c>
      <c r="P72" s="79">
        <f>'дод 2'!Q286</f>
        <v>3020273</v>
      </c>
      <c r="Q72" s="79">
        <f>'дод 2'!R286</f>
        <v>0</v>
      </c>
      <c r="R72" s="79">
        <f>'дод 2'!S286</f>
        <v>2200</v>
      </c>
      <c r="S72" s="79">
        <f>'дод 2'!T286</f>
        <v>3226313.7</v>
      </c>
      <c r="T72" s="79">
        <f>'дод 2'!U286</f>
        <v>0</v>
      </c>
      <c r="U72" s="79">
        <f>'дод 2'!V286</f>
        <v>3153697.7</v>
      </c>
      <c r="V72" s="79">
        <f>'дод 2'!W286</f>
        <v>2463124.44</v>
      </c>
      <c r="W72" s="79">
        <f>'дод 2'!X286</f>
        <v>0</v>
      </c>
      <c r="X72" s="79">
        <f>'дод 2'!Y286</f>
        <v>72616</v>
      </c>
      <c r="Y72" s="179">
        <f t="shared" si="4"/>
        <v>87.369218208184449</v>
      </c>
      <c r="Z72" s="79">
        <f t="shared" si="5"/>
        <v>61292332.540000007</v>
      </c>
      <c r="AA72" s="79">
        <f>'дод 2'!AB286</f>
        <v>62523235</v>
      </c>
      <c r="AB72" s="221"/>
      <c r="AC72" s="220"/>
    </row>
    <row r="73" spans="1:29" s="82" customFormat="1" ht="54.4" customHeight="1" x14ac:dyDescent="0.25">
      <c r="A73" s="23">
        <v>1091</v>
      </c>
      <c r="B73" s="22" t="s">
        <v>549</v>
      </c>
      <c r="C73" s="24" t="s">
        <v>698</v>
      </c>
      <c r="D73" s="79">
        <f>'дод 2'!E114</f>
        <v>160316700</v>
      </c>
      <c r="E73" s="79">
        <f>'дод 2'!F114</f>
        <v>160316700</v>
      </c>
      <c r="F73" s="79">
        <f>'дод 2'!G114</f>
        <v>85326494</v>
      </c>
      <c r="G73" s="79">
        <f>'дод 2'!H114</f>
        <v>20871665</v>
      </c>
      <c r="H73" s="79">
        <f>'дод 2'!I114</f>
        <v>0</v>
      </c>
      <c r="I73" s="79">
        <f>'дод 2'!J114</f>
        <v>158311954.31999999</v>
      </c>
      <c r="J73" s="79">
        <f>'дод 2'!K114</f>
        <v>85324111.159999996</v>
      </c>
      <c r="K73" s="79">
        <f>'дод 2'!L114</f>
        <v>19693227.789999999</v>
      </c>
      <c r="L73" s="179">
        <f t="shared" si="3"/>
        <v>98.749509140345324</v>
      </c>
      <c r="M73" s="79">
        <f>'дод 2'!N114</f>
        <v>51702725</v>
      </c>
      <c r="N73" s="79">
        <f>'дод 2'!O114</f>
        <v>37122000</v>
      </c>
      <c r="O73" s="79">
        <f>'дод 2'!P114</f>
        <v>14430725</v>
      </c>
      <c r="P73" s="79">
        <f>'дод 2'!Q114</f>
        <v>4542152</v>
      </c>
      <c r="Q73" s="79">
        <f>'дод 2'!R114</f>
        <v>5317700</v>
      </c>
      <c r="R73" s="79">
        <f>'дод 2'!S114</f>
        <v>37272000</v>
      </c>
      <c r="S73" s="79">
        <f>'дод 2'!T114</f>
        <v>41062827.049999997</v>
      </c>
      <c r="T73" s="79">
        <f>'дод 2'!U114</f>
        <v>1448026.33</v>
      </c>
      <c r="U73" s="79">
        <f>'дод 2'!V114</f>
        <v>32522954.579999998</v>
      </c>
      <c r="V73" s="79">
        <f>'дод 2'!W114</f>
        <v>5535555.7400000002</v>
      </c>
      <c r="W73" s="79">
        <f>'дод 2'!X114</f>
        <v>4848952.0599999996</v>
      </c>
      <c r="X73" s="79">
        <f>'дод 2'!Y114</f>
        <v>8539872.4700000007</v>
      </c>
      <c r="Y73" s="179">
        <f t="shared" si="4"/>
        <v>79.421011271649604</v>
      </c>
      <c r="Z73" s="79">
        <f t="shared" si="5"/>
        <v>199374781.37</v>
      </c>
      <c r="AA73" s="79">
        <f>'дод 2'!AB114</f>
        <v>212019425</v>
      </c>
      <c r="AB73" s="221"/>
      <c r="AC73" s="220"/>
    </row>
    <row r="74" spans="1:29" s="82" customFormat="1" ht="94.5" x14ac:dyDescent="0.25">
      <c r="A74" s="28"/>
      <c r="B74" s="27"/>
      <c r="C74" s="29" t="s">
        <v>618</v>
      </c>
      <c r="D74" s="80">
        <f>'дод 2'!E115</f>
        <v>0</v>
      </c>
      <c r="E74" s="80">
        <f>'дод 2'!F115</f>
        <v>0</v>
      </c>
      <c r="F74" s="80">
        <f>'дод 2'!G115</f>
        <v>0</v>
      </c>
      <c r="G74" s="80">
        <f>'дод 2'!H115</f>
        <v>0</v>
      </c>
      <c r="H74" s="80">
        <f>'дод 2'!I115</f>
        <v>0</v>
      </c>
      <c r="I74" s="80">
        <f>'дод 2'!J115</f>
        <v>0</v>
      </c>
      <c r="J74" s="80">
        <f>'дод 2'!K115</f>
        <v>0</v>
      </c>
      <c r="K74" s="80">
        <f>'дод 2'!L115</f>
        <v>0</v>
      </c>
      <c r="L74" s="180"/>
      <c r="M74" s="80">
        <f>'дод 2'!N115</f>
        <v>37122000</v>
      </c>
      <c r="N74" s="80">
        <f>'дод 2'!O115</f>
        <v>37122000</v>
      </c>
      <c r="O74" s="80">
        <f>'дод 2'!P115</f>
        <v>0</v>
      </c>
      <c r="P74" s="80">
        <f>'дод 2'!Q115</f>
        <v>0</v>
      </c>
      <c r="Q74" s="80">
        <f>'дод 2'!R115</f>
        <v>0</v>
      </c>
      <c r="R74" s="80">
        <f>'дод 2'!S115</f>
        <v>37122000</v>
      </c>
      <c r="S74" s="80">
        <f>'дод 2'!T115</f>
        <v>1448026.33</v>
      </c>
      <c r="T74" s="80">
        <f>'дод 2'!U115</f>
        <v>1448026.33</v>
      </c>
      <c r="U74" s="80">
        <f>'дод 2'!V115</f>
        <v>0</v>
      </c>
      <c r="V74" s="80">
        <f>'дод 2'!W115</f>
        <v>0</v>
      </c>
      <c r="W74" s="80">
        <f>'дод 2'!X115</f>
        <v>0</v>
      </c>
      <c r="X74" s="80">
        <f>'дод 2'!Y115</f>
        <v>1448026.33</v>
      </c>
      <c r="Y74" s="180">
        <f t="shared" si="4"/>
        <v>3.9007228328215078</v>
      </c>
      <c r="Z74" s="80">
        <f t="shared" si="5"/>
        <v>1448026.33</v>
      </c>
      <c r="AA74" s="80">
        <f>'дод 2'!AB115</f>
        <v>37122000</v>
      </c>
      <c r="AB74" s="221">
        <v>3</v>
      </c>
      <c r="AC74" s="220"/>
    </row>
    <row r="75" spans="1:29" s="82" customFormat="1" ht="45.75" customHeight="1" x14ac:dyDescent="0.25">
      <c r="A75" s="23">
        <v>1092</v>
      </c>
      <c r="B75" s="22" t="s">
        <v>549</v>
      </c>
      <c r="C75" s="24" t="s">
        <v>551</v>
      </c>
      <c r="D75" s="79">
        <f>'дод 2'!E116</f>
        <v>22978300</v>
      </c>
      <c r="E75" s="79">
        <f>'дод 2'!F116</f>
        <v>22978300</v>
      </c>
      <c r="F75" s="79">
        <f>'дод 2'!G116</f>
        <v>18834600</v>
      </c>
      <c r="G75" s="79">
        <f>'дод 2'!H116</f>
        <v>0</v>
      </c>
      <c r="H75" s="79">
        <f>'дод 2'!I116</f>
        <v>0</v>
      </c>
      <c r="I75" s="79">
        <f>'дод 2'!J116</f>
        <v>20776601.780000001</v>
      </c>
      <c r="J75" s="79">
        <f>'дод 2'!K116</f>
        <v>17099905.25</v>
      </c>
      <c r="K75" s="79">
        <f>'дод 2'!L116</f>
        <v>0</v>
      </c>
      <c r="L75" s="179">
        <f t="shared" si="3"/>
        <v>90.418358973466269</v>
      </c>
      <c r="M75" s="79">
        <f>'дод 2'!N116</f>
        <v>0</v>
      </c>
      <c r="N75" s="79">
        <f>'дод 2'!O116</f>
        <v>0</v>
      </c>
      <c r="O75" s="79">
        <f>'дод 2'!P116</f>
        <v>0</v>
      </c>
      <c r="P75" s="79">
        <f>'дод 2'!Q116</f>
        <v>0</v>
      </c>
      <c r="Q75" s="79">
        <f>'дод 2'!R116</f>
        <v>0</v>
      </c>
      <c r="R75" s="79">
        <f>'дод 2'!S116</f>
        <v>0</v>
      </c>
      <c r="S75" s="79">
        <f>'дод 2'!T116</f>
        <v>0</v>
      </c>
      <c r="T75" s="79">
        <f>'дод 2'!U116</f>
        <v>0</v>
      </c>
      <c r="U75" s="79">
        <f>'дод 2'!V116</f>
        <v>0</v>
      </c>
      <c r="V75" s="79">
        <f>'дод 2'!W116</f>
        <v>0</v>
      </c>
      <c r="W75" s="79">
        <f>'дод 2'!X116</f>
        <v>0</v>
      </c>
      <c r="X75" s="79">
        <f>'дод 2'!Y116</f>
        <v>0</v>
      </c>
      <c r="Y75" s="179"/>
      <c r="Z75" s="79">
        <f t="shared" si="5"/>
        <v>20776601.780000001</v>
      </c>
      <c r="AA75" s="79">
        <f>'дод 2'!AB116</f>
        <v>22978300</v>
      </c>
      <c r="AB75" s="221"/>
      <c r="AC75" s="220"/>
    </row>
    <row r="76" spans="1:29" s="82" customFormat="1" ht="31.5" customHeight="1" x14ac:dyDescent="0.25">
      <c r="A76" s="28"/>
      <c r="B76" s="27"/>
      <c r="C76" s="29" t="s">
        <v>375</v>
      </c>
      <c r="D76" s="80">
        <f>'дод 2'!E117</f>
        <v>22978300</v>
      </c>
      <c r="E76" s="80">
        <f>'дод 2'!F117</f>
        <v>22978300</v>
      </c>
      <c r="F76" s="80">
        <f>'дод 2'!G117</f>
        <v>18834600</v>
      </c>
      <c r="G76" s="80">
        <f>'дод 2'!H117</f>
        <v>0</v>
      </c>
      <c r="H76" s="80">
        <f>'дод 2'!I117</f>
        <v>0</v>
      </c>
      <c r="I76" s="80">
        <f>'дод 2'!J117</f>
        <v>20776601.780000001</v>
      </c>
      <c r="J76" s="80">
        <f>'дод 2'!K117</f>
        <v>17099905.25</v>
      </c>
      <c r="K76" s="80">
        <f>'дод 2'!L117</f>
        <v>0</v>
      </c>
      <c r="L76" s="180">
        <f t="shared" si="3"/>
        <v>90.418358973466269</v>
      </c>
      <c r="M76" s="80">
        <f>'дод 2'!N117</f>
        <v>0</v>
      </c>
      <c r="N76" s="80">
        <f>'дод 2'!O117</f>
        <v>0</v>
      </c>
      <c r="O76" s="80">
        <f>'дод 2'!P117</f>
        <v>0</v>
      </c>
      <c r="P76" s="80">
        <f>'дод 2'!Q117</f>
        <v>0</v>
      </c>
      <c r="Q76" s="80">
        <f>'дод 2'!R117</f>
        <v>0</v>
      </c>
      <c r="R76" s="80">
        <f>'дод 2'!S117</f>
        <v>0</v>
      </c>
      <c r="S76" s="80">
        <f>'дод 2'!T117</f>
        <v>0</v>
      </c>
      <c r="T76" s="80">
        <f>'дод 2'!U117</f>
        <v>0</v>
      </c>
      <c r="U76" s="80">
        <f>'дод 2'!V117</f>
        <v>0</v>
      </c>
      <c r="V76" s="80">
        <f>'дод 2'!W117</f>
        <v>0</v>
      </c>
      <c r="W76" s="80">
        <f>'дод 2'!X117</f>
        <v>0</v>
      </c>
      <c r="X76" s="80">
        <f>'дод 2'!Y117</f>
        <v>0</v>
      </c>
      <c r="Y76" s="180"/>
      <c r="Z76" s="80">
        <f t="shared" si="5"/>
        <v>20776601.780000001</v>
      </c>
      <c r="AA76" s="80">
        <f>'дод 2'!AB117</f>
        <v>22978300</v>
      </c>
      <c r="AB76" s="221"/>
      <c r="AC76" s="220"/>
    </row>
    <row r="77" spans="1:29" s="82" customFormat="1" ht="91.9" customHeight="1" x14ac:dyDescent="0.25">
      <c r="A77" s="23">
        <v>1094</v>
      </c>
      <c r="B77" s="22" t="s">
        <v>549</v>
      </c>
      <c r="C77" s="24" t="s">
        <v>687</v>
      </c>
      <c r="D77" s="79">
        <f>'дод 2'!E118</f>
        <v>0</v>
      </c>
      <c r="E77" s="79">
        <f>'дод 2'!F118</f>
        <v>0</v>
      </c>
      <c r="F77" s="79">
        <f>'дод 2'!G118</f>
        <v>0</v>
      </c>
      <c r="G77" s="79">
        <f>'дод 2'!H118</f>
        <v>0</v>
      </c>
      <c r="H77" s="79">
        <f>'дод 2'!I118</f>
        <v>0</v>
      </c>
      <c r="I77" s="79">
        <f>'дод 2'!J118</f>
        <v>0</v>
      </c>
      <c r="J77" s="79">
        <f>'дод 2'!K118</f>
        <v>0</v>
      </c>
      <c r="K77" s="79">
        <f>'дод 2'!L118</f>
        <v>0</v>
      </c>
      <c r="L77" s="179"/>
      <c r="M77" s="79">
        <f>'дод 2'!N118</f>
        <v>7819500</v>
      </c>
      <c r="N77" s="79">
        <f>'дод 2'!O118</f>
        <v>7819500</v>
      </c>
      <c r="O77" s="79">
        <f>'дод 2'!P118</f>
        <v>0</v>
      </c>
      <c r="P77" s="79">
        <f>'дод 2'!Q118</f>
        <v>0</v>
      </c>
      <c r="Q77" s="79">
        <f>'дод 2'!R118</f>
        <v>0</v>
      </c>
      <c r="R77" s="79">
        <f>'дод 2'!S118</f>
        <v>7819500</v>
      </c>
      <c r="S77" s="79">
        <f>'дод 2'!T118</f>
        <v>3514398.89</v>
      </c>
      <c r="T77" s="79">
        <f>'дод 2'!U118</f>
        <v>3514398.89</v>
      </c>
      <c r="U77" s="79">
        <f>'дод 2'!V118</f>
        <v>0</v>
      </c>
      <c r="V77" s="79">
        <f>'дод 2'!W118</f>
        <v>0</v>
      </c>
      <c r="W77" s="79">
        <f>'дод 2'!X118</f>
        <v>0</v>
      </c>
      <c r="X77" s="79">
        <f>'дод 2'!Y118</f>
        <v>3514398.89</v>
      </c>
      <c r="Y77" s="179">
        <f t="shared" si="4"/>
        <v>44.944035935801523</v>
      </c>
      <c r="Z77" s="79">
        <f t="shared" si="5"/>
        <v>3514398.89</v>
      </c>
      <c r="AA77" s="79">
        <f>'дод 2'!AB118</f>
        <v>7819500</v>
      </c>
      <c r="AB77" s="221"/>
      <c r="AC77" s="220"/>
    </row>
    <row r="78" spans="1:29" s="82" customFormat="1" ht="38.25" customHeight="1" x14ac:dyDescent="0.25">
      <c r="A78" s="28"/>
      <c r="B78" s="27"/>
      <c r="C78" s="29" t="s">
        <v>494</v>
      </c>
      <c r="D78" s="80">
        <f>'дод 2'!E119</f>
        <v>0</v>
      </c>
      <c r="E78" s="80">
        <f>'дод 2'!F119</f>
        <v>0</v>
      </c>
      <c r="F78" s="80">
        <f>'дод 2'!G119</f>
        <v>0</v>
      </c>
      <c r="G78" s="80">
        <f>'дод 2'!H119</f>
        <v>0</v>
      </c>
      <c r="H78" s="80">
        <f>'дод 2'!I119</f>
        <v>0</v>
      </c>
      <c r="I78" s="80">
        <f>'дод 2'!J119</f>
        <v>0</v>
      </c>
      <c r="J78" s="80">
        <f>'дод 2'!K119</f>
        <v>0</v>
      </c>
      <c r="K78" s="80">
        <f>'дод 2'!L119</f>
        <v>0</v>
      </c>
      <c r="L78" s="180"/>
      <c r="M78" s="80">
        <f>'дод 2'!N119</f>
        <v>7819500</v>
      </c>
      <c r="N78" s="80">
        <f>'дод 2'!O119</f>
        <v>7819500</v>
      </c>
      <c r="O78" s="80">
        <f>'дод 2'!P119</f>
        <v>0</v>
      </c>
      <c r="P78" s="80">
        <f>'дод 2'!Q119</f>
        <v>0</v>
      </c>
      <c r="Q78" s="80">
        <f>'дод 2'!R119</f>
        <v>0</v>
      </c>
      <c r="R78" s="80">
        <f>'дод 2'!S119</f>
        <v>7819500</v>
      </c>
      <c r="S78" s="80">
        <f>'дод 2'!T119</f>
        <v>3514398.89</v>
      </c>
      <c r="T78" s="80">
        <f>'дод 2'!U119</f>
        <v>3514398.89</v>
      </c>
      <c r="U78" s="80">
        <f>'дод 2'!V119</f>
        <v>0</v>
      </c>
      <c r="V78" s="80">
        <f>'дод 2'!W119</f>
        <v>0</v>
      </c>
      <c r="W78" s="80">
        <f>'дод 2'!X119</f>
        <v>0</v>
      </c>
      <c r="X78" s="80">
        <f>'дод 2'!Y119</f>
        <v>3514398.89</v>
      </c>
      <c r="Y78" s="180">
        <f t="shared" si="4"/>
        <v>44.944035935801523</v>
      </c>
      <c r="Z78" s="80">
        <f t="shared" si="5"/>
        <v>3514398.89</v>
      </c>
      <c r="AA78" s="80">
        <f>'дод 2'!AB119</f>
        <v>7819500</v>
      </c>
      <c r="AB78" s="221"/>
      <c r="AC78" s="220"/>
    </row>
    <row r="79" spans="1:29" s="82" customFormat="1" ht="24.75" customHeight="1" x14ac:dyDescent="0.25">
      <c r="A79" s="22" t="s">
        <v>446</v>
      </c>
      <c r="B79" s="22" t="s">
        <v>56</v>
      </c>
      <c r="C79" s="24" t="s">
        <v>472</v>
      </c>
      <c r="D79" s="79">
        <f>'дод 2'!E120</f>
        <v>13487200</v>
      </c>
      <c r="E79" s="79">
        <f>'дод 2'!F120</f>
        <v>13487200</v>
      </c>
      <c r="F79" s="79">
        <f>'дод 2'!G120</f>
        <v>9412000</v>
      </c>
      <c r="G79" s="79">
        <f>'дод 2'!H120</f>
        <v>1300700</v>
      </c>
      <c r="H79" s="79">
        <f>'дод 2'!I120</f>
        <v>0</v>
      </c>
      <c r="I79" s="79">
        <f>'дод 2'!J120</f>
        <v>12804309.689999999</v>
      </c>
      <c r="J79" s="79">
        <f>'дод 2'!K120</f>
        <v>9129288.7400000002</v>
      </c>
      <c r="K79" s="79">
        <f>'дод 2'!L120</f>
        <v>1028182.84</v>
      </c>
      <c r="L79" s="179">
        <f t="shared" si="3"/>
        <v>94.936752550566467</v>
      </c>
      <c r="M79" s="79">
        <f>'дод 2'!N120</f>
        <v>0</v>
      </c>
      <c r="N79" s="79">
        <f>'дод 2'!O120</f>
        <v>0</v>
      </c>
      <c r="O79" s="79">
        <f>'дод 2'!P120</f>
        <v>0</v>
      </c>
      <c r="P79" s="79">
        <f>'дод 2'!Q120</f>
        <v>0</v>
      </c>
      <c r="Q79" s="79">
        <f>'дод 2'!R120</f>
        <v>0</v>
      </c>
      <c r="R79" s="79">
        <f>'дод 2'!S120</f>
        <v>0</v>
      </c>
      <c r="S79" s="79">
        <f>'дод 2'!T120</f>
        <v>119813.15</v>
      </c>
      <c r="T79" s="79">
        <f>'дод 2'!U120</f>
        <v>0</v>
      </c>
      <c r="U79" s="79">
        <f>'дод 2'!V120</f>
        <v>119813.15</v>
      </c>
      <c r="V79" s="79">
        <f>'дод 2'!W120</f>
        <v>0</v>
      </c>
      <c r="W79" s="79">
        <f>'дод 2'!X120</f>
        <v>0</v>
      </c>
      <c r="X79" s="79">
        <f>'дод 2'!Y120</f>
        <v>0</v>
      </c>
      <c r="Y79" s="179"/>
      <c r="Z79" s="79">
        <f t="shared" si="5"/>
        <v>12924122.84</v>
      </c>
      <c r="AA79" s="79">
        <f>'дод 2'!AB120</f>
        <v>13487200</v>
      </c>
      <c r="AB79" s="221"/>
      <c r="AC79" s="220"/>
    </row>
    <row r="80" spans="1:29" ht="24" customHeight="1" x14ac:dyDescent="0.25">
      <c r="A80" s="22" t="s">
        <v>448</v>
      </c>
      <c r="B80" s="22" t="s">
        <v>56</v>
      </c>
      <c r="C80" s="24" t="s">
        <v>272</v>
      </c>
      <c r="D80" s="79">
        <f>'дод 2'!E121</f>
        <v>134000</v>
      </c>
      <c r="E80" s="79">
        <f>'дод 2'!F121</f>
        <v>134000</v>
      </c>
      <c r="F80" s="79">
        <f>'дод 2'!G121</f>
        <v>0</v>
      </c>
      <c r="G80" s="79">
        <f>'дод 2'!H121</f>
        <v>0</v>
      </c>
      <c r="H80" s="79">
        <f>'дод 2'!I121</f>
        <v>0</v>
      </c>
      <c r="I80" s="79">
        <f>'дод 2'!J121</f>
        <v>107450</v>
      </c>
      <c r="J80" s="79">
        <f>'дод 2'!K121</f>
        <v>0</v>
      </c>
      <c r="K80" s="79">
        <f>'дод 2'!L121</f>
        <v>0</v>
      </c>
      <c r="L80" s="179">
        <f t="shared" si="3"/>
        <v>80.186567164179095</v>
      </c>
      <c r="M80" s="79">
        <f>'дод 2'!N121</f>
        <v>0</v>
      </c>
      <c r="N80" s="79">
        <f>'дод 2'!O121</f>
        <v>0</v>
      </c>
      <c r="O80" s="79">
        <f>'дод 2'!P121</f>
        <v>0</v>
      </c>
      <c r="P80" s="79">
        <f>'дод 2'!Q121</f>
        <v>0</v>
      </c>
      <c r="Q80" s="79">
        <f>'дод 2'!R121</f>
        <v>0</v>
      </c>
      <c r="R80" s="79">
        <f>'дод 2'!S121</f>
        <v>0</v>
      </c>
      <c r="S80" s="79">
        <f>'дод 2'!T121</f>
        <v>0</v>
      </c>
      <c r="T80" s="79">
        <f>'дод 2'!U121</f>
        <v>0</v>
      </c>
      <c r="U80" s="79">
        <f>'дод 2'!V121</f>
        <v>0</v>
      </c>
      <c r="V80" s="79">
        <f>'дод 2'!W121</f>
        <v>0</v>
      </c>
      <c r="W80" s="79">
        <f>'дод 2'!X121</f>
        <v>0</v>
      </c>
      <c r="X80" s="79">
        <f>'дод 2'!Y121</f>
        <v>0</v>
      </c>
      <c r="Y80" s="179"/>
      <c r="Z80" s="79">
        <f t="shared" si="5"/>
        <v>107450</v>
      </c>
      <c r="AA80" s="79">
        <f>'дод 2'!AB121</f>
        <v>134000</v>
      </c>
      <c r="AB80" s="221"/>
      <c r="AC80" s="220"/>
    </row>
    <row r="81" spans="1:29" ht="31.5" x14ac:dyDescent="0.25">
      <c r="A81" s="22" t="s">
        <v>450</v>
      </c>
      <c r="B81" s="22" t="s">
        <v>56</v>
      </c>
      <c r="C81" s="24" t="s">
        <v>451</v>
      </c>
      <c r="D81" s="79">
        <f>'дод 2'!E122</f>
        <v>174700</v>
      </c>
      <c r="E81" s="79">
        <f>'дод 2'!F122</f>
        <v>174700</v>
      </c>
      <c r="F81" s="79">
        <f>'дод 2'!G122</f>
        <v>0</v>
      </c>
      <c r="G81" s="79">
        <f>'дод 2'!H122</f>
        <v>122400</v>
      </c>
      <c r="H81" s="79">
        <f>'дод 2'!I122</f>
        <v>0</v>
      </c>
      <c r="I81" s="79">
        <f>'дод 2'!J122</f>
        <v>157369.4</v>
      </c>
      <c r="J81" s="79">
        <f>'дод 2'!K122</f>
        <v>0</v>
      </c>
      <c r="K81" s="79">
        <f>'дод 2'!L122</f>
        <v>118004.91</v>
      </c>
      <c r="L81" s="179">
        <f t="shared" si="3"/>
        <v>90.07979393245563</v>
      </c>
      <c r="M81" s="79">
        <f>'дод 2'!N122</f>
        <v>0</v>
      </c>
      <c r="N81" s="79">
        <f>'дод 2'!O122</f>
        <v>0</v>
      </c>
      <c r="O81" s="79">
        <f>'дод 2'!P122</f>
        <v>0</v>
      </c>
      <c r="P81" s="79">
        <f>'дод 2'!Q122</f>
        <v>0</v>
      </c>
      <c r="Q81" s="79">
        <f>'дод 2'!R122</f>
        <v>0</v>
      </c>
      <c r="R81" s="79">
        <f>'дод 2'!S122</f>
        <v>0</v>
      </c>
      <c r="S81" s="79">
        <f>'дод 2'!T122</f>
        <v>22010.42</v>
      </c>
      <c r="T81" s="79">
        <f>'дод 2'!U122</f>
        <v>0</v>
      </c>
      <c r="U81" s="79">
        <f>'дод 2'!V122</f>
        <v>22010.42</v>
      </c>
      <c r="V81" s="79">
        <f>'дод 2'!W122</f>
        <v>0</v>
      </c>
      <c r="W81" s="79">
        <f>'дод 2'!X122</f>
        <v>0</v>
      </c>
      <c r="X81" s="79">
        <f>'дод 2'!Y122</f>
        <v>0</v>
      </c>
      <c r="Y81" s="179"/>
      <c r="Z81" s="79">
        <f t="shared" si="5"/>
        <v>179379.82</v>
      </c>
      <c r="AA81" s="79">
        <f>'дод 2'!AB122</f>
        <v>174700</v>
      </c>
      <c r="AB81" s="221"/>
      <c r="AC81" s="220"/>
    </row>
    <row r="82" spans="1:29" ht="45" customHeight="1" x14ac:dyDescent="0.25">
      <c r="A82" s="22" t="s">
        <v>453</v>
      </c>
      <c r="B82" s="22" t="s">
        <v>56</v>
      </c>
      <c r="C82" s="24" t="s">
        <v>473</v>
      </c>
      <c r="D82" s="79">
        <f>'дод 2'!E123</f>
        <v>2091775</v>
      </c>
      <c r="E82" s="79">
        <f>'дод 2'!F123</f>
        <v>2091775</v>
      </c>
      <c r="F82" s="79">
        <f>'дод 2'!G123</f>
        <v>1714570</v>
      </c>
      <c r="G82" s="79">
        <f>'дод 2'!H123</f>
        <v>0</v>
      </c>
      <c r="H82" s="79">
        <f>'дод 2'!I123</f>
        <v>0</v>
      </c>
      <c r="I82" s="79">
        <f>'дод 2'!J123</f>
        <v>2088354.77</v>
      </c>
      <c r="J82" s="79">
        <f>'дод 2'!K123</f>
        <v>1711153.81</v>
      </c>
      <c r="K82" s="79">
        <f>'дод 2'!L123</f>
        <v>0</v>
      </c>
      <c r="L82" s="179">
        <f t="shared" si="3"/>
        <v>99.836491496456361</v>
      </c>
      <c r="M82" s="79">
        <f>'дод 2'!N123</f>
        <v>0</v>
      </c>
      <c r="N82" s="79">
        <f>'дод 2'!O123</f>
        <v>0</v>
      </c>
      <c r="O82" s="79">
        <f>'дод 2'!P123</f>
        <v>0</v>
      </c>
      <c r="P82" s="79">
        <f>'дод 2'!Q123</f>
        <v>0</v>
      </c>
      <c r="Q82" s="79">
        <f>'дод 2'!R123</f>
        <v>0</v>
      </c>
      <c r="R82" s="79">
        <f>'дод 2'!S123</f>
        <v>0</v>
      </c>
      <c r="S82" s="79">
        <f>'дод 2'!T123</f>
        <v>0</v>
      </c>
      <c r="T82" s="79">
        <f>'дод 2'!U123</f>
        <v>0</v>
      </c>
      <c r="U82" s="79">
        <f>'дод 2'!V123</f>
        <v>0</v>
      </c>
      <c r="V82" s="79">
        <f>'дод 2'!W123</f>
        <v>0</v>
      </c>
      <c r="W82" s="79">
        <f>'дод 2'!X123</f>
        <v>0</v>
      </c>
      <c r="X82" s="79">
        <f>'дод 2'!Y123</f>
        <v>0</v>
      </c>
      <c r="Y82" s="179"/>
      <c r="Z82" s="79">
        <f t="shared" si="5"/>
        <v>2088354.77</v>
      </c>
      <c r="AA82" s="79">
        <f>'дод 2'!AB123</f>
        <v>2091775</v>
      </c>
      <c r="AB82" s="221"/>
      <c r="AC82" s="220"/>
    </row>
    <row r="83" spans="1:29" ht="39" customHeight="1" x14ac:dyDescent="0.25">
      <c r="A83" s="45"/>
      <c r="B83" s="45"/>
      <c r="C83" s="29" t="s">
        <v>370</v>
      </c>
      <c r="D83" s="80">
        <f>'дод 2'!E124</f>
        <v>2091775</v>
      </c>
      <c r="E83" s="80">
        <f>'дод 2'!F124</f>
        <v>2091775</v>
      </c>
      <c r="F83" s="80">
        <f>'дод 2'!G124</f>
        <v>1714570</v>
      </c>
      <c r="G83" s="80">
        <f>'дод 2'!H124</f>
        <v>0</v>
      </c>
      <c r="H83" s="80">
        <f>'дод 2'!I124</f>
        <v>0</v>
      </c>
      <c r="I83" s="80">
        <f>'дод 2'!J124</f>
        <v>2088354.77</v>
      </c>
      <c r="J83" s="80">
        <f>'дод 2'!K124</f>
        <v>1711153.81</v>
      </c>
      <c r="K83" s="80">
        <f>'дод 2'!L124</f>
        <v>0</v>
      </c>
      <c r="L83" s="180">
        <f t="shared" si="3"/>
        <v>99.836491496456361</v>
      </c>
      <c r="M83" s="80">
        <f>'дод 2'!N124</f>
        <v>0</v>
      </c>
      <c r="N83" s="80">
        <f>'дод 2'!O124</f>
        <v>0</v>
      </c>
      <c r="O83" s="80">
        <f>'дод 2'!P124</f>
        <v>0</v>
      </c>
      <c r="P83" s="80">
        <f>'дод 2'!Q124</f>
        <v>0</v>
      </c>
      <c r="Q83" s="80">
        <f>'дод 2'!R124</f>
        <v>0</v>
      </c>
      <c r="R83" s="80">
        <f>'дод 2'!S124</f>
        <v>0</v>
      </c>
      <c r="S83" s="80">
        <f>'дод 2'!T124</f>
        <v>0</v>
      </c>
      <c r="T83" s="80">
        <f>'дод 2'!U124</f>
        <v>0</v>
      </c>
      <c r="U83" s="80">
        <f>'дод 2'!V124</f>
        <v>0</v>
      </c>
      <c r="V83" s="80">
        <f>'дод 2'!W124</f>
        <v>0</v>
      </c>
      <c r="W83" s="80">
        <f>'дод 2'!X124</f>
        <v>0</v>
      </c>
      <c r="X83" s="80">
        <f>'дод 2'!Y124</f>
        <v>0</v>
      </c>
      <c r="Y83" s="180"/>
      <c r="Z83" s="80">
        <f t="shared" si="5"/>
        <v>2088354.77</v>
      </c>
      <c r="AA83" s="80">
        <f>'дод 2'!AB124</f>
        <v>2091775</v>
      </c>
      <c r="AB83" s="221"/>
      <c r="AC83" s="220"/>
    </row>
    <row r="84" spans="1:29" s="82" customFormat="1" ht="31.5" x14ac:dyDescent="0.25">
      <c r="A84" s="22" t="s">
        <v>455</v>
      </c>
      <c r="B84" s="22" t="str">
        <f>'дод 5'!A21</f>
        <v>0160</v>
      </c>
      <c r="C84" s="24" t="s">
        <v>456</v>
      </c>
      <c r="D84" s="79">
        <f>'дод 2'!E125</f>
        <v>3521300</v>
      </c>
      <c r="E84" s="79">
        <f>'дод 2'!F125</f>
        <v>3521300</v>
      </c>
      <c r="F84" s="79">
        <f>'дод 2'!G125</f>
        <v>2525000</v>
      </c>
      <c r="G84" s="79">
        <f>'дод 2'!H125</f>
        <v>303800</v>
      </c>
      <c r="H84" s="79">
        <f>'дод 2'!I125</f>
        <v>0</v>
      </c>
      <c r="I84" s="79">
        <f>'дод 2'!J125</f>
        <v>3255418.82</v>
      </c>
      <c r="J84" s="79">
        <f>'дод 2'!K125</f>
        <v>2386335.2400000002</v>
      </c>
      <c r="K84" s="79">
        <f>'дод 2'!L125</f>
        <v>268879.89</v>
      </c>
      <c r="L84" s="179">
        <f t="shared" ref="L84:L147" si="39">I84/D84*100</f>
        <v>92.449345980177768</v>
      </c>
      <c r="M84" s="79">
        <f>'дод 2'!N125</f>
        <v>0</v>
      </c>
      <c r="N84" s="79">
        <f>'дод 2'!O125</f>
        <v>0</v>
      </c>
      <c r="O84" s="79">
        <f>'дод 2'!P125</f>
        <v>0</v>
      </c>
      <c r="P84" s="79">
        <f>'дод 2'!Q125</f>
        <v>0</v>
      </c>
      <c r="Q84" s="79">
        <f>'дод 2'!R125</f>
        <v>0</v>
      </c>
      <c r="R84" s="79">
        <f>'дод 2'!S125</f>
        <v>0</v>
      </c>
      <c r="S84" s="79">
        <f>'дод 2'!T125</f>
        <v>47161.78</v>
      </c>
      <c r="T84" s="79">
        <f>'дод 2'!U125</f>
        <v>0</v>
      </c>
      <c r="U84" s="79">
        <f>'дод 2'!V125</f>
        <v>47161.78</v>
      </c>
      <c r="V84" s="79">
        <f>'дод 2'!W125</f>
        <v>0</v>
      </c>
      <c r="W84" s="79">
        <f>'дод 2'!X125</f>
        <v>0</v>
      </c>
      <c r="X84" s="79">
        <f>'дод 2'!Y125</f>
        <v>0</v>
      </c>
      <c r="Y84" s="179"/>
      <c r="Z84" s="79">
        <f t="shared" ref="Z84:Z147" si="40">S84+I84</f>
        <v>3302580.5999999996</v>
      </c>
      <c r="AA84" s="79">
        <f>'дод 2'!AB125</f>
        <v>3521300</v>
      </c>
      <c r="AB84" s="221"/>
      <c r="AC84" s="220"/>
    </row>
    <row r="85" spans="1:29" s="82" customFormat="1" ht="66" hidden="1" customHeight="1" x14ac:dyDescent="0.25">
      <c r="A85" s="22" t="s">
        <v>511</v>
      </c>
      <c r="B85" s="22" t="s">
        <v>56</v>
      </c>
      <c r="C85" s="24" t="s">
        <v>514</v>
      </c>
      <c r="D85" s="79">
        <f>'дод 2'!E126</f>
        <v>0</v>
      </c>
      <c r="E85" s="79">
        <f>'дод 2'!F126</f>
        <v>0</v>
      </c>
      <c r="F85" s="79">
        <f>'дод 2'!G126</f>
        <v>0</v>
      </c>
      <c r="G85" s="79">
        <f>'дод 2'!H126</f>
        <v>0</v>
      </c>
      <c r="H85" s="79">
        <f>'дод 2'!I126</f>
        <v>0</v>
      </c>
      <c r="I85" s="79">
        <f>'дод 2'!J126</f>
        <v>0</v>
      </c>
      <c r="J85" s="79">
        <f>'дод 2'!K126</f>
        <v>0</v>
      </c>
      <c r="K85" s="79">
        <f>'дод 2'!L126</f>
        <v>0</v>
      </c>
      <c r="L85" s="179" t="e">
        <f t="shared" si="39"/>
        <v>#DIV/0!</v>
      </c>
      <c r="M85" s="79">
        <f>'дод 2'!N126</f>
        <v>0</v>
      </c>
      <c r="N85" s="79">
        <f>'дод 2'!O126</f>
        <v>0</v>
      </c>
      <c r="O85" s="79">
        <f>'дод 2'!P126</f>
        <v>0</v>
      </c>
      <c r="P85" s="79">
        <f>'дод 2'!Q126</f>
        <v>0</v>
      </c>
      <c r="Q85" s="79">
        <f>'дод 2'!R126</f>
        <v>0</v>
      </c>
      <c r="R85" s="79">
        <f>'дод 2'!S126</f>
        <v>0</v>
      </c>
      <c r="S85" s="79">
        <f>'дод 2'!T126</f>
        <v>0</v>
      </c>
      <c r="T85" s="79">
        <f>'дод 2'!U126</f>
        <v>0</v>
      </c>
      <c r="U85" s="79">
        <f>'дод 2'!V126</f>
        <v>0</v>
      </c>
      <c r="V85" s="79">
        <f>'дод 2'!W126</f>
        <v>0</v>
      </c>
      <c r="W85" s="79">
        <f>'дод 2'!X126</f>
        <v>0</v>
      </c>
      <c r="X85" s="79">
        <f>'дод 2'!Y126</f>
        <v>0</v>
      </c>
      <c r="Y85" s="179" t="e">
        <f t="shared" ref="Y85:Y144" si="41">S85/M85*100</f>
        <v>#DIV/0!</v>
      </c>
      <c r="Z85" s="79">
        <f t="shared" si="40"/>
        <v>0</v>
      </c>
      <c r="AA85" s="79">
        <f>'дод 2'!AB126</f>
        <v>0</v>
      </c>
      <c r="AB85" s="221"/>
      <c r="AC85" s="220"/>
    </row>
    <row r="86" spans="1:29" s="82" customFormat="1" ht="65.25" hidden="1" customHeight="1" x14ac:dyDescent="0.25">
      <c r="A86" s="22" t="s">
        <v>503</v>
      </c>
      <c r="B86" s="22" t="s">
        <v>56</v>
      </c>
      <c r="C86" s="24" t="s">
        <v>529</v>
      </c>
      <c r="D86" s="25">
        <f>'дод 2'!E127</f>
        <v>0</v>
      </c>
      <c r="E86" s="25">
        <f>'дод 2'!F127</f>
        <v>0</v>
      </c>
      <c r="F86" s="25">
        <f>'дод 2'!G127</f>
        <v>0</v>
      </c>
      <c r="G86" s="25">
        <f>'дод 2'!H127</f>
        <v>0</v>
      </c>
      <c r="H86" s="25">
        <f>'дод 2'!I127</f>
        <v>0</v>
      </c>
      <c r="I86" s="25">
        <f>'дод 2'!J127</f>
        <v>0</v>
      </c>
      <c r="J86" s="25">
        <f>'дод 2'!K127</f>
        <v>0</v>
      </c>
      <c r="K86" s="25">
        <f>'дод 2'!L127</f>
        <v>0</v>
      </c>
      <c r="L86" s="181" t="e">
        <f t="shared" si="39"/>
        <v>#DIV/0!</v>
      </c>
      <c r="M86" s="25">
        <f>'дод 2'!N127</f>
        <v>0</v>
      </c>
      <c r="N86" s="25">
        <f>'дод 2'!O127</f>
        <v>0</v>
      </c>
      <c r="O86" s="25">
        <f>'дод 2'!P127</f>
        <v>0</v>
      </c>
      <c r="P86" s="25">
        <f>'дод 2'!Q127</f>
        <v>0</v>
      </c>
      <c r="Q86" s="25">
        <f>'дод 2'!R127</f>
        <v>0</v>
      </c>
      <c r="R86" s="25">
        <f>'дод 2'!S127</f>
        <v>0</v>
      </c>
      <c r="S86" s="25">
        <f>'дод 2'!T127</f>
        <v>0</v>
      </c>
      <c r="T86" s="25">
        <f>'дод 2'!U127</f>
        <v>0</v>
      </c>
      <c r="U86" s="25">
        <f>'дод 2'!V127</f>
        <v>0</v>
      </c>
      <c r="V86" s="25">
        <f>'дод 2'!W127</f>
        <v>0</v>
      </c>
      <c r="W86" s="25">
        <f>'дод 2'!X127</f>
        <v>0</v>
      </c>
      <c r="X86" s="25">
        <f>'дод 2'!Y127</f>
        <v>0</v>
      </c>
      <c r="Y86" s="181" t="e">
        <f t="shared" si="41"/>
        <v>#DIV/0!</v>
      </c>
      <c r="Z86" s="25">
        <f t="shared" si="40"/>
        <v>0</v>
      </c>
      <c r="AA86" s="25">
        <f>'дод 2'!AB127</f>
        <v>0</v>
      </c>
      <c r="AB86" s="221"/>
      <c r="AC86" s="220"/>
    </row>
    <row r="87" spans="1:29" s="82" customFormat="1" ht="47.25" hidden="1" customHeight="1" x14ac:dyDescent="0.25">
      <c r="A87" s="27"/>
      <c r="B87" s="27"/>
      <c r="C87" s="29" t="s">
        <v>524</v>
      </c>
      <c r="D87" s="30">
        <f>'дод 2'!E128</f>
        <v>0</v>
      </c>
      <c r="E87" s="30">
        <f>'дод 2'!F128</f>
        <v>0</v>
      </c>
      <c r="F87" s="30">
        <f>'дод 2'!G128</f>
        <v>0</v>
      </c>
      <c r="G87" s="30">
        <f>'дод 2'!H128</f>
        <v>0</v>
      </c>
      <c r="H87" s="30">
        <f>'дод 2'!I128</f>
        <v>0</v>
      </c>
      <c r="I87" s="30">
        <f>'дод 2'!J128</f>
        <v>0</v>
      </c>
      <c r="J87" s="30">
        <f>'дод 2'!K128</f>
        <v>0</v>
      </c>
      <c r="K87" s="30">
        <f>'дод 2'!L128</f>
        <v>0</v>
      </c>
      <c r="L87" s="182" t="e">
        <f t="shared" si="39"/>
        <v>#DIV/0!</v>
      </c>
      <c r="M87" s="30">
        <f>'дод 2'!N128</f>
        <v>0</v>
      </c>
      <c r="N87" s="30">
        <f>'дод 2'!O128</f>
        <v>0</v>
      </c>
      <c r="O87" s="30">
        <f>'дод 2'!P128</f>
        <v>0</v>
      </c>
      <c r="P87" s="30">
        <f>'дод 2'!Q128</f>
        <v>0</v>
      </c>
      <c r="Q87" s="30">
        <f>'дод 2'!R128</f>
        <v>0</v>
      </c>
      <c r="R87" s="30">
        <f>'дод 2'!S128</f>
        <v>0</v>
      </c>
      <c r="S87" s="30">
        <f>'дод 2'!T128</f>
        <v>0</v>
      </c>
      <c r="T87" s="30">
        <f>'дод 2'!U128</f>
        <v>0</v>
      </c>
      <c r="U87" s="30">
        <f>'дод 2'!V128</f>
        <v>0</v>
      </c>
      <c r="V87" s="30">
        <f>'дод 2'!W128</f>
        <v>0</v>
      </c>
      <c r="W87" s="30">
        <f>'дод 2'!X128</f>
        <v>0</v>
      </c>
      <c r="X87" s="30">
        <f>'дод 2'!Y128</f>
        <v>0</v>
      </c>
      <c r="Y87" s="182" t="e">
        <f t="shared" si="41"/>
        <v>#DIV/0!</v>
      </c>
      <c r="Z87" s="30">
        <f t="shared" si="40"/>
        <v>0</v>
      </c>
      <c r="AA87" s="30">
        <f>'дод 2'!AB128</f>
        <v>0</v>
      </c>
      <c r="AB87" s="221"/>
      <c r="AC87" s="220"/>
    </row>
    <row r="88" spans="1:29" s="82" customFormat="1" ht="63" customHeight="1" x14ac:dyDescent="0.25">
      <c r="A88" s="22" t="s">
        <v>513</v>
      </c>
      <c r="B88" s="22" t="s">
        <v>56</v>
      </c>
      <c r="C88" s="24" t="s">
        <v>541</v>
      </c>
      <c r="D88" s="25">
        <f>'дод 2'!E129</f>
        <v>247457</v>
      </c>
      <c r="E88" s="25">
        <f>'дод 2'!F129</f>
        <v>247457</v>
      </c>
      <c r="F88" s="25">
        <f>'дод 2'!G129</f>
        <v>0</v>
      </c>
      <c r="G88" s="25">
        <f>'дод 2'!H129</f>
        <v>0</v>
      </c>
      <c r="H88" s="25">
        <f>'дод 2'!I129</f>
        <v>0</v>
      </c>
      <c r="I88" s="25">
        <f>'дод 2'!J129</f>
        <v>239922.3</v>
      </c>
      <c r="J88" s="25">
        <f>'дод 2'!K129</f>
        <v>0</v>
      </c>
      <c r="K88" s="25">
        <f>'дод 2'!L129</f>
        <v>0</v>
      </c>
      <c r="L88" s="181">
        <f t="shared" si="39"/>
        <v>96.955147763045701</v>
      </c>
      <c r="M88" s="25">
        <f>'дод 2'!N129</f>
        <v>4353105</v>
      </c>
      <c r="N88" s="25">
        <f>'дод 2'!O129</f>
        <v>4353105</v>
      </c>
      <c r="O88" s="25">
        <f>'дод 2'!P129</f>
        <v>0</v>
      </c>
      <c r="P88" s="25">
        <f>'дод 2'!Q129</f>
        <v>0</v>
      </c>
      <c r="Q88" s="25">
        <f>'дод 2'!R129</f>
        <v>0</v>
      </c>
      <c r="R88" s="25">
        <f>'дод 2'!S129</f>
        <v>4353105</v>
      </c>
      <c r="S88" s="25">
        <f>'дод 2'!T129</f>
        <v>3991736.23</v>
      </c>
      <c r="T88" s="25">
        <f>'дод 2'!U129</f>
        <v>3991736.23</v>
      </c>
      <c r="U88" s="25">
        <f>'дод 2'!V129</f>
        <v>0</v>
      </c>
      <c r="V88" s="25">
        <f>'дод 2'!W129</f>
        <v>0</v>
      </c>
      <c r="W88" s="25">
        <f>'дод 2'!X129</f>
        <v>0</v>
      </c>
      <c r="X88" s="25">
        <f>'дод 2'!Y129</f>
        <v>3991736.23</v>
      </c>
      <c r="Y88" s="181">
        <f t="shared" si="41"/>
        <v>91.698597437920753</v>
      </c>
      <c r="Z88" s="25">
        <f t="shared" si="40"/>
        <v>4231658.53</v>
      </c>
      <c r="AA88" s="25">
        <f>'дод 2'!AB129</f>
        <v>4600562</v>
      </c>
      <c r="AB88" s="221"/>
      <c r="AC88" s="220"/>
    </row>
    <row r="89" spans="1:29" s="82" customFormat="1" ht="15.75" hidden="1" customHeight="1" x14ac:dyDescent="0.25">
      <c r="A89" s="27"/>
      <c r="B89" s="27"/>
      <c r="C89" s="29" t="s">
        <v>380</v>
      </c>
      <c r="D89" s="30">
        <f>'дод 2'!E130</f>
        <v>0</v>
      </c>
      <c r="E89" s="30">
        <f>'дод 2'!F130</f>
        <v>0</v>
      </c>
      <c r="F89" s="30">
        <f>'дод 2'!G130</f>
        <v>0</v>
      </c>
      <c r="G89" s="30">
        <f>'дод 2'!H130</f>
        <v>0</v>
      </c>
      <c r="H89" s="30">
        <f>'дод 2'!I130</f>
        <v>0</v>
      </c>
      <c r="I89" s="30">
        <f>'дод 2'!J130</f>
        <v>0</v>
      </c>
      <c r="J89" s="30">
        <f>'дод 2'!K130</f>
        <v>0</v>
      </c>
      <c r="K89" s="30">
        <f>'дод 2'!L130</f>
        <v>0</v>
      </c>
      <c r="L89" s="182" t="e">
        <f t="shared" si="39"/>
        <v>#DIV/0!</v>
      </c>
      <c r="M89" s="30">
        <f>'дод 2'!N130</f>
        <v>0</v>
      </c>
      <c r="N89" s="30">
        <f>'дод 2'!O130</f>
        <v>0</v>
      </c>
      <c r="O89" s="30">
        <f>'дод 2'!P130</f>
        <v>0</v>
      </c>
      <c r="P89" s="30">
        <f>'дод 2'!Q130</f>
        <v>0</v>
      </c>
      <c r="Q89" s="30">
        <f>'дод 2'!R130</f>
        <v>0</v>
      </c>
      <c r="R89" s="30">
        <f>'дод 2'!S130</f>
        <v>0</v>
      </c>
      <c r="S89" s="30">
        <f>'дод 2'!T130</f>
        <v>0</v>
      </c>
      <c r="T89" s="30">
        <f>'дод 2'!U130</f>
        <v>0</v>
      </c>
      <c r="U89" s="30">
        <f>'дод 2'!V130</f>
        <v>0</v>
      </c>
      <c r="V89" s="30">
        <f>'дод 2'!W130</f>
        <v>0</v>
      </c>
      <c r="W89" s="30">
        <f>'дод 2'!X130</f>
        <v>0</v>
      </c>
      <c r="X89" s="30">
        <f>'дод 2'!Y130</f>
        <v>0</v>
      </c>
      <c r="Y89" s="182" t="e">
        <f t="shared" si="41"/>
        <v>#DIV/0!</v>
      </c>
      <c r="Z89" s="30">
        <f t="shared" si="40"/>
        <v>0</v>
      </c>
      <c r="AA89" s="30">
        <f>'дод 2'!AB130</f>
        <v>0</v>
      </c>
      <c r="AB89" s="221"/>
      <c r="AC89" s="220"/>
    </row>
    <row r="90" spans="1:29" s="82" customFormat="1" ht="78.75" customHeight="1" x14ac:dyDescent="0.25">
      <c r="A90" s="22" t="s">
        <v>504</v>
      </c>
      <c r="B90" s="22" t="s">
        <v>56</v>
      </c>
      <c r="C90" s="24" t="s">
        <v>525</v>
      </c>
      <c r="D90" s="79">
        <f>'дод 2'!E131</f>
        <v>577400</v>
      </c>
      <c r="E90" s="79">
        <f>'дод 2'!F131</f>
        <v>577400</v>
      </c>
      <c r="F90" s="79">
        <f>'дод 2'!G131</f>
        <v>0</v>
      </c>
      <c r="G90" s="79">
        <f>'дод 2'!H131</f>
        <v>0</v>
      </c>
      <c r="H90" s="79">
        <f>'дод 2'!I131</f>
        <v>0</v>
      </c>
      <c r="I90" s="79">
        <f>'дод 2'!J131</f>
        <v>559818.69999999995</v>
      </c>
      <c r="J90" s="79">
        <f>'дод 2'!K131</f>
        <v>0</v>
      </c>
      <c r="K90" s="79">
        <f>'дод 2'!L131</f>
        <v>0</v>
      </c>
      <c r="L90" s="179">
        <f t="shared" si="39"/>
        <v>96.95509179078627</v>
      </c>
      <c r="M90" s="79">
        <f>'дод 2'!N131</f>
        <v>10157256</v>
      </c>
      <c r="N90" s="79">
        <f>'дод 2'!O131</f>
        <v>10157256</v>
      </c>
      <c r="O90" s="79">
        <f>'дод 2'!P131</f>
        <v>0</v>
      </c>
      <c r="P90" s="79">
        <f>'дод 2'!Q131</f>
        <v>0</v>
      </c>
      <c r="Q90" s="79">
        <f>'дод 2'!R131</f>
        <v>0</v>
      </c>
      <c r="R90" s="79">
        <f>'дод 2'!S131</f>
        <v>10157256</v>
      </c>
      <c r="S90" s="79">
        <f>'дод 2'!T131</f>
        <v>9472070.1999999993</v>
      </c>
      <c r="T90" s="79">
        <f>'дод 2'!U131</f>
        <v>9472070.1999999993</v>
      </c>
      <c r="U90" s="79">
        <f>'дод 2'!V131</f>
        <v>0</v>
      </c>
      <c r="V90" s="79">
        <f>'дод 2'!W131</f>
        <v>0</v>
      </c>
      <c r="W90" s="79">
        <f>'дод 2'!X131</f>
        <v>0</v>
      </c>
      <c r="X90" s="79">
        <f>'дод 2'!Y131</f>
        <v>9472070.1999999993</v>
      </c>
      <c r="Y90" s="179">
        <f t="shared" si="41"/>
        <v>93.254223384740911</v>
      </c>
      <c r="Z90" s="79">
        <f t="shared" si="40"/>
        <v>10031888.899999999</v>
      </c>
      <c r="AA90" s="79">
        <f>'дод 2'!AB131</f>
        <v>10734656</v>
      </c>
      <c r="AB90" s="221"/>
      <c r="AC90" s="220"/>
    </row>
    <row r="91" spans="1:29" s="82" customFormat="1" ht="62.25" customHeight="1" x14ac:dyDescent="0.25">
      <c r="A91" s="27"/>
      <c r="B91" s="27"/>
      <c r="C91" s="29" t="s">
        <v>505</v>
      </c>
      <c r="D91" s="80">
        <f>'дод 2'!E132</f>
        <v>577400</v>
      </c>
      <c r="E91" s="80">
        <f>'дод 2'!F132</f>
        <v>577400</v>
      </c>
      <c r="F91" s="80">
        <f>'дод 2'!G132</f>
        <v>0</v>
      </c>
      <c r="G91" s="80">
        <f>'дод 2'!H132</f>
        <v>0</v>
      </c>
      <c r="H91" s="80">
        <f>'дод 2'!I132</f>
        <v>0</v>
      </c>
      <c r="I91" s="80">
        <f>'дод 2'!J132</f>
        <v>559818.69999999995</v>
      </c>
      <c r="J91" s="80">
        <f>'дод 2'!K132</f>
        <v>0</v>
      </c>
      <c r="K91" s="80">
        <f>'дод 2'!L132</f>
        <v>0</v>
      </c>
      <c r="L91" s="180">
        <f t="shared" si="39"/>
        <v>96.95509179078627</v>
      </c>
      <c r="M91" s="80">
        <f>'дод 2'!N132</f>
        <v>10157256</v>
      </c>
      <c r="N91" s="80">
        <f>'дод 2'!O132</f>
        <v>10157256</v>
      </c>
      <c r="O91" s="80">
        <f>'дод 2'!P132</f>
        <v>0</v>
      </c>
      <c r="P91" s="80">
        <f>'дод 2'!Q132</f>
        <v>0</v>
      </c>
      <c r="Q91" s="80">
        <f>'дод 2'!R132</f>
        <v>0</v>
      </c>
      <c r="R91" s="80">
        <f>'дод 2'!S132</f>
        <v>10157256</v>
      </c>
      <c r="S91" s="80">
        <f>'дод 2'!T132</f>
        <v>9472070.1999999993</v>
      </c>
      <c r="T91" s="80">
        <f>'дод 2'!U132</f>
        <v>9472070.1999999993</v>
      </c>
      <c r="U91" s="80">
        <f>'дод 2'!V132</f>
        <v>0</v>
      </c>
      <c r="V91" s="80">
        <f>'дод 2'!W132</f>
        <v>0</v>
      </c>
      <c r="W91" s="80">
        <f>'дод 2'!X132</f>
        <v>0</v>
      </c>
      <c r="X91" s="80">
        <f>'дод 2'!Y132</f>
        <v>9472070.1999999993</v>
      </c>
      <c r="Y91" s="180">
        <f t="shared" si="41"/>
        <v>93.254223384740911</v>
      </c>
      <c r="Z91" s="80">
        <f t="shared" si="40"/>
        <v>10031888.899999999</v>
      </c>
      <c r="AA91" s="80">
        <f>'дод 2'!AB132</f>
        <v>10734656</v>
      </c>
      <c r="AB91" s="221"/>
      <c r="AC91" s="220"/>
    </row>
    <row r="92" spans="1:29" s="82" customFormat="1" ht="63" customHeight="1" x14ac:dyDescent="0.25">
      <c r="A92" s="22" t="s">
        <v>458</v>
      </c>
      <c r="B92" s="22" t="s">
        <v>56</v>
      </c>
      <c r="C92" s="42" t="s">
        <v>474</v>
      </c>
      <c r="D92" s="79">
        <f>'дод 2'!E133</f>
        <v>2233488.84</v>
      </c>
      <c r="E92" s="79">
        <f>'дод 2'!F133</f>
        <v>2233488.84</v>
      </c>
      <c r="F92" s="79">
        <f>'дод 2'!G133</f>
        <v>1830728</v>
      </c>
      <c r="G92" s="79">
        <f>'дод 2'!H133</f>
        <v>0</v>
      </c>
      <c r="H92" s="79">
        <f>'дод 2'!I133</f>
        <v>0</v>
      </c>
      <c r="I92" s="79">
        <f>'дод 2'!J133</f>
        <v>2233206.7999999998</v>
      </c>
      <c r="J92" s="79">
        <f>'дод 2'!K133</f>
        <v>1830497.34</v>
      </c>
      <c r="K92" s="79">
        <f>'дод 2'!L133</f>
        <v>0</v>
      </c>
      <c r="L92" s="179">
        <f t="shared" si="39"/>
        <v>99.987372222553844</v>
      </c>
      <c r="M92" s="79">
        <f>'дод 2'!N133</f>
        <v>0</v>
      </c>
      <c r="N92" s="79">
        <f>'дод 2'!O133</f>
        <v>0</v>
      </c>
      <c r="O92" s="79">
        <f>'дод 2'!P133</f>
        <v>0</v>
      </c>
      <c r="P92" s="79">
        <f>'дод 2'!Q133</f>
        <v>0</v>
      </c>
      <c r="Q92" s="79">
        <f>'дод 2'!R133</f>
        <v>0</v>
      </c>
      <c r="R92" s="79">
        <f>'дод 2'!S133</f>
        <v>0</v>
      </c>
      <c r="S92" s="79">
        <f>'дод 2'!T133</f>
        <v>0</v>
      </c>
      <c r="T92" s="79">
        <f>'дод 2'!U133</f>
        <v>0</v>
      </c>
      <c r="U92" s="79">
        <f>'дод 2'!V133</f>
        <v>0</v>
      </c>
      <c r="V92" s="79">
        <f>'дод 2'!W133</f>
        <v>0</v>
      </c>
      <c r="W92" s="79">
        <f>'дод 2'!X133</f>
        <v>0</v>
      </c>
      <c r="X92" s="79">
        <f>'дод 2'!Y133</f>
        <v>0</v>
      </c>
      <c r="Y92" s="179"/>
      <c r="Z92" s="79">
        <f t="shared" si="40"/>
        <v>2233206.7999999998</v>
      </c>
      <c r="AA92" s="79">
        <f>'дод 2'!AB133</f>
        <v>2233488.84</v>
      </c>
      <c r="AB92" s="221"/>
      <c r="AC92" s="220"/>
    </row>
    <row r="93" spans="1:29" s="82" customFormat="1" ht="65.25" customHeight="1" x14ac:dyDescent="0.25">
      <c r="A93" s="22"/>
      <c r="B93" s="22"/>
      <c r="C93" s="29" t="s">
        <v>668</v>
      </c>
      <c r="D93" s="80">
        <f>'дод 2'!E134</f>
        <v>2233488.84</v>
      </c>
      <c r="E93" s="80">
        <f>'дод 2'!F134</f>
        <v>2233488.84</v>
      </c>
      <c r="F93" s="80">
        <f>'дод 2'!G134</f>
        <v>1830728</v>
      </c>
      <c r="G93" s="80">
        <f>'дод 2'!H134</f>
        <v>0</v>
      </c>
      <c r="H93" s="80">
        <f>'дод 2'!I134</f>
        <v>0</v>
      </c>
      <c r="I93" s="80">
        <f>'дод 2'!J134</f>
        <v>2233206.7999999998</v>
      </c>
      <c r="J93" s="80">
        <f>'дод 2'!K134</f>
        <v>1830497.34</v>
      </c>
      <c r="K93" s="80">
        <f>'дод 2'!L134</f>
        <v>0</v>
      </c>
      <c r="L93" s="180">
        <f t="shared" si="39"/>
        <v>99.987372222553844</v>
      </c>
      <c r="M93" s="80">
        <f>'дод 2'!N134</f>
        <v>0</v>
      </c>
      <c r="N93" s="80">
        <f>'дод 2'!O134</f>
        <v>0</v>
      </c>
      <c r="O93" s="80">
        <f>'дод 2'!P134</f>
        <v>0</v>
      </c>
      <c r="P93" s="80">
        <f>'дод 2'!Q134</f>
        <v>0</v>
      </c>
      <c r="Q93" s="80">
        <f>'дод 2'!R134</f>
        <v>0</v>
      </c>
      <c r="R93" s="80">
        <f>'дод 2'!S134</f>
        <v>0</v>
      </c>
      <c r="S93" s="80">
        <f>'дод 2'!T134</f>
        <v>0</v>
      </c>
      <c r="T93" s="80">
        <f>'дод 2'!U134</f>
        <v>0</v>
      </c>
      <c r="U93" s="80">
        <f>'дод 2'!V134</f>
        <v>0</v>
      </c>
      <c r="V93" s="80">
        <f>'дод 2'!W134</f>
        <v>0</v>
      </c>
      <c r="W93" s="80">
        <f>'дод 2'!X134</f>
        <v>0</v>
      </c>
      <c r="X93" s="80">
        <f>'дод 2'!Y134</f>
        <v>0</v>
      </c>
      <c r="Y93" s="180"/>
      <c r="Z93" s="80">
        <f t="shared" si="40"/>
        <v>2233206.7999999998</v>
      </c>
      <c r="AA93" s="80">
        <f>'дод 2'!AB134</f>
        <v>2233488.84</v>
      </c>
      <c r="AB93" s="221"/>
      <c r="AC93" s="220"/>
    </row>
    <row r="94" spans="1:29" s="82" customFormat="1" ht="63" customHeight="1" x14ac:dyDescent="0.25">
      <c r="A94" s="22" t="s">
        <v>478</v>
      </c>
      <c r="B94" s="22" t="s">
        <v>56</v>
      </c>
      <c r="C94" s="24" t="s">
        <v>477</v>
      </c>
      <c r="D94" s="79">
        <f>'дод 2'!E135</f>
        <v>872618.44</v>
      </c>
      <c r="E94" s="79">
        <f>'дод 2'!F135</f>
        <v>872618.44</v>
      </c>
      <c r="F94" s="79">
        <f>'дод 2'!G135</f>
        <v>715261</v>
      </c>
      <c r="G94" s="79">
        <f>'дод 2'!H135</f>
        <v>0</v>
      </c>
      <c r="H94" s="79">
        <f>'дод 2'!I135</f>
        <v>0</v>
      </c>
      <c r="I94" s="79">
        <f>'дод 2'!J135</f>
        <v>872618.44</v>
      </c>
      <c r="J94" s="79">
        <f>'дод 2'!K135</f>
        <v>715261</v>
      </c>
      <c r="K94" s="79">
        <f>'дод 2'!L135</f>
        <v>0</v>
      </c>
      <c r="L94" s="179">
        <f t="shared" si="39"/>
        <v>100</v>
      </c>
      <c r="M94" s="79">
        <f>'дод 2'!N135</f>
        <v>0</v>
      </c>
      <c r="N94" s="79">
        <f>'дод 2'!O135</f>
        <v>0</v>
      </c>
      <c r="O94" s="79">
        <f>'дод 2'!P135</f>
        <v>0</v>
      </c>
      <c r="P94" s="79">
        <f>'дод 2'!Q135</f>
        <v>0</v>
      </c>
      <c r="Q94" s="79">
        <f>'дод 2'!R135</f>
        <v>0</v>
      </c>
      <c r="R94" s="79">
        <f>'дод 2'!S135</f>
        <v>0</v>
      </c>
      <c r="S94" s="79">
        <f>'дод 2'!T135</f>
        <v>0</v>
      </c>
      <c r="T94" s="79">
        <f>'дод 2'!U135</f>
        <v>0</v>
      </c>
      <c r="U94" s="79">
        <f>'дод 2'!V135</f>
        <v>0</v>
      </c>
      <c r="V94" s="79">
        <f>'дод 2'!W135</f>
        <v>0</v>
      </c>
      <c r="W94" s="79">
        <f>'дод 2'!X135</f>
        <v>0</v>
      </c>
      <c r="X94" s="79">
        <f>'дод 2'!Y135</f>
        <v>0</v>
      </c>
      <c r="Y94" s="179"/>
      <c r="Z94" s="79">
        <f t="shared" si="40"/>
        <v>872618.44</v>
      </c>
      <c r="AA94" s="79">
        <f>'дод 2'!AB135</f>
        <v>872618.44</v>
      </c>
      <c r="AB94" s="221"/>
      <c r="AC94" s="220"/>
    </row>
    <row r="95" spans="1:29" s="82" customFormat="1" ht="59.25" customHeight="1" x14ac:dyDescent="0.25">
      <c r="A95" s="22"/>
      <c r="B95" s="22"/>
      <c r="C95" s="29" t="s">
        <v>669</v>
      </c>
      <c r="D95" s="80">
        <f>'дод 2'!E136</f>
        <v>872618.44</v>
      </c>
      <c r="E95" s="80">
        <f>'дод 2'!F136</f>
        <v>872618.44</v>
      </c>
      <c r="F95" s="80">
        <f>'дод 2'!G136</f>
        <v>715261</v>
      </c>
      <c r="G95" s="80">
        <f>'дод 2'!H136</f>
        <v>0</v>
      </c>
      <c r="H95" s="80">
        <f>'дод 2'!I136</f>
        <v>0</v>
      </c>
      <c r="I95" s="80">
        <f>'дод 2'!J136</f>
        <v>872618.44</v>
      </c>
      <c r="J95" s="80">
        <f>'дод 2'!K136</f>
        <v>715261</v>
      </c>
      <c r="K95" s="80">
        <f>'дод 2'!L136</f>
        <v>0</v>
      </c>
      <c r="L95" s="180">
        <f t="shared" si="39"/>
        <v>100</v>
      </c>
      <c r="M95" s="80">
        <f>'дод 2'!N136</f>
        <v>0</v>
      </c>
      <c r="N95" s="80">
        <f>'дод 2'!O136</f>
        <v>0</v>
      </c>
      <c r="O95" s="80">
        <f>'дод 2'!P136</f>
        <v>0</v>
      </c>
      <c r="P95" s="80">
        <f>'дод 2'!Q136</f>
        <v>0</v>
      </c>
      <c r="Q95" s="80">
        <f>'дод 2'!R136</f>
        <v>0</v>
      </c>
      <c r="R95" s="80">
        <f>'дод 2'!S136</f>
        <v>0</v>
      </c>
      <c r="S95" s="80">
        <f>'дод 2'!T136</f>
        <v>0</v>
      </c>
      <c r="T95" s="80">
        <f>'дод 2'!U136</f>
        <v>0</v>
      </c>
      <c r="U95" s="80">
        <f>'дод 2'!V136</f>
        <v>0</v>
      </c>
      <c r="V95" s="80">
        <f>'дод 2'!W136</f>
        <v>0</v>
      </c>
      <c r="W95" s="80">
        <f>'дод 2'!X136</f>
        <v>0</v>
      </c>
      <c r="X95" s="80">
        <f>'дод 2'!Y136</f>
        <v>0</v>
      </c>
      <c r="Y95" s="180"/>
      <c r="Z95" s="80">
        <f t="shared" si="40"/>
        <v>872618.44</v>
      </c>
      <c r="AA95" s="80">
        <f>'дод 2'!AB136</f>
        <v>872618.44</v>
      </c>
      <c r="AB95" s="221"/>
      <c r="AC95" s="220"/>
    </row>
    <row r="96" spans="1:29" s="82" customFormat="1" ht="63" customHeight="1" x14ac:dyDescent="0.25">
      <c r="A96" s="22" t="s">
        <v>677</v>
      </c>
      <c r="B96" s="22" t="s">
        <v>56</v>
      </c>
      <c r="C96" s="24" t="s">
        <v>678</v>
      </c>
      <c r="D96" s="79">
        <f>'дод 2'!E138</f>
        <v>2000000</v>
      </c>
      <c r="E96" s="79">
        <f>'дод 2'!F138</f>
        <v>2000000</v>
      </c>
      <c r="F96" s="79">
        <f>'дод 2'!G138</f>
        <v>0</v>
      </c>
      <c r="G96" s="79">
        <f>'дод 2'!H138</f>
        <v>0</v>
      </c>
      <c r="H96" s="79">
        <f>'дод 2'!I138</f>
        <v>0</v>
      </c>
      <c r="I96" s="79">
        <f>'дод 2'!J138</f>
        <v>2000000</v>
      </c>
      <c r="J96" s="79">
        <f>'дод 2'!K138</f>
        <v>0</v>
      </c>
      <c r="K96" s="79">
        <f>'дод 2'!L138</f>
        <v>0</v>
      </c>
      <c r="L96" s="179">
        <f t="shared" si="39"/>
        <v>100</v>
      </c>
      <c r="M96" s="79">
        <f>'дод 2'!N138</f>
        <v>0</v>
      </c>
      <c r="N96" s="79">
        <f>'дод 2'!O138</f>
        <v>0</v>
      </c>
      <c r="O96" s="79">
        <f>'дод 2'!P138</f>
        <v>0</v>
      </c>
      <c r="P96" s="79">
        <f>'дод 2'!Q138</f>
        <v>0</v>
      </c>
      <c r="Q96" s="79">
        <f>'дод 2'!R138</f>
        <v>0</v>
      </c>
      <c r="R96" s="79">
        <f>'дод 2'!S138</f>
        <v>0</v>
      </c>
      <c r="S96" s="79">
        <f>'дод 2'!T138</f>
        <v>0</v>
      </c>
      <c r="T96" s="79">
        <f>'дод 2'!U138</f>
        <v>0</v>
      </c>
      <c r="U96" s="79">
        <f>'дод 2'!V138</f>
        <v>0</v>
      </c>
      <c r="V96" s="79">
        <f>'дод 2'!W138</f>
        <v>0</v>
      </c>
      <c r="W96" s="79">
        <f>'дод 2'!X138</f>
        <v>0</v>
      </c>
      <c r="X96" s="79">
        <f>'дод 2'!Y138</f>
        <v>0</v>
      </c>
      <c r="Y96" s="179"/>
      <c r="Z96" s="79">
        <f t="shared" si="40"/>
        <v>2000000</v>
      </c>
      <c r="AA96" s="79">
        <f>'дод 2'!AB138</f>
        <v>2000000</v>
      </c>
      <c r="AB96" s="221"/>
      <c r="AC96" s="220"/>
    </row>
    <row r="97" spans="1:32" ht="63" customHeight="1" x14ac:dyDescent="0.25">
      <c r="A97" s="22" t="s">
        <v>671</v>
      </c>
      <c r="B97" s="22" t="s">
        <v>56</v>
      </c>
      <c r="C97" s="24" t="s">
        <v>672</v>
      </c>
      <c r="D97" s="79">
        <f>'дод 2'!E139</f>
        <v>2847046</v>
      </c>
      <c r="E97" s="79">
        <f>'дод 2'!F139</f>
        <v>2847046</v>
      </c>
      <c r="F97" s="79">
        <f>'дод 2'!G139</f>
        <v>0</v>
      </c>
      <c r="G97" s="79">
        <f>'дод 2'!H139</f>
        <v>0</v>
      </c>
      <c r="H97" s="79">
        <f>'дод 2'!I139</f>
        <v>0</v>
      </c>
      <c r="I97" s="79">
        <f>'дод 2'!J139</f>
        <v>2846060.89</v>
      </c>
      <c r="J97" s="79">
        <f>'дод 2'!K139</f>
        <v>0</v>
      </c>
      <c r="K97" s="79">
        <f>'дод 2'!L139</f>
        <v>0</v>
      </c>
      <c r="L97" s="179">
        <f t="shared" si="39"/>
        <v>99.965398873077575</v>
      </c>
      <c r="M97" s="79">
        <f>'дод 2'!N139</f>
        <v>5552954</v>
      </c>
      <c r="N97" s="79">
        <f>'дод 2'!O139</f>
        <v>5552954</v>
      </c>
      <c r="O97" s="79">
        <f>'дод 2'!P139</f>
        <v>0</v>
      </c>
      <c r="P97" s="79">
        <f>'дод 2'!Q139</f>
        <v>0</v>
      </c>
      <c r="Q97" s="79">
        <f>'дод 2'!R139</f>
        <v>0</v>
      </c>
      <c r="R97" s="79">
        <f>'дод 2'!S139</f>
        <v>5552954</v>
      </c>
      <c r="S97" s="79">
        <f>'дод 2'!T139</f>
        <v>5552954</v>
      </c>
      <c r="T97" s="79">
        <f>'дод 2'!U139</f>
        <v>5552954</v>
      </c>
      <c r="U97" s="79">
        <f>'дод 2'!V139</f>
        <v>0</v>
      </c>
      <c r="V97" s="79">
        <f>'дод 2'!W139</f>
        <v>0</v>
      </c>
      <c r="W97" s="79">
        <f>'дод 2'!X139</f>
        <v>0</v>
      </c>
      <c r="X97" s="79">
        <f>'дод 2'!Y139</f>
        <v>5552954</v>
      </c>
      <c r="Y97" s="179">
        <f t="shared" si="41"/>
        <v>100</v>
      </c>
      <c r="Z97" s="79">
        <f t="shared" si="40"/>
        <v>8399014.8900000006</v>
      </c>
      <c r="AA97" s="79">
        <f>'дод 2'!AB139</f>
        <v>8400000</v>
      </c>
      <c r="AB97" s="221"/>
      <c r="AC97" s="220"/>
    </row>
    <row r="98" spans="1:32" s="82" customFormat="1" ht="63" customHeight="1" x14ac:dyDescent="0.25">
      <c r="A98" s="27"/>
      <c r="B98" s="27"/>
      <c r="C98" s="29" t="s">
        <v>673</v>
      </c>
      <c r="D98" s="80">
        <f>'дод 2'!E140</f>
        <v>2847046</v>
      </c>
      <c r="E98" s="80">
        <f>'дод 2'!F140</f>
        <v>2847046</v>
      </c>
      <c r="F98" s="80">
        <f>'дод 2'!G140</f>
        <v>0</v>
      </c>
      <c r="G98" s="80">
        <f>'дод 2'!H140</f>
        <v>0</v>
      </c>
      <c r="H98" s="80">
        <f>'дод 2'!I140</f>
        <v>0</v>
      </c>
      <c r="I98" s="80">
        <f>'дод 2'!J140</f>
        <v>2846060.89</v>
      </c>
      <c r="J98" s="80">
        <f>'дод 2'!K140</f>
        <v>0</v>
      </c>
      <c r="K98" s="80">
        <f>'дод 2'!L140</f>
        <v>0</v>
      </c>
      <c r="L98" s="180">
        <f t="shared" si="39"/>
        <v>99.965398873077575</v>
      </c>
      <c r="M98" s="80">
        <f>'дод 2'!N140</f>
        <v>5552954</v>
      </c>
      <c r="N98" s="80">
        <f>'дод 2'!O140</f>
        <v>5552954</v>
      </c>
      <c r="O98" s="80">
        <f>'дод 2'!P140</f>
        <v>0</v>
      </c>
      <c r="P98" s="80">
        <f>'дод 2'!Q140</f>
        <v>0</v>
      </c>
      <c r="Q98" s="80">
        <f>'дод 2'!R140</f>
        <v>0</v>
      </c>
      <c r="R98" s="80">
        <f>'дод 2'!S140</f>
        <v>5552954</v>
      </c>
      <c r="S98" s="80">
        <f>'дод 2'!T140</f>
        <v>5552954</v>
      </c>
      <c r="T98" s="80">
        <f>'дод 2'!U140</f>
        <v>5552954</v>
      </c>
      <c r="U98" s="80">
        <f>'дод 2'!V140</f>
        <v>0</v>
      </c>
      <c r="V98" s="80">
        <f>'дод 2'!W140</f>
        <v>0</v>
      </c>
      <c r="W98" s="80">
        <f>'дод 2'!X140</f>
        <v>0</v>
      </c>
      <c r="X98" s="80">
        <f>'дод 2'!Y140</f>
        <v>5552954</v>
      </c>
      <c r="Y98" s="180">
        <f t="shared" si="41"/>
        <v>100</v>
      </c>
      <c r="Z98" s="80">
        <f t="shared" si="40"/>
        <v>8399014.8900000006</v>
      </c>
      <c r="AA98" s="80">
        <f>'дод 2'!AB140</f>
        <v>8400000</v>
      </c>
      <c r="AB98" s="112"/>
      <c r="AC98" s="220"/>
    </row>
    <row r="99" spans="1:32" s="82" customFormat="1" ht="79.5" customHeight="1" x14ac:dyDescent="0.25">
      <c r="A99" s="22" t="s">
        <v>684</v>
      </c>
      <c r="B99" s="22" t="s">
        <v>56</v>
      </c>
      <c r="C99" s="36" t="s">
        <v>685</v>
      </c>
      <c r="D99" s="79">
        <f>'дод 2'!E141</f>
        <v>0</v>
      </c>
      <c r="E99" s="79">
        <f>'дод 2'!F141</f>
        <v>0</v>
      </c>
      <c r="F99" s="79">
        <f>'дод 2'!G141</f>
        <v>0</v>
      </c>
      <c r="G99" s="79">
        <f>'дод 2'!H141</f>
        <v>0</v>
      </c>
      <c r="H99" s="79">
        <f>'дод 2'!I141</f>
        <v>0</v>
      </c>
      <c r="I99" s="79">
        <f>'дод 2'!J141</f>
        <v>0</v>
      </c>
      <c r="J99" s="79">
        <f>'дод 2'!K141</f>
        <v>0</v>
      </c>
      <c r="K99" s="79">
        <f>'дод 2'!L141</f>
        <v>0</v>
      </c>
      <c r="L99" s="179"/>
      <c r="M99" s="79">
        <f>'дод 2'!N141</f>
        <v>37015300</v>
      </c>
      <c r="N99" s="79">
        <f>'дод 2'!O141</f>
        <v>37015300</v>
      </c>
      <c r="O99" s="79">
        <f>'дод 2'!P141</f>
        <v>0</v>
      </c>
      <c r="P99" s="79">
        <f>'дод 2'!Q141</f>
        <v>0</v>
      </c>
      <c r="Q99" s="79">
        <f>'дод 2'!R141</f>
        <v>0</v>
      </c>
      <c r="R99" s="79">
        <f>'дод 2'!S141</f>
        <v>37015300</v>
      </c>
      <c r="S99" s="79">
        <f>'дод 2'!T141</f>
        <v>30397721.699999999</v>
      </c>
      <c r="T99" s="79">
        <f>'дод 2'!U141</f>
        <v>30397721.699999999</v>
      </c>
      <c r="U99" s="79">
        <f>'дод 2'!V141</f>
        <v>0</v>
      </c>
      <c r="V99" s="79">
        <f>'дод 2'!W141</f>
        <v>0</v>
      </c>
      <c r="W99" s="79">
        <f>'дод 2'!X141</f>
        <v>0</v>
      </c>
      <c r="X99" s="79">
        <f>'дод 2'!Y141</f>
        <v>30397721.699999999</v>
      </c>
      <c r="Y99" s="179">
        <f t="shared" si="41"/>
        <v>82.122046018808433</v>
      </c>
      <c r="Z99" s="79">
        <f t="shared" si="40"/>
        <v>30397721.699999999</v>
      </c>
      <c r="AA99" s="79">
        <f>'дод 2'!AB141</f>
        <v>37015300</v>
      </c>
      <c r="AB99" s="221">
        <v>4</v>
      </c>
      <c r="AC99" s="220"/>
    </row>
    <row r="100" spans="1:32" s="82" customFormat="1" ht="79.5" customHeight="1" x14ac:dyDescent="0.25">
      <c r="A100" s="22" t="s">
        <v>694</v>
      </c>
      <c r="B100" s="22" t="s">
        <v>56</v>
      </c>
      <c r="C100" s="36" t="s">
        <v>695</v>
      </c>
      <c r="D100" s="79">
        <f>'дод 2'!E142</f>
        <v>0</v>
      </c>
      <c r="E100" s="79">
        <f>'дод 2'!F142</f>
        <v>0</v>
      </c>
      <c r="F100" s="79">
        <f>'дод 2'!G142</f>
        <v>0</v>
      </c>
      <c r="G100" s="79">
        <f>'дод 2'!H142</f>
        <v>0</v>
      </c>
      <c r="H100" s="79">
        <f>'дод 2'!I142</f>
        <v>0</v>
      </c>
      <c r="I100" s="79">
        <f>'дод 2'!J142</f>
        <v>0</v>
      </c>
      <c r="J100" s="79">
        <f>'дод 2'!K142</f>
        <v>0</v>
      </c>
      <c r="K100" s="79">
        <f>'дод 2'!L142</f>
        <v>0</v>
      </c>
      <c r="L100" s="179"/>
      <c r="M100" s="79">
        <f>'дод 2'!N142</f>
        <v>79554500</v>
      </c>
      <c r="N100" s="79">
        <f>'дод 2'!O142</f>
        <v>79554500</v>
      </c>
      <c r="O100" s="79">
        <f>'дод 2'!P142</f>
        <v>0</v>
      </c>
      <c r="P100" s="79">
        <f>'дод 2'!Q142</f>
        <v>0</v>
      </c>
      <c r="Q100" s="79">
        <f>'дод 2'!R142</f>
        <v>0</v>
      </c>
      <c r="R100" s="79">
        <f>'дод 2'!S142</f>
        <v>79554500</v>
      </c>
      <c r="S100" s="79">
        <f>'дод 2'!T142</f>
        <v>67512062.799999997</v>
      </c>
      <c r="T100" s="79">
        <f>'дод 2'!U142</f>
        <v>67512062.799999997</v>
      </c>
      <c r="U100" s="79">
        <f>'дод 2'!V142</f>
        <v>0</v>
      </c>
      <c r="V100" s="79">
        <f>'дод 2'!W142</f>
        <v>0</v>
      </c>
      <c r="W100" s="79">
        <f>'дод 2'!X142</f>
        <v>0</v>
      </c>
      <c r="X100" s="79">
        <f>'дод 2'!Y142</f>
        <v>67512062.799999997</v>
      </c>
      <c r="Y100" s="179">
        <f t="shared" si="41"/>
        <v>84.862657423527267</v>
      </c>
      <c r="Z100" s="79">
        <f t="shared" si="40"/>
        <v>67512062.799999997</v>
      </c>
      <c r="AA100" s="79">
        <f>'дод 2'!AB142</f>
        <v>79554500</v>
      </c>
      <c r="AB100" s="221"/>
      <c r="AC100" s="220"/>
    </row>
    <row r="101" spans="1:32" s="82" customFormat="1" ht="79.5" customHeight="1" x14ac:dyDescent="0.25">
      <c r="A101" s="22"/>
      <c r="B101" s="22"/>
      <c r="C101" s="43" t="s">
        <v>696</v>
      </c>
      <c r="D101" s="79">
        <f>'дод 2'!E143</f>
        <v>0</v>
      </c>
      <c r="E101" s="79">
        <f>'дод 2'!F143</f>
        <v>0</v>
      </c>
      <c r="F101" s="79">
        <f>'дод 2'!G143</f>
        <v>0</v>
      </c>
      <c r="G101" s="79">
        <f>'дод 2'!H143</f>
        <v>0</v>
      </c>
      <c r="H101" s="79">
        <f>'дод 2'!I143</f>
        <v>0</v>
      </c>
      <c r="I101" s="79">
        <f>'дод 2'!J143</f>
        <v>0</v>
      </c>
      <c r="J101" s="79">
        <f>'дод 2'!K143</f>
        <v>0</v>
      </c>
      <c r="K101" s="79">
        <f>'дод 2'!L143</f>
        <v>0</v>
      </c>
      <c r="L101" s="179"/>
      <c r="M101" s="79">
        <f>'дод 2'!N143</f>
        <v>79554500</v>
      </c>
      <c r="N101" s="79">
        <f>'дод 2'!O143</f>
        <v>79554500</v>
      </c>
      <c r="O101" s="79">
        <f>'дод 2'!P143</f>
        <v>0</v>
      </c>
      <c r="P101" s="79">
        <f>'дод 2'!Q143</f>
        <v>0</v>
      </c>
      <c r="Q101" s="79">
        <f>'дод 2'!R143</f>
        <v>0</v>
      </c>
      <c r="R101" s="79">
        <f>'дод 2'!S143</f>
        <v>79554500</v>
      </c>
      <c r="S101" s="79">
        <f>'дод 2'!T143</f>
        <v>67512062.799999997</v>
      </c>
      <c r="T101" s="79">
        <f>'дод 2'!U143</f>
        <v>67512062.799999997</v>
      </c>
      <c r="U101" s="79">
        <f>'дод 2'!V143</f>
        <v>0</v>
      </c>
      <c r="V101" s="79">
        <f>'дод 2'!W143</f>
        <v>0</v>
      </c>
      <c r="W101" s="79">
        <f>'дод 2'!X143</f>
        <v>0</v>
      </c>
      <c r="X101" s="79">
        <f>'дод 2'!Y143</f>
        <v>67512062.799999997</v>
      </c>
      <c r="Y101" s="179">
        <f t="shared" si="41"/>
        <v>84.862657423527267</v>
      </c>
      <c r="Z101" s="79">
        <f t="shared" si="40"/>
        <v>67512062.799999997</v>
      </c>
      <c r="AA101" s="79">
        <f>'дод 2'!AB143</f>
        <v>79554500</v>
      </c>
      <c r="AB101" s="221"/>
      <c r="AC101" s="220"/>
    </row>
    <row r="102" spans="1:32" s="82" customFormat="1" ht="63" customHeight="1" x14ac:dyDescent="0.25">
      <c r="A102" s="22" t="s">
        <v>628</v>
      </c>
      <c r="B102" s="22" t="s">
        <v>56</v>
      </c>
      <c r="C102" s="24" t="s">
        <v>648</v>
      </c>
      <c r="D102" s="80">
        <f>'дод 2'!E144+'дод 2'!E394</f>
        <v>0</v>
      </c>
      <c r="E102" s="80">
        <f>'дод 2'!F144+'дод 2'!F394</f>
        <v>0</v>
      </c>
      <c r="F102" s="80">
        <f>'дод 2'!G144+'дод 2'!G394</f>
        <v>0</v>
      </c>
      <c r="G102" s="80">
        <f>'дод 2'!H144+'дод 2'!H394</f>
        <v>0</v>
      </c>
      <c r="H102" s="80">
        <f>'дод 2'!I144+'дод 2'!I394</f>
        <v>0</v>
      </c>
      <c r="I102" s="80">
        <f>'дод 2'!J144+'дод 2'!J394</f>
        <v>0</v>
      </c>
      <c r="J102" s="80">
        <f>'дод 2'!K144+'дод 2'!K394</f>
        <v>0</v>
      </c>
      <c r="K102" s="80">
        <f>'дод 2'!L144+'дод 2'!L394</f>
        <v>0</v>
      </c>
      <c r="L102" s="180"/>
      <c r="M102" s="80">
        <f>'дод 2'!N144+'дод 2'!N394</f>
        <v>54354052</v>
      </c>
      <c r="N102" s="80">
        <f>'дод 2'!O144+'дод 2'!O394</f>
        <v>54354052</v>
      </c>
      <c r="O102" s="80">
        <f>'дод 2'!P144+'дод 2'!P394</f>
        <v>0</v>
      </c>
      <c r="P102" s="80">
        <f>'дод 2'!Q144+'дод 2'!Q394</f>
        <v>0</v>
      </c>
      <c r="Q102" s="80">
        <f>'дод 2'!R144+'дод 2'!R394</f>
        <v>0</v>
      </c>
      <c r="R102" s="80">
        <f>'дод 2'!S144+'дод 2'!S394</f>
        <v>54354052</v>
      </c>
      <c r="S102" s="80">
        <f>'дод 2'!T144+'дод 2'!T394</f>
        <v>35569103.450000003</v>
      </c>
      <c r="T102" s="80">
        <f>'дод 2'!U144+'дод 2'!U394</f>
        <v>35569103.450000003</v>
      </c>
      <c r="U102" s="80">
        <f>'дод 2'!V144+'дод 2'!V394</f>
        <v>0</v>
      </c>
      <c r="V102" s="80">
        <f>'дод 2'!W144+'дод 2'!W394</f>
        <v>0</v>
      </c>
      <c r="W102" s="80">
        <f>'дод 2'!X144+'дод 2'!X394</f>
        <v>0</v>
      </c>
      <c r="X102" s="80">
        <f>'дод 2'!Y144+'дод 2'!Y394</f>
        <v>35569103.450000003</v>
      </c>
      <c r="Y102" s="180">
        <f t="shared" si="41"/>
        <v>65.439653790668643</v>
      </c>
      <c r="Z102" s="80">
        <f t="shared" si="40"/>
        <v>35569103.450000003</v>
      </c>
      <c r="AA102" s="79">
        <f>'дод 2'!AB144+'дод 2'!AB394</f>
        <v>54354052</v>
      </c>
      <c r="AB102" s="221"/>
      <c r="AC102" s="220"/>
    </row>
    <row r="103" spans="1:32" s="82" customFormat="1" ht="63" x14ac:dyDescent="0.25">
      <c r="A103" s="22" t="s">
        <v>629</v>
      </c>
      <c r="B103" s="22" t="s">
        <v>56</v>
      </c>
      <c r="C103" s="86" t="s">
        <v>681</v>
      </c>
      <c r="D103" s="80">
        <f>'дод 2'!E145+'дод 2'!E395</f>
        <v>0</v>
      </c>
      <c r="E103" s="80">
        <f>'дод 2'!F145+'дод 2'!F395</f>
        <v>0</v>
      </c>
      <c r="F103" s="80">
        <f>'дод 2'!G145+'дод 2'!G395</f>
        <v>0</v>
      </c>
      <c r="G103" s="80">
        <f>'дод 2'!H145+'дод 2'!H395</f>
        <v>0</v>
      </c>
      <c r="H103" s="80">
        <f>'дод 2'!I145+'дод 2'!I395</f>
        <v>0</v>
      </c>
      <c r="I103" s="80">
        <f>'дод 2'!J145+'дод 2'!J395</f>
        <v>0</v>
      </c>
      <c r="J103" s="80">
        <f>'дод 2'!K145+'дод 2'!K395</f>
        <v>0</v>
      </c>
      <c r="K103" s="80">
        <f>'дод 2'!L145+'дод 2'!L395</f>
        <v>0</v>
      </c>
      <c r="L103" s="180"/>
      <c r="M103" s="80">
        <f>'дод 2'!N145+'дод 2'!N395</f>
        <v>73585211</v>
      </c>
      <c r="N103" s="80">
        <f>'дод 2'!O145+'дод 2'!O395</f>
        <v>73585211</v>
      </c>
      <c r="O103" s="80">
        <f>'дод 2'!P145+'дод 2'!P395</f>
        <v>0</v>
      </c>
      <c r="P103" s="80">
        <f>'дод 2'!Q145+'дод 2'!Q395</f>
        <v>0</v>
      </c>
      <c r="Q103" s="80">
        <f>'дод 2'!R145+'дод 2'!R395</f>
        <v>0</v>
      </c>
      <c r="R103" s="80">
        <f>'дод 2'!S145+'дод 2'!S395</f>
        <v>73585211</v>
      </c>
      <c r="S103" s="80">
        <f>'дод 2'!T145+'дод 2'!T395</f>
        <v>65775761</v>
      </c>
      <c r="T103" s="80">
        <f>'дод 2'!U145+'дод 2'!U395</f>
        <v>65775761</v>
      </c>
      <c r="U103" s="80">
        <f>'дод 2'!V145+'дод 2'!V395</f>
        <v>0</v>
      </c>
      <c r="V103" s="80">
        <f>'дод 2'!W145+'дод 2'!W395</f>
        <v>0</v>
      </c>
      <c r="W103" s="80">
        <f>'дод 2'!X145+'дод 2'!X395</f>
        <v>0</v>
      </c>
      <c r="X103" s="80">
        <f>'дод 2'!Y145+'дод 2'!Y395</f>
        <v>65775761</v>
      </c>
      <c r="Y103" s="180">
        <f t="shared" si="41"/>
        <v>89.387201729978045</v>
      </c>
      <c r="Z103" s="80">
        <f t="shared" si="40"/>
        <v>65775761</v>
      </c>
      <c r="AA103" s="79">
        <f>'дод 2'!AB145+'дод 2'!AB395</f>
        <v>73585211</v>
      </c>
      <c r="AB103" s="221"/>
      <c r="AC103" s="220"/>
    </row>
    <row r="104" spans="1:32" s="82" customFormat="1" ht="50.25" customHeight="1" x14ac:dyDescent="0.25">
      <c r="A104" s="22"/>
      <c r="B104" s="22"/>
      <c r="C104" s="29" t="s">
        <v>679</v>
      </c>
      <c r="D104" s="80">
        <f>'дод 2'!E146+'дод 2'!E396</f>
        <v>0</v>
      </c>
      <c r="E104" s="80">
        <f>'дод 2'!F146+'дод 2'!F396</f>
        <v>0</v>
      </c>
      <c r="F104" s="80">
        <f>'дод 2'!G146+'дод 2'!G396</f>
        <v>0</v>
      </c>
      <c r="G104" s="80">
        <f>'дод 2'!H146+'дод 2'!H396</f>
        <v>0</v>
      </c>
      <c r="H104" s="80">
        <f>'дод 2'!I146+'дод 2'!I396</f>
        <v>0</v>
      </c>
      <c r="I104" s="80">
        <f>'дод 2'!J146+'дод 2'!J396</f>
        <v>0</v>
      </c>
      <c r="J104" s="80">
        <f>'дод 2'!K146+'дод 2'!K396</f>
        <v>0</v>
      </c>
      <c r="K104" s="80">
        <f>'дод 2'!L146+'дод 2'!L396</f>
        <v>0</v>
      </c>
      <c r="L104" s="180"/>
      <c r="M104" s="80">
        <f>'дод 2'!N146+'дод 2'!N396</f>
        <v>73585211</v>
      </c>
      <c r="N104" s="80">
        <f>'дод 2'!O146+'дод 2'!O396</f>
        <v>73585211</v>
      </c>
      <c r="O104" s="80">
        <f>'дод 2'!P146+'дод 2'!P396</f>
        <v>0</v>
      </c>
      <c r="P104" s="80">
        <f>'дод 2'!Q146+'дод 2'!Q396</f>
        <v>0</v>
      </c>
      <c r="Q104" s="80">
        <f>'дод 2'!R146+'дод 2'!R396</f>
        <v>0</v>
      </c>
      <c r="R104" s="80">
        <f>'дод 2'!S146+'дод 2'!S396</f>
        <v>73585211</v>
      </c>
      <c r="S104" s="80">
        <f>'дод 2'!T146+'дод 2'!T396</f>
        <v>65775761</v>
      </c>
      <c r="T104" s="80">
        <f>'дод 2'!U146+'дод 2'!U396</f>
        <v>65775761</v>
      </c>
      <c r="U104" s="80">
        <f>'дод 2'!V146+'дод 2'!V396</f>
        <v>0</v>
      </c>
      <c r="V104" s="80">
        <f>'дод 2'!W146+'дод 2'!W396</f>
        <v>0</v>
      </c>
      <c r="W104" s="80">
        <f>'дод 2'!X146+'дод 2'!X396</f>
        <v>0</v>
      </c>
      <c r="X104" s="80">
        <f>'дод 2'!Y146+'дод 2'!Y396</f>
        <v>65775761</v>
      </c>
      <c r="Y104" s="180">
        <f t="shared" si="41"/>
        <v>89.387201729978045</v>
      </c>
      <c r="Z104" s="80">
        <f t="shared" si="40"/>
        <v>65775761</v>
      </c>
      <c r="AA104" s="80">
        <f>'дод 2'!AB146+'дод 2'!AB396</f>
        <v>73585211</v>
      </c>
      <c r="AB104" s="221"/>
      <c r="AC104" s="220"/>
    </row>
    <row r="105" spans="1:32" s="82" customFormat="1" ht="94.5" customHeight="1" x14ac:dyDescent="0.25">
      <c r="A105" s="23">
        <v>1291</v>
      </c>
      <c r="B105" s="22" t="s">
        <v>56</v>
      </c>
      <c r="C105" s="35" t="s">
        <v>705</v>
      </c>
      <c r="D105" s="79">
        <f>'дод 2'!E147</f>
        <v>1841503</v>
      </c>
      <c r="E105" s="79">
        <f>'дод 2'!F147</f>
        <v>1841503</v>
      </c>
      <c r="F105" s="79">
        <f>'дод 2'!G147</f>
        <v>0</v>
      </c>
      <c r="G105" s="79">
        <f>'дод 2'!H147</f>
        <v>0</v>
      </c>
      <c r="H105" s="79">
        <f>'дод 2'!I147</f>
        <v>0</v>
      </c>
      <c r="I105" s="79">
        <f>'дод 2'!J147</f>
        <v>1503025.56</v>
      </c>
      <c r="J105" s="79">
        <f>'дод 2'!K147</f>
        <v>0</v>
      </c>
      <c r="K105" s="79">
        <f>'дод 2'!L147</f>
        <v>0</v>
      </c>
      <c r="L105" s="179">
        <f t="shared" si="39"/>
        <v>81.619501027150108</v>
      </c>
      <c r="M105" s="79">
        <f>'дод 2'!N147</f>
        <v>5789756</v>
      </c>
      <c r="N105" s="79">
        <f>'дод 2'!O147</f>
        <v>5789756</v>
      </c>
      <c r="O105" s="79">
        <f>'дод 2'!P147</f>
        <v>0</v>
      </c>
      <c r="P105" s="79">
        <f>'дод 2'!Q147</f>
        <v>0</v>
      </c>
      <c r="Q105" s="79">
        <f>'дод 2'!R147</f>
        <v>0</v>
      </c>
      <c r="R105" s="79">
        <f>'дод 2'!S147</f>
        <v>5789756</v>
      </c>
      <c r="S105" s="79">
        <f>'дод 2'!T147</f>
        <v>5531136.9699999997</v>
      </c>
      <c r="T105" s="79">
        <f>'дод 2'!U147</f>
        <v>5531136.9699999997</v>
      </c>
      <c r="U105" s="79">
        <f>'дод 2'!V147</f>
        <v>0</v>
      </c>
      <c r="V105" s="79">
        <f>'дод 2'!W147</f>
        <v>0</v>
      </c>
      <c r="W105" s="79">
        <f>'дод 2'!X147</f>
        <v>0</v>
      </c>
      <c r="X105" s="79">
        <f>'дод 2'!Y147</f>
        <v>5531136.9699999997</v>
      </c>
      <c r="Y105" s="179">
        <f t="shared" si="41"/>
        <v>95.533161846544132</v>
      </c>
      <c r="Z105" s="79">
        <f t="shared" si="40"/>
        <v>7034162.5299999993</v>
      </c>
      <c r="AA105" s="79">
        <f>'дод 2'!AB147</f>
        <v>7631259</v>
      </c>
      <c r="AB105" s="221"/>
      <c r="AC105" s="220"/>
    </row>
    <row r="106" spans="1:32" s="82" customFormat="1" ht="94.5" customHeight="1" x14ac:dyDescent="0.25">
      <c r="A106" s="23"/>
      <c r="B106" s="22"/>
      <c r="C106" s="48" t="s">
        <v>618</v>
      </c>
      <c r="D106" s="80">
        <f>'дод 2'!E148</f>
        <v>1339364</v>
      </c>
      <c r="E106" s="80">
        <f>'дод 2'!F148</f>
        <v>1339364</v>
      </c>
      <c r="F106" s="80">
        <f>'дод 2'!G148</f>
        <v>0</v>
      </c>
      <c r="G106" s="80">
        <f>'дод 2'!H148</f>
        <v>0</v>
      </c>
      <c r="H106" s="80">
        <f>'дод 2'!I148</f>
        <v>0</v>
      </c>
      <c r="I106" s="80">
        <f>'дод 2'!J148</f>
        <v>1290922.57</v>
      </c>
      <c r="J106" s="80">
        <f>'дод 2'!K148</f>
        <v>0</v>
      </c>
      <c r="K106" s="80">
        <f>'дод 2'!L148</f>
        <v>0</v>
      </c>
      <c r="L106" s="180">
        <f t="shared" si="39"/>
        <v>96.383251304350424</v>
      </c>
      <c r="M106" s="80">
        <f>'дод 2'!N148</f>
        <v>1993989</v>
      </c>
      <c r="N106" s="80">
        <f>'дод 2'!O148</f>
        <v>1993989</v>
      </c>
      <c r="O106" s="80">
        <f>'дод 2'!P148</f>
        <v>0</v>
      </c>
      <c r="P106" s="80">
        <f>'дод 2'!Q148</f>
        <v>0</v>
      </c>
      <c r="Q106" s="80">
        <f>'дод 2'!R148</f>
        <v>0</v>
      </c>
      <c r="R106" s="80">
        <f>'дод 2'!S148</f>
        <v>1993989</v>
      </c>
      <c r="S106" s="80">
        <f>'дод 2'!T148</f>
        <v>1882495.7</v>
      </c>
      <c r="T106" s="80">
        <f>'дод 2'!U148</f>
        <v>1882495.7</v>
      </c>
      <c r="U106" s="80">
        <f>'дод 2'!V148</f>
        <v>0</v>
      </c>
      <c r="V106" s="80">
        <f>'дод 2'!W148</f>
        <v>0</v>
      </c>
      <c r="W106" s="80">
        <f>'дод 2'!X148</f>
        <v>0</v>
      </c>
      <c r="X106" s="80">
        <f>'дод 2'!Y148</f>
        <v>1882495.7</v>
      </c>
      <c r="Y106" s="180">
        <f t="shared" si="41"/>
        <v>94.408529836423369</v>
      </c>
      <c r="Z106" s="80">
        <f t="shared" si="40"/>
        <v>3173418.27</v>
      </c>
      <c r="AA106" s="80">
        <f>'дод 2'!AB148</f>
        <v>3333353</v>
      </c>
      <c r="AB106" s="221"/>
      <c r="AC106" s="220"/>
    </row>
    <row r="107" spans="1:32" s="82" customFormat="1" ht="78.75" x14ac:dyDescent="0.25">
      <c r="A107" s="22" t="s">
        <v>666</v>
      </c>
      <c r="B107" s="22" t="s">
        <v>56</v>
      </c>
      <c r="C107" s="24" t="s">
        <v>667</v>
      </c>
      <c r="D107" s="80">
        <f>'дод 2'!E149</f>
        <v>0</v>
      </c>
      <c r="E107" s="80">
        <f>'дод 2'!F149</f>
        <v>0</v>
      </c>
      <c r="F107" s="80">
        <f>'дод 2'!G149</f>
        <v>0</v>
      </c>
      <c r="G107" s="80">
        <f>'дод 2'!H149</f>
        <v>0</v>
      </c>
      <c r="H107" s="80">
        <f>'дод 2'!I149</f>
        <v>0</v>
      </c>
      <c r="I107" s="80">
        <f>'дод 2'!J149</f>
        <v>0</v>
      </c>
      <c r="J107" s="80">
        <f>'дод 2'!K149</f>
        <v>0</v>
      </c>
      <c r="K107" s="80">
        <f>'дод 2'!L149</f>
        <v>0</v>
      </c>
      <c r="L107" s="180"/>
      <c r="M107" s="80">
        <f>'дод 2'!N149</f>
        <v>18068330</v>
      </c>
      <c r="N107" s="80">
        <f>'дод 2'!O149</f>
        <v>0</v>
      </c>
      <c r="O107" s="80">
        <f>'дод 2'!P149</f>
        <v>4558902</v>
      </c>
      <c r="P107" s="80">
        <f>'дод 2'!Q149</f>
        <v>0</v>
      </c>
      <c r="Q107" s="80">
        <f>'дод 2'!R149</f>
        <v>0</v>
      </c>
      <c r="R107" s="80">
        <f>'дод 2'!S149</f>
        <v>13509428</v>
      </c>
      <c r="S107" s="80">
        <f>'дод 2'!T149</f>
        <v>16413044.880000001</v>
      </c>
      <c r="T107" s="80">
        <f>'дод 2'!U149</f>
        <v>0</v>
      </c>
      <c r="U107" s="80">
        <f>'дод 2'!V149</f>
        <v>3507058.64</v>
      </c>
      <c r="V107" s="80">
        <f>'дод 2'!W149</f>
        <v>0</v>
      </c>
      <c r="W107" s="80">
        <f>'дод 2'!X149</f>
        <v>0</v>
      </c>
      <c r="X107" s="80">
        <f>'дод 2'!Y149</f>
        <v>12905986.24</v>
      </c>
      <c r="Y107" s="180">
        <f t="shared" si="41"/>
        <v>90.838748683469916</v>
      </c>
      <c r="Z107" s="80">
        <f t="shared" si="40"/>
        <v>16413044.880000001</v>
      </c>
      <c r="AA107" s="80">
        <f>'дод 2'!AB149</f>
        <v>18068330</v>
      </c>
      <c r="AB107" s="221"/>
      <c r="AC107" s="220"/>
    </row>
    <row r="108" spans="1:32" s="82" customFormat="1" ht="40.5" customHeight="1" x14ac:dyDescent="0.25">
      <c r="A108" s="22"/>
      <c r="B108" s="22"/>
      <c r="C108" s="29" t="s">
        <v>494</v>
      </c>
      <c r="D108" s="80">
        <f>'дод 2'!E150</f>
        <v>0</v>
      </c>
      <c r="E108" s="80">
        <f>'дод 2'!F150</f>
        <v>0</v>
      </c>
      <c r="F108" s="80">
        <f>'дод 2'!G150</f>
        <v>0</v>
      </c>
      <c r="G108" s="80">
        <f>'дод 2'!H150</f>
        <v>0</v>
      </c>
      <c r="H108" s="80">
        <f>'дод 2'!I150</f>
        <v>0</v>
      </c>
      <c r="I108" s="80">
        <f>'дод 2'!J150</f>
        <v>0</v>
      </c>
      <c r="J108" s="80">
        <f>'дод 2'!K150</f>
        <v>0</v>
      </c>
      <c r="K108" s="80">
        <f>'дод 2'!L150</f>
        <v>0</v>
      </c>
      <c r="L108" s="180"/>
      <c r="M108" s="80">
        <f>'дод 2'!N150</f>
        <v>18068330</v>
      </c>
      <c r="N108" s="80">
        <f>'дод 2'!O150</f>
        <v>0</v>
      </c>
      <c r="O108" s="80">
        <f>'дод 2'!P150</f>
        <v>4558902</v>
      </c>
      <c r="P108" s="80">
        <f>'дод 2'!Q150</f>
        <v>0</v>
      </c>
      <c r="Q108" s="80">
        <f>'дод 2'!R150</f>
        <v>0</v>
      </c>
      <c r="R108" s="80">
        <f>'дод 2'!S150</f>
        <v>13509428</v>
      </c>
      <c r="S108" s="80">
        <f>'дод 2'!T150</f>
        <v>16413044.880000001</v>
      </c>
      <c r="T108" s="80">
        <f>'дод 2'!U150</f>
        <v>0</v>
      </c>
      <c r="U108" s="80">
        <f>'дод 2'!V150</f>
        <v>3507058.64</v>
      </c>
      <c r="V108" s="80">
        <f>'дод 2'!W150</f>
        <v>0</v>
      </c>
      <c r="W108" s="80">
        <f>'дод 2'!X150</f>
        <v>0</v>
      </c>
      <c r="X108" s="80">
        <f>'дод 2'!Y150</f>
        <v>12905986.24</v>
      </c>
      <c r="Y108" s="180">
        <f t="shared" si="41"/>
        <v>90.838748683469916</v>
      </c>
      <c r="Z108" s="80">
        <f t="shared" si="40"/>
        <v>16413044.880000001</v>
      </c>
      <c r="AA108" s="80">
        <f>'дод 2'!AB150</f>
        <v>18068330</v>
      </c>
      <c r="AB108" s="221"/>
      <c r="AC108" s="220"/>
    </row>
    <row r="109" spans="1:32" ht="46.9" customHeight="1" x14ac:dyDescent="0.25">
      <c r="A109" s="22" t="s">
        <v>722</v>
      </c>
      <c r="B109" s="22" t="s">
        <v>56</v>
      </c>
      <c r="C109" s="24" t="s">
        <v>723</v>
      </c>
      <c r="D109" s="79">
        <f>'дод 2'!E152</f>
        <v>12935800</v>
      </c>
      <c r="E109" s="79">
        <f>'дод 2'!F152</f>
        <v>12935800</v>
      </c>
      <c r="F109" s="79">
        <f>'дод 2'!G152</f>
        <v>0</v>
      </c>
      <c r="G109" s="79">
        <f>'дод 2'!H152</f>
        <v>0</v>
      </c>
      <c r="H109" s="79">
        <f>'дод 2'!I152</f>
        <v>0</v>
      </c>
      <c r="I109" s="79">
        <f>'дод 2'!J152</f>
        <v>521533.91</v>
      </c>
      <c r="J109" s="79">
        <f>'дод 2'!K152</f>
        <v>0</v>
      </c>
      <c r="K109" s="79">
        <f>'дод 2'!L152</f>
        <v>0</v>
      </c>
      <c r="L109" s="179">
        <f t="shared" si="39"/>
        <v>4.031709751233012</v>
      </c>
      <c r="M109" s="79">
        <f>'дод 2'!N152</f>
        <v>22533600</v>
      </c>
      <c r="N109" s="79">
        <f>'дод 2'!O152</f>
        <v>0</v>
      </c>
      <c r="O109" s="79">
        <f>'дод 2'!P152</f>
        <v>22533600</v>
      </c>
      <c r="P109" s="79">
        <f>'дод 2'!Q152</f>
        <v>0</v>
      </c>
      <c r="Q109" s="79">
        <f>'дод 2'!R152</f>
        <v>0</v>
      </c>
      <c r="R109" s="79">
        <f>'дод 2'!S152</f>
        <v>0</v>
      </c>
      <c r="S109" s="79">
        <f>'дод 2'!T152</f>
        <v>0</v>
      </c>
      <c r="T109" s="79">
        <f>'дод 2'!U152</f>
        <v>0</v>
      </c>
      <c r="U109" s="79">
        <f>'дод 2'!V152</f>
        <v>0</v>
      </c>
      <c r="V109" s="79">
        <f>'дод 2'!W152</f>
        <v>0</v>
      </c>
      <c r="W109" s="79">
        <f>'дод 2'!X152</f>
        <v>0</v>
      </c>
      <c r="X109" s="79">
        <f>'дод 2'!Y152</f>
        <v>0</v>
      </c>
      <c r="Y109" s="179">
        <f t="shared" si="41"/>
        <v>0</v>
      </c>
      <c r="Z109" s="79">
        <f t="shared" si="40"/>
        <v>521533.91</v>
      </c>
      <c r="AA109" s="79">
        <f>'дод 2'!AB152</f>
        <v>35469400</v>
      </c>
      <c r="AB109" s="221"/>
      <c r="AC109" s="220"/>
    </row>
    <row r="110" spans="1:32" s="82" customFormat="1" ht="47.25" x14ac:dyDescent="0.25">
      <c r="A110" s="27"/>
      <c r="B110" s="27"/>
      <c r="C110" s="29" t="s">
        <v>724</v>
      </c>
      <c r="D110" s="80">
        <f>'дод 2'!E153</f>
        <v>12935800</v>
      </c>
      <c r="E110" s="80">
        <f>'дод 2'!F153</f>
        <v>12935800</v>
      </c>
      <c r="F110" s="80">
        <f>'дод 2'!G153</f>
        <v>0</v>
      </c>
      <c r="G110" s="80">
        <f>'дод 2'!H153</f>
        <v>0</v>
      </c>
      <c r="H110" s="80">
        <f>'дод 2'!I153</f>
        <v>0</v>
      </c>
      <c r="I110" s="80">
        <f>'дод 2'!J153</f>
        <v>521533.91</v>
      </c>
      <c r="J110" s="80">
        <f>'дод 2'!K153</f>
        <v>0</v>
      </c>
      <c r="K110" s="80">
        <f>'дод 2'!L153</f>
        <v>0</v>
      </c>
      <c r="L110" s="180">
        <f t="shared" si="39"/>
        <v>4.031709751233012</v>
      </c>
      <c r="M110" s="80">
        <f>'дод 2'!N153</f>
        <v>22533600</v>
      </c>
      <c r="N110" s="80">
        <f>'дод 2'!O153</f>
        <v>0</v>
      </c>
      <c r="O110" s="80">
        <f>'дод 2'!P153</f>
        <v>22533600</v>
      </c>
      <c r="P110" s="80">
        <f>'дод 2'!Q153</f>
        <v>0</v>
      </c>
      <c r="Q110" s="80">
        <f>'дод 2'!R153</f>
        <v>0</v>
      </c>
      <c r="R110" s="80">
        <f>'дод 2'!S153</f>
        <v>0</v>
      </c>
      <c r="S110" s="80">
        <f>'дод 2'!T153</f>
        <v>0</v>
      </c>
      <c r="T110" s="80">
        <f>'дод 2'!U153</f>
        <v>0</v>
      </c>
      <c r="U110" s="80">
        <f>'дод 2'!V153</f>
        <v>0</v>
      </c>
      <c r="V110" s="80">
        <f>'дод 2'!W153</f>
        <v>0</v>
      </c>
      <c r="W110" s="80">
        <f>'дод 2'!X153</f>
        <v>0</v>
      </c>
      <c r="X110" s="80">
        <f>'дод 2'!Y153</f>
        <v>0</v>
      </c>
      <c r="Y110" s="180">
        <f t="shared" si="41"/>
        <v>0</v>
      </c>
      <c r="Z110" s="80">
        <f t="shared" si="40"/>
        <v>521533.91</v>
      </c>
      <c r="AA110" s="80">
        <f>'дод 2'!AB153</f>
        <v>35469400</v>
      </c>
      <c r="AB110" s="221"/>
      <c r="AC110" s="220"/>
    </row>
    <row r="111" spans="1:32" s="73" customFormat="1" ht="19.5" customHeight="1" x14ac:dyDescent="0.25">
      <c r="A111" s="83" t="s">
        <v>57</v>
      </c>
      <c r="B111" s="38"/>
      <c r="C111" s="76" t="s">
        <v>692</v>
      </c>
      <c r="D111" s="77">
        <f t="shared" ref="D111:AA111" si="42">D115+D119+D122+D124+D126+D129+D130+D118+D121+D131+D133</f>
        <v>127055535</v>
      </c>
      <c r="E111" s="77">
        <f t="shared" ref="E111:X111" si="43">E115+E119+E122+E124+E126+E129+E130+E118+E121+E131+E133</f>
        <v>127055535</v>
      </c>
      <c r="F111" s="77">
        <f t="shared" si="43"/>
        <v>3079800</v>
      </c>
      <c r="G111" s="77">
        <f t="shared" si="43"/>
        <v>154200</v>
      </c>
      <c r="H111" s="77">
        <f t="shared" si="43"/>
        <v>0</v>
      </c>
      <c r="I111" s="77">
        <f t="shared" si="43"/>
        <v>123112097.97</v>
      </c>
      <c r="J111" s="77">
        <f t="shared" si="43"/>
        <v>3074418.38</v>
      </c>
      <c r="K111" s="77">
        <f t="shared" si="43"/>
        <v>131904.78</v>
      </c>
      <c r="L111" s="136">
        <f t="shared" si="39"/>
        <v>96.896288674082555</v>
      </c>
      <c r="M111" s="77">
        <f t="shared" si="43"/>
        <v>110740406</v>
      </c>
      <c r="N111" s="77">
        <f t="shared" si="43"/>
        <v>110740406</v>
      </c>
      <c r="O111" s="77">
        <f t="shared" si="43"/>
        <v>0</v>
      </c>
      <c r="P111" s="77">
        <f t="shared" si="43"/>
        <v>0</v>
      </c>
      <c r="Q111" s="77">
        <f t="shared" si="43"/>
        <v>0</v>
      </c>
      <c r="R111" s="77">
        <f t="shared" si="43"/>
        <v>110740406</v>
      </c>
      <c r="S111" s="77">
        <f t="shared" si="43"/>
        <v>96827569.870000005</v>
      </c>
      <c r="T111" s="77">
        <f t="shared" si="43"/>
        <v>95642137.239999995</v>
      </c>
      <c r="U111" s="77">
        <f t="shared" si="43"/>
        <v>1185432.6299999999</v>
      </c>
      <c r="V111" s="77">
        <f t="shared" si="43"/>
        <v>0</v>
      </c>
      <c r="W111" s="77">
        <f t="shared" si="43"/>
        <v>0</v>
      </c>
      <c r="X111" s="77">
        <f t="shared" si="43"/>
        <v>95642137.239999995</v>
      </c>
      <c r="Y111" s="136">
        <f t="shared" si="41"/>
        <v>87.436531404806303</v>
      </c>
      <c r="Z111" s="77">
        <f t="shared" si="40"/>
        <v>219939667.84</v>
      </c>
      <c r="AA111" s="77">
        <f t="shared" si="42"/>
        <v>237795941</v>
      </c>
      <c r="AB111" s="221"/>
      <c r="AC111" s="220"/>
      <c r="AD111" s="196">
        <f>D111+M111</f>
        <v>237795941</v>
      </c>
      <c r="AF111" s="73">
        <f>Z111/AD111*100</f>
        <v>92.49092600785815</v>
      </c>
    </row>
    <row r="112" spans="1:32" s="85" customFormat="1" ht="36.75" customHeight="1" x14ac:dyDescent="0.25">
      <c r="A112" s="84"/>
      <c r="B112" s="40"/>
      <c r="C112" s="19" t="str">
        <f>C134</f>
        <v>субвенції з державного бюджету місцевим бюджетам на облаштування безпечних умов у закладах охорони здоров'я</v>
      </c>
      <c r="D112" s="78">
        <f t="shared" ref="D112:AA112" si="44">D134</f>
        <v>0</v>
      </c>
      <c r="E112" s="78">
        <f t="shared" ref="E112:X112" si="45">E134</f>
        <v>0</v>
      </c>
      <c r="F112" s="78">
        <f t="shared" si="45"/>
        <v>0</v>
      </c>
      <c r="G112" s="78">
        <f t="shared" si="45"/>
        <v>0</v>
      </c>
      <c r="H112" s="78">
        <f t="shared" si="45"/>
        <v>0</v>
      </c>
      <c r="I112" s="78">
        <f t="shared" si="45"/>
        <v>0</v>
      </c>
      <c r="J112" s="78">
        <f t="shared" si="45"/>
        <v>0</v>
      </c>
      <c r="K112" s="78">
        <f t="shared" si="45"/>
        <v>0</v>
      </c>
      <c r="L112" s="178"/>
      <c r="M112" s="78">
        <f t="shared" si="45"/>
        <v>31936617</v>
      </c>
      <c r="N112" s="78">
        <f t="shared" si="45"/>
        <v>31936617</v>
      </c>
      <c r="O112" s="78">
        <f t="shared" si="45"/>
        <v>0</v>
      </c>
      <c r="P112" s="78">
        <f t="shared" si="45"/>
        <v>0</v>
      </c>
      <c r="Q112" s="78">
        <f t="shared" si="45"/>
        <v>0</v>
      </c>
      <c r="R112" s="78">
        <f t="shared" si="45"/>
        <v>31936617</v>
      </c>
      <c r="S112" s="78">
        <f t="shared" si="45"/>
        <v>21578844.859999999</v>
      </c>
      <c r="T112" s="78">
        <f t="shared" si="45"/>
        <v>21578844.859999999</v>
      </c>
      <c r="U112" s="78">
        <f t="shared" si="45"/>
        <v>0</v>
      </c>
      <c r="V112" s="78">
        <f t="shared" si="45"/>
        <v>0</v>
      </c>
      <c r="W112" s="78">
        <f t="shared" si="45"/>
        <v>0</v>
      </c>
      <c r="X112" s="78">
        <f t="shared" si="45"/>
        <v>21578844.859999999</v>
      </c>
      <c r="Y112" s="178">
        <f t="shared" si="41"/>
        <v>67.567722843029983</v>
      </c>
      <c r="Z112" s="78">
        <f t="shared" si="40"/>
        <v>21578844.859999999</v>
      </c>
      <c r="AA112" s="78">
        <f t="shared" si="44"/>
        <v>31936617</v>
      </c>
      <c r="AB112" s="221"/>
      <c r="AC112" s="220"/>
    </row>
    <row r="113" spans="1:29" s="85" customFormat="1" ht="94.5" x14ac:dyDescent="0.25">
      <c r="A113" s="84"/>
      <c r="B113" s="40"/>
      <c r="C113" s="54" t="s">
        <v>618</v>
      </c>
      <c r="D113" s="78">
        <f>D116+D132</f>
        <v>1788294</v>
      </c>
      <c r="E113" s="78">
        <f t="shared" ref="E113:X113" si="46">E116+E132</f>
        <v>1788294</v>
      </c>
      <c r="F113" s="78">
        <f t="shared" si="46"/>
        <v>0</v>
      </c>
      <c r="G113" s="78">
        <f t="shared" si="46"/>
        <v>0</v>
      </c>
      <c r="H113" s="78">
        <f t="shared" si="46"/>
        <v>0</v>
      </c>
      <c r="I113" s="78">
        <f t="shared" si="46"/>
        <v>1760140.42</v>
      </c>
      <c r="J113" s="78">
        <f t="shared" si="46"/>
        <v>0</v>
      </c>
      <c r="K113" s="78">
        <f t="shared" si="46"/>
        <v>0</v>
      </c>
      <c r="L113" s="178">
        <f t="shared" si="39"/>
        <v>98.425673854522799</v>
      </c>
      <c r="M113" s="78">
        <f t="shared" si="46"/>
        <v>1764776</v>
      </c>
      <c r="N113" s="78">
        <f t="shared" si="46"/>
        <v>1764776</v>
      </c>
      <c r="O113" s="78">
        <f t="shared" si="46"/>
        <v>0</v>
      </c>
      <c r="P113" s="78">
        <f t="shared" si="46"/>
        <v>0</v>
      </c>
      <c r="Q113" s="78">
        <f t="shared" si="46"/>
        <v>0</v>
      </c>
      <c r="R113" s="78">
        <f t="shared" si="46"/>
        <v>1764776</v>
      </c>
      <c r="S113" s="78">
        <f t="shared" si="46"/>
        <v>1764776</v>
      </c>
      <c r="T113" s="78">
        <f t="shared" si="46"/>
        <v>1764776</v>
      </c>
      <c r="U113" s="78">
        <f t="shared" si="46"/>
        <v>0</v>
      </c>
      <c r="V113" s="78">
        <f t="shared" si="46"/>
        <v>0</v>
      </c>
      <c r="W113" s="78">
        <f t="shared" si="46"/>
        <v>0</v>
      </c>
      <c r="X113" s="78">
        <f t="shared" si="46"/>
        <v>1764776</v>
      </c>
      <c r="Y113" s="178">
        <f t="shared" si="41"/>
        <v>100</v>
      </c>
      <c r="Z113" s="78">
        <f t="shared" si="40"/>
        <v>3524916.42</v>
      </c>
      <c r="AA113" s="78">
        <f t="shared" ref="AA113" si="47">AA116+AA132</f>
        <v>3553070</v>
      </c>
      <c r="AB113" s="221"/>
      <c r="AC113" s="220"/>
    </row>
    <row r="114" spans="1:29" s="108" customFormat="1" x14ac:dyDescent="0.25">
      <c r="A114" s="84"/>
      <c r="B114" s="40"/>
      <c r="C114" s="54" t="s">
        <v>379</v>
      </c>
      <c r="D114" s="78">
        <f>D117</f>
        <v>300000</v>
      </c>
      <c r="E114" s="78">
        <f t="shared" ref="E114:X114" si="48">E117</f>
        <v>300000</v>
      </c>
      <c r="F114" s="78">
        <f t="shared" si="48"/>
        <v>0</v>
      </c>
      <c r="G114" s="78">
        <f t="shared" si="48"/>
        <v>0</v>
      </c>
      <c r="H114" s="78">
        <f t="shared" si="48"/>
        <v>0</v>
      </c>
      <c r="I114" s="78">
        <f t="shared" si="48"/>
        <v>299999.95</v>
      </c>
      <c r="J114" s="78">
        <f t="shared" si="48"/>
        <v>0</v>
      </c>
      <c r="K114" s="78">
        <f t="shared" si="48"/>
        <v>0</v>
      </c>
      <c r="L114" s="178">
        <f t="shared" si="39"/>
        <v>99.999983333333347</v>
      </c>
      <c r="M114" s="78">
        <f t="shared" si="48"/>
        <v>100000</v>
      </c>
      <c r="N114" s="78">
        <f t="shared" si="48"/>
        <v>100000</v>
      </c>
      <c r="O114" s="78">
        <f t="shared" si="48"/>
        <v>0</v>
      </c>
      <c r="P114" s="78">
        <f t="shared" si="48"/>
        <v>0</v>
      </c>
      <c r="Q114" s="78">
        <f t="shared" si="48"/>
        <v>0</v>
      </c>
      <c r="R114" s="78">
        <f t="shared" si="48"/>
        <v>100000</v>
      </c>
      <c r="S114" s="78">
        <f t="shared" si="48"/>
        <v>100000</v>
      </c>
      <c r="T114" s="78">
        <f t="shared" si="48"/>
        <v>100000</v>
      </c>
      <c r="U114" s="78">
        <f t="shared" si="48"/>
        <v>0</v>
      </c>
      <c r="V114" s="78">
        <f t="shared" si="48"/>
        <v>0</v>
      </c>
      <c r="W114" s="78">
        <f t="shared" si="48"/>
        <v>0</v>
      </c>
      <c r="X114" s="78">
        <f t="shared" si="48"/>
        <v>100000</v>
      </c>
      <c r="Y114" s="178">
        <f t="shared" si="41"/>
        <v>100</v>
      </c>
      <c r="Z114" s="78">
        <f t="shared" si="40"/>
        <v>399999.95</v>
      </c>
      <c r="AA114" s="78">
        <f t="shared" ref="AA114" si="49">AA117</f>
        <v>400000</v>
      </c>
      <c r="AB114" s="221"/>
      <c r="AC114" s="220"/>
    </row>
    <row r="115" spans="1:29" ht="33" customHeight="1" x14ac:dyDescent="0.25">
      <c r="A115" s="45" t="s">
        <v>58</v>
      </c>
      <c r="B115" s="45" t="s">
        <v>59</v>
      </c>
      <c r="C115" s="35" t="s">
        <v>704</v>
      </c>
      <c r="D115" s="79">
        <f>'дод 2'!E190+'дод 2'!E392</f>
        <v>74243095</v>
      </c>
      <c r="E115" s="79">
        <f>'дод 2'!F190+'дод 2'!F392</f>
        <v>74243095</v>
      </c>
      <c r="F115" s="79">
        <f>'дод 2'!G190+'дод 2'!G392</f>
        <v>0</v>
      </c>
      <c r="G115" s="79">
        <f>'дод 2'!H190+'дод 2'!H392</f>
        <v>0</v>
      </c>
      <c r="H115" s="79">
        <f>'дод 2'!I190+'дод 2'!I392</f>
        <v>0</v>
      </c>
      <c r="I115" s="79">
        <f>'дод 2'!J190+'дод 2'!J392</f>
        <v>72544409.719999999</v>
      </c>
      <c r="J115" s="79">
        <f>'дод 2'!K190+'дод 2'!K392</f>
        <v>0</v>
      </c>
      <c r="K115" s="79">
        <f>'дод 2'!L190+'дод 2'!L392</f>
        <v>0</v>
      </c>
      <c r="L115" s="179">
        <f t="shared" si="39"/>
        <v>97.711995600398922</v>
      </c>
      <c r="M115" s="79">
        <f>'дод 2'!N190+'дод 2'!N392</f>
        <v>17748187</v>
      </c>
      <c r="N115" s="79">
        <f>'дод 2'!O190+'дод 2'!O392</f>
        <v>17748187</v>
      </c>
      <c r="O115" s="79">
        <f>'дод 2'!P190+'дод 2'!P392</f>
        <v>0</v>
      </c>
      <c r="P115" s="79">
        <f>'дод 2'!Q190+'дод 2'!Q392</f>
        <v>0</v>
      </c>
      <c r="Q115" s="79">
        <f>'дод 2'!R190+'дод 2'!R392</f>
        <v>0</v>
      </c>
      <c r="R115" s="79">
        <f>'дод 2'!S190+'дод 2'!S392</f>
        <v>17748187</v>
      </c>
      <c r="S115" s="79">
        <f>'дод 2'!T190+'дод 2'!T392</f>
        <v>13177090</v>
      </c>
      <c r="T115" s="79">
        <f>'дод 2'!U190+'дод 2'!U392</f>
        <v>13177090</v>
      </c>
      <c r="U115" s="79">
        <f>'дод 2'!V190+'дод 2'!V392</f>
        <v>0</v>
      </c>
      <c r="V115" s="79">
        <f>'дод 2'!W190+'дод 2'!W392</f>
        <v>0</v>
      </c>
      <c r="W115" s="79">
        <f>'дод 2'!X190+'дод 2'!X392</f>
        <v>0</v>
      </c>
      <c r="X115" s="79">
        <f>'дод 2'!Y190+'дод 2'!Y392</f>
        <v>13177090</v>
      </c>
      <c r="Y115" s="179">
        <f t="shared" si="41"/>
        <v>74.244710178002975</v>
      </c>
      <c r="Z115" s="79">
        <f t="shared" si="40"/>
        <v>85721499.719999999</v>
      </c>
      <c r="AA115" s="79">
        <f>'дод 2'!AB190+'дод 2'!AB392</f>
        <v>91991282</v>
      </c>
      <c r="AB115" s="221"/>
      <c r="AC115" s="220"/>
    </row>
    <row r="116" spans="1:29" s="82" customFormat="1" ht="94.5" x14ac:dyDescent="0.25">
      <c r="A116" s="81"/>
      <c r="B116" s="81"/>
      <c r="C116" s="48" t="s">
        <v>618</v>
      </c>
      <c r="D116" s="80">
        <f>'дод 2'!E191</f>
        <v>1788294</v>
      </c>
      <c r="E116" s="80">
        <f>'дод 2'!F191</f>
        <v>1788294</v>
      </c>
      <c r="F116" s="80">
        <f>'дод 2'!G191</f>
        <v>0</v>
      </c>
      <c r="G116" s="80">
        <f>'дод 2'!H191</f>
        <v>0</v>
      </c>
      <c r="H116" s="80">
        <f>'дод 2'!I191</f>
        <v>0</v>
      </c>
      <c r="I116" s="80">
        <f>'дод 2'!J191</f>
        <v>1760140.42</v>
      </c>
      <c r="J116" s="80">
        <f>'дод 2'!K191</f>
        <v>0</v>
      </c>
      <c r="K116" s="80">
        <f>'дод 2'!L191</f>
        <v>0</v>
      </c>
      <c r="L116" s="180">
        <f t="shared" si="39"/>
        <v>98.425673854522799</v>
      </c>
      <c r="M116" s="80">
        <f>'дод 2'!N191</f>
        <v>943800</v>
      </c>
      <c r="N116" s="80">
        <f>'дод 2'!O191</f>
        <v>943800</v>
      </c>
      <c r="O116" s="80">
        <f>'дод 2'!P191</f>
        <v>0</v>
      </c>
      <c r="P116" s="80">
        <f>'дод 2'!Q191</f>
        <v>0</v>
      </c>
      <c r="Q116" s="80">
        <f>'дод 2'!R191</f>
        <v>0</v>
      </c>
      <c r="R116" s="80">
        <f>'дод 2'!S191</f>
        <v>943800</v>
      </c>
      <c r="S116" s="80">
        <f>'дод 2'!T191</f>
        <v>943800</v>
      </c>
      <c r="T116" s="80">
        <f>'дод 2'!U191</f>
        <v>943800</v>
      </c>
      <c r="U116" s="80">
        <f>'дод 2'!V191</f>
        <v>0</v>
      </c>
      <c r="V116" s="80">
        <f>'дод 2'!W191</f>
        <v>0</v>
      </c>
      <c r="W116" s="80">
        <f>'дод 2'!X191</f>
        <v>0</v>
      </c>
      <c r="X116" s="80">
        <f>'дод 2'!Y191</f>
        <v>943800</v>
      </c>
      <c r="Y116" s="180">
        <f t="shared" si="41"/>
        <v>100</v>
      </c>
      <c r="Z116" s="80">
        <f t="shared" si="40"/>
        <v>2703940.42</v>
      </c>
      <c r="AA116" s="80">
        <f>'дод 2'!AB191</f>
        <v>2732094</v>
      </c>
      <c r="AB116" s="221"/>
      <c r="AC116" s="220"/>
    </row>
    <row r="117" spans="1:29" s="107" customFormat="1" x14ac:dyDescent="0.25">
      <c r="A117" s="81"/>
      <c r="B117" s="81"/>
      <c r="C117" s="48" t="s">
        <v>379</v>
      </c>
      <c r="D117" s="80">
        <f>'дод 2'!E192</f>
        <v>300000</v>
      </c>
      <c r="E117" s="80">
        <f>'дод 2'!F192</f>
        <v>300000</v>
      </c>
      <c r="F117" s="80">
        <f>'дод 2'!G192</f>
        <v>0</v>
      </c>
      <c r="G117" s="80">
        <f>'дод 2'!H192</f>
        <v>0</v>
      </c>
      <c r="H117" s="80">
        <f>'дод 2'!I192</f>
        <v>0</v>
      </c>
      <c r="I117" s="80">
        <f>'дод 2'!J192</f>
        <v>299999.95</v>
      </c>
      <c r="J117" s="80">
        <f>'дод 2'!K192</f>
        <v>0</v>
      </c>
      <c r="K117" s="80">
        <f>'дод 2'!L192</f>
        <v>0</v>
      </c>
      <c r="L117" s="180">
        <f t="shared" si="39"/>
        <v>99.999983333333347</v>
      </c>
      <c r="M117" s="80">
        <f>'дод 2'!N192</f>
        <v>100000</v>
      </c>
      <c r="N117" s="80">
        <f>'дод 2'!O192</f>
        <v>100000</v>
      </c>
      <c r="O117" s="80">
        <f>'дод 2'!P192</f>
        <v>0</v>
      </c>
      <c r="P117" s="80">
        <f>'дод 2'!Q192</f>
        <v>0</v>
      </c>
      <c r="Q117" s="80">
        <f>'дод 2'!R192</f>
        <v>0</v>
      </c>
      <c r="R117" s="80">
        <f>'дод 2'!S192</f>
        <v>100000</v>
      </c>
      <c r="S117" s="80">
        <f>'дод 2'!T192</f>
        <v>100000</v>
      </c>
      <c r="T117" s="80">
        <f>'дод 2'!U192</f>
        <v>100000</v>
      </c>
      <c r="U117" s="80">
        <f>'дод 2'!V192</f>
        <v>0</v>
      </c>
      <c r="V117" s="80">
        <f>'дод 2'!W192</f>
        <v>0</v>
      </c>
      <c r="W117" s="80">
        <f>'дод 2'!X192</f>
        <v>0</v>
      </c>
      <c r="X117" s="80">
        <f>'дод 2'!Y192</f>
        <v>100000</v>
      </c>
      <c r="Y117" s="180">
        <f t="shared" si="41"/>
        <v>100</v>
      </c>
      <c r="Z117" s="80">
        <f t="shared" si="40"/>
        <v>399999.95</v>
      </c>
      <c r="AA117" s="80">
        <f>'дод 2'!AB192</f>
        <v>400000</v>
      </c>
      <c r="AB117" s="221"/>
      <c r="AC117" s="220"/>
    </row>
    <row r="118" spans="1:29" ht="31.5" hidden="1" customHeight="1" x14ac:dyDescent="0.25">
      <c r="A118" s="45">
        <v>2020</v>
      </c>
      <c r="B118" s="34" t="s">
        <v>420</v>
      </c>
      <c r="C118" s="35" t="s">
        <v>421</v>
      </c>
      <c r="D118" s="79">
        <f>'дод 2'!E193</f>
        <v>0</v>
      </c>
      <c r="E118" s="79">
        <f>'дод 2'!F193</f>
        <v>0</v>
      </c>
      <c r="F118" s="79">
        <f>'дод 2'!G193</f>
        <v>0</v>
      </c>
      <c r="G118" s="79">
        <f>'дод 2'!H193</f>
        <v>0</v>
      </c>
      <c r="H118" s="79">
        <f>'дод 2'!I193</f>
        <v>0</v>
      </c>
      <c r="I118" s="79">
        <f>'дод 2'!J193</f>
        <v>0</v>
      </c>
      <c r="J118" s="79">
        <f>'дод 2'!K193</f>
        <v>0</v>
      </c>
      <c r="K118" s="79">
        <f>'дод 2'!L193</f>
        <v>0</v>
      </c>
      <c r="L118" s="179" t="e">
        <f t="shared" si="39"/>
        <v>#DIV/0!</v>
      </c>
      <c r="M118" s="79">
        <f>'дод 2'!N193</f>
        <v>0</v>
      </c>
      <c r="N118" s="79">
        <f>'дод 2'!O193</f>
        <v>0</v>
      </c>
      <c r="O118" s="79">
        <f>'дод 2'!P193</f>
        <v>0</v>
      </c>
      <c r="P118" s="79">
        <f>'дод 2'!Q193</f>
        <v>0</v>
      </c>
      <c r="Q118" s="79">
        <f>'дод 2'!R193</f>
        <v>0</v>
      </c>
      <c r="R118" s="79">
        <f>'дод 2'!S193</f>
        <v>0</v>
      </c>
      <c r="S118" s="79">
        <f>'дод 2'!T193</f>
        <v>0</v>
      </c>
      <c r="T118" s="79">
        <f>'дод 2'!U193</f>
        <v>0</v>
      </c>
      <c r="U118" s="79">
        <f>'дод 2'!V193</f>
        <v>0</v>
      </c>
      <c r="V118" s="79">
        <f>'дод 2'!W193</f>
        <v>0</v>
      </c>
      <c r="W118" s="79">
        <f>'дод 2'!X193</f>
        <v>0</v>
      </c>
      <c r="X118" s="79">
        <f>'дод 2'!Y193</f>
        <v>0</v>
      </c>
      <c r="Y118" s="179" t="e">
        <f t="shared" si="41"/>
        <v>#DIV/0!</v>
      </c>
      <c r="Z118" s="79">
        <f t="shared" si="40"/>
        <v>0</v>
      </c>
      <c r="AA118" s="79">
        <f>'дод 2'!AB193</f>
        <v>0</v>
      </c>
      <c r="AB118" s="221"/>
      <c r="AC118" s="220"/>
    </row>
    <row r="119" spans="1:29" ht="36.75" customHeight="1" x14ac:dyDescent="0.25">
      <c r="A119" s="45" t="s">
        <v>115</v>
      </c>
      <c r="B119" s="45" t="s">
        <v>60</v>
      </c>
      <c r="C119" s="35" t="s">
        <v>434</v>
      </c>
      <c r="D119" s="79">
        <f>'дод 2'!E194</f>
        <v>6012400</v>
      </c>
      <c r="E119" s="79">
        <f>'дод 2'!F194</f>
        <v>6012400</v>
      </c>
      <c r="F119" s="79">
        <f>'дод 2'!G194</f>
        <v>0</v>
      </c>
      <c r="G119" s="79">
        <f>'дод 2'!H194</f>
        <v>0</v>
      </c>
      <c r="H119" s="79">
        <f>'дод 2'!I194</f>
        <v>0</v>
      </c>
      <c r="I119" s="79">
        <f>'дод 2'!J194</f>
        <v>5140397.79</v>
      </c>
      <c r="J119" s="79">
        <f>'дод 2'!K194</f>
        <v>0</v>
      </c>
      <c r="K119" s="79">
        <f>'дод 2'!L194</f>
        <v>0</v>
      </c>
      <c r="L119" s="179">
        <f t="shared" si="39"/>
        <v>85.496603519393261</v>
      </c>
      <c r="M119" s="79">
        <f>'дод 2'!N194</f>
        <v>0</v>
      </c>
      <c r="N119" s="79">
        <f>'дод 2'!O194</f>
        <v>0</v>
      </c>
      <c r="O119" s="79">
        <f>'дод 2'!P194</f>
        <v>0</v>
      </c>
      <c r="P119" s="79">
        <f>'дод 2'!Q194</f>
        <v>0</v>
      </c>
      <c r="Q119" s="79">
        <f>'дод 2'!R194</f>
        <v>0</v>
      </c>
      <c r="R119" s="79">
        <f>'дод 2'!S194</f>
        <v>0</v>
      </c>
      <c r="S119" s="79">
        <f>'дод 2'!T194</f>
        <v>0</v>
      </c>
      <c r="T119" s="79">
        <f>'дод 2'!U194</f>
        <v>0</v>
      </c>
      <c r="U119" s="79">
        <f>'дод 2'!V194</f>
        <v>0</v>
      </c>
      <c r="V119" s="79">
        <f>'дод 2'!W194</f>
        <v>0</v>
      </c>
      <c r="W119" s="79">
        <f>'дод 2'!X194</f>
        <v>0</v>
      </c>
      <c r="X119" s="79">
        <f>'дод 2'!Y194</f>
        <v>0</v>
      </c>
      <c r="Y119" s="179"/>
      <c r="Z119" s="79">
        <f t="shared" si="40"/>
        <v>5140397.79</v>
      </c>
      <c r="AA119" s="79">
        <f>'дод 2'!AB194</f>
        <v>6012400</v>
      </c>
      <c r="AB119" s="221">
        <v>5</v>
      </c>
      <c r="AC119" s="220"/>
    </row>
    <row r="120" spans="1:29" s="82" customFormat="1" ht="31.5" hidden="1" customHeight="1" x14ac:dyDescent="0.25">
      <c r="A120" s="81"/>
      <c r="B120" s="81"/>
      <c r="C120" s="48" t="s">
        <v>376</v>
      </c>
      <c r="D120" s="80">
        <f>'дод 2'!E195</f>
        <v>0</v>
      </c>
      <c r="E120" s="80">
        <f>'дод 2'!F195</f>
        <v>0</v>
      </c>
      <c r="F120" s="80">
        <f>'дод 2'!G195</f>
        <v>0</v>
      </c>
      <c r="G120" s="80">
        <f>'дод 2'!H195</f>
        <v>0</v>
      </c>
      <c r="H120" s="80">
        <f>'дод 2'!I195</f>
        <v>0</v>
      </c>
      <c r="I120" s="80">
        <f>'дод 2'!J195</f>
        <v>0</v>
      </c>
      <c r="J120" s="80">
        <f>'дод 2'!K195</f>
        <v>0</v>
      </c>
      <c r="K120" s="80">
        <f>'дод 2'!L195</f>
        <v>0</v>
      </c>
      <c r="L120" s="180" t="e">
        <f t="shared" si="39"/>
        <v>#DIV/0!</v>
      </c>
      <c r="M120" s="80">
        <f>'дод 2'!N195</f>
        <v>0</v>
      </c>
      <c r="N120" s="80">
        <f>'дод 2'!O195</f>
        <v>0</v>
      </c>
      <c r="O120" s="80">
        <f>'дод 2'!P195</f>
        <v>0</v>
      </c>
      <c r="P120" s="80">
        <f>'дод 2'!Q195</f>
        <v>0</v>
      </c>
      <c r="Q120" s="80">
        <f>'дод 2'!R195</f>
        <v>0</v>
      </c>
      <c r="R120" s="80">
        <f>'дод 2'!S195</f>
        <v>0</v>
      </c>
      <c r="S120" s="80">
        <f>'дод 2'!T195</f>
        <v>0</v>
      </c>
      <c r="T120" s="80">
        <f>'дод 2'!U195</f>
        <v>0</v>
      </c>
      <c r="U120" s="80">
        <f>'дод 2'!V195</f>
        <v>0</v>
      </c>
      <c r="V120" s="80">
        <f>'дод 2'!W195</f>
        <v>0</v>
      </c>
      <c r="W120" s="80">
        <f>'дод 2'!X195</f>
        <v>0</v>
      </c>
      <c r="X120" s="80">
        <f>'дод 2'!Y195</f>
        <v>0</v>
      </c>
      <c r="Y120" s="180"/>
      <c r="Z120" s="80">
        <f t="shared" si="40"/>
        <v>0</v>
      </c>
      <c r="AA120" s="80">
        <f>'дод 2'!AB195</f>
        <v>0</v>
      </c>
      <c r="AB120" s="221"/>
      <c r="AC120" s="220"/>
    </row>
    <row r="121" spans="1:29" ht="24" hidden="1" customHeight="1" x14ac:dyDescent="0.25">
      <c r="A121" s="45">
        <v>2070</v>
      </c>
      <c r="B121" s="45" t="s">
        <v>559</v>
      </c>
      <c r="C121" s="35" t="s">
        <v>560</v>
      </c>
      <c r="D121" s="79">
        <f>'дод 2'!E196</f>
        <v>0</v>
      </c>
      <c r="E121" s="79">
        <f>'дод 2'!F196</f>
        <v>0</v>
      </c>
      <c r="F121" s="79">
        <f>'дод 2'!G196</f>
        <v>0</v>
      </c>
      <c r="G121" s="79">
        <f>'дод 2'!H196</f>
        <v>0</v>
      </c>
      <c r="H121" s="79">
        <f>'дод 2'!I196</f>
        <v>0</v>
      </c>
      <c r="I121" s="79">
        <f>'дод 2'!J196</f>
        <v>0</v>
      </c>
      <c r="J121" s="79">
        <f>'дод 2'!K196</f>
        <v>0</v>
      </c>
      <c r="K121" s="79">
        <f>'дод 2'!L196</f>
        <v>0</v>
      </c>
      <c r="L121" s="179" t="e">
        <f t="shared" si="39"/>
        <v>#DIV/0!</v>
      </c>
      <c r="M121" s="79">
        <f>'дод 2'!N196</f>
        <v>0</v>
      </c>
      <c r="N121" s="79">
        <f>'дод 2'!O196</f>
        <v>0</v>
      </c>
      <c r="O121" s="79">
        <f>'дод 2'!P196</f>
        <v>0</v>
      </c>
      <c r="P121" s="79">
        <f>'дод 2'!Q196</f>
        <v>0</v>
      </c>
      <c r="Q121" s="79">
        <f>'дод 2'!R196</f>
        <v>0</v>
      </c>
      <c r="R121" s="79">
        <f>'дод 2'!S196</f>
        <v>0</v>
      </c>
      <c r="S121" s="79">
        <f>'дод 2'!T196</f>
        <v>0</v>
      </c>
      <c r="T121" s="79">
        <f>'дод 2'!U196</f>
        <v>0</v>
      </c>
      <c r="U121" s="79">
        <f>'дод 2'!V196</f>
        <v>0</v>
      </c>
      <c r="V121" s="79">
        <f>'дод 2'!W196</f>
        <v>0</v>
      </c>
      <c r="W121" s="79">
        <f>'дод 2'!X196</f>
        <v>0</v>
      </c>
      <c r="X121" s="79">
        <f>'дод 2'!Y196</f>
        <v>0</v>
      </c>
      <c r="Y121" s="179"/>
      <c r="Z121" s="79">
        <f t="shared" si="40"/>
        <v>0</v>
      </c>
      <c r="AA121" s="79">
        <f>'дод 2'!AB196</f>
        <v>0</v>
      </c>
      <c r="AB121" s="221"/>
      <c r="AC121" s="220"/>
    </row>
    <row r="122" spans="1:29" ht="19.5" customHeight="1" x14ac:dyDescent="0.25">
      <c r="A122" s="45" t="s">
        <v>116</v>
      </c>
      <c r="B122" s="45" t="s">
        <v>61</v>
      </c>
      <c r="C122" s="35" t="s">
        <v>435</v>
      </c>
      <c r="D122" s="79">
        <f>'дод 2'!E197</f>
        <v>12460400</v>
      </c>
      <c r="E122" s="79">
        <f>'дод 2'!F197</f>
        <v>12460400</v>
      </c>
      <c r="F122" s="79">
        <f>'дод 2'!G197</f>
        <v>0</v>
      </c>
      <c r="G122" s="79">
        <f>'дод 2'!H197</f>
        <v>0</v>
      </c>
      <c r="H122" s="79">
        <f>'дод 2'!I197</f>
        <v>0</v>
      </c>
      <c r="I122" s="79">
        <f>'дод 2'!J197</f>
        <v>12455738.98</v>
      </c>
      <c r="J122" s="79">
        <f>'дод 2'!K197</f>
        <v>0</v>
      </c>
      <c r="K122" s="79">
        <f>'дод 2'!L197</f>
        <v>0</v>
      </c>
      <c r="L122" s="179">
        <f t="shared" si="39"/>
        <v>99.962593335687473</v>
      </c>
      <c r="M122" s="79">
        <f>'дод 2'!N197</f>
        <v>0</v>
      </c>
      <c r="N122" s="79">
        <f>'дод 2'!O197</f>
        <v>0</v>
      </c>
      <c r="O122" s="79">
        <f>'дод 2'!P197</f>
        <v>0</v>
      </c>
      <c r="P122" s="79">
        <f>'дод 2'!Q197</f>
        <v>0</v>
      </c>
      <c r="Q122" s="79">
        <f>'дод 2'!R197</f>
        <v>0</v>
      </c>
      <c r="R122" s="79">
        <f>'дод 2'!S197</f>
        <v>0</v>
      </c>
      <c r="S122" s="79">
        <f>'дод 2'!T197</f>
        <v>0</v>
      </c>
      <c r="T122" s="79">
        <f>'дод 2'!U197</f>
        <v>0</v>
      </c>
      <c r="U122" s="79">
        <f>'дод 2'!V197</f>
        <v>0</v>
      </c>
      <c r="V122" s="79">
        <f>'дод 2'!W197</f>
        <v>0</v>
      </c>
      <c r="W122" s="79">
        <f>'дод 2'!X197</f>
        <v>0</v>
      </c>
      <c r="X122" s="79">
        <f>'дод 2'!Y197</f>
        <v>0</v>
      </c>
      <c r="Y122" s="179"/>
      <c r="Z122" s="79">
        <f t="shared" si="40"/>
        <v>12455738.98</v>
      </c>
      <c r="AA122" s="79">
        <f>'дод 2'!AB197</f>
        <v>12460400</v>
      </c>
      <c r="AB122" s="221"/>
      <c r="AC122" s="220"/>
    </row>
    <row r="123" spans="1:29" s="82" customFormat="1" ht="31.5" hidden="1" customHeight="1" x14ac:dyDescent="0.25">
      <c r="A123" s="81"/>
      <c r="B123" s="81"/>
      <c r="C123" s="48" t="s">
        <v>376</v>
      </c>
      <c r="D123" s="80">
        <f>'дод 2'!E198</f>
        <v>0</v>
      </c>
      <c r="E123" s="80">
        <f>'дод 2'!F198</f>
        <v>0</v>
      </c>
      <c r="F123" s="80">
        <f>'дод 2'!G198</f>
        <v>0</v>
      </c>
      <c r="G123" s="80">
        <f>'дод 2'!H198</f>
        <v>0</v>
      </c>
      <c r="H123" s="80">
        <f>'дод 2'!I198</f>
        <v>0</v>
      </c>
      <c r="I123" s="80">
        <f>'дод 2'!J198</f>
        <v>0</v>
      </c>
      <c r="J123" s="80">
        <f>'дод 2'!K198</f>
        <v>0</v>
      </c>
      <c r="K123" s="80">
        <f>'дод 2'!L198</f>
        <v>0</v>
      </c>
      <c r="L123" s="180" t="e">
        <f t="shared" si="39"/>
        <v>#DIV/0!</v>
      </c>
      <c r="M123" s="80">
        <f>'дод 2'!N198</f>
        <v>0</v>
      </c>
      <c r="N123" s="80">
        <f>'дод 2'!O198</f>
        <v>0</v>
      </c>
      <c r="O123" s="80">
        <f>'дод 2'!P198</f>
        <v>0</v>
      </c>
      <c r="P123" s="80">
        <f>'дод 2'!Q198</f>
        <v>0</v>
      </c>
      <c r="Q123" s="80">
        <f>'дод 2'!R198</f>
        <v>0</v>
      </c>
      <c r="R123" s="80">
        <f>'дод 2'!S198</f>
        <v>0</v>
      </c>
      <c r="S123" s="80">
        <f>'дод 2'!T198</f>
        <v>0</v>
      </c>
      <c r="T123" s="80">
        <f>'дод 2'!U198</f>
        <v>0</v>
      </c>
      <c r="U123" s="80">
        <f>'дод 2'!V198</f>
        <v>0</v>
      </c>
      <c r="V123" s="80">
        <f>'дод 2'!W198</f>
        <v>0</v>
      </c>
      <c r="W123" s="80">
        <f>'дод 2'!X198</f>
        <v>0</v>
      </c>
      <c r="X123" s="80">
        <f>'дод 2'!Y198</f>
        <v>0</v>
      </c>
      <c r="Y123" s="180" t="e">
        <f t="shared" si="41"/>
        <v>#DIV/0!</v>
      </c>
      <c r="Z123" s="80">
        <f t="shared" si="40"/>
        <v>0</v>
      </c>
      <c r="AA123" s="80">
        <f>'дод 2'!AB198</f>
        <v>0</v>
      </c>
      <c r="AB123" s="221"/>
      <c r="AC123" s="220"/>
    </row>
    <row r="124" spans="1:29" ht="48.75" customHeight="1" x14ac:dyDescent="0.25">
      <c r="A124" s="45" t="s">
        <v>117</v>
      </c>
      <c r="B124" s="45" t="s">
        <v>300</v>
      </c>
      <c r="C124" s="35" t="s">
        <v>436</v>
      </c>
      <c r="D124" s="79">
        <f>'дод 2'!E199</f>
        <v>5716100</v>
      </c>
      <c r="E124" s="79">
        <f>'дод 2'!F199</f>
        <v>5716100</v>
      </c>
      <c r="F124" s="79">
        <f>'дод 2'!G199</f>
        <v>0</v>
      </c>
      <c r="G124" s="79">
        <f>'дод 2'!H199</f>
        <v>0</v>
      </c>
      <c r="H124" s="79">
        <f>'дод 2'!I199</f>
        <v>0</v>
      </c>
      <c r="I124" s="79">
        <f>'дод 2'!J199</f>
        <v>5041757.4400000004</v>
      </c>
      <c r="J124" s="79">
        <f>'дод 2'!K199</f>
        <v>0</v>
      </c>
      <c r="K124" s="79">
        <f>'дод 2'!L199</f>
        <v>0</v>
      </c>
      <c r="L124" s="179">
        <f t="shared" si="39"/>
        <v>88.202750826612558</v>
      </c>
      <c r="M124" s="79">
        <f>'дод 2'!N199</f>
        <v>1638127</v>
      </c>
      <c r="N124" s="79">
        <f>'дод 2'!O199</f>
        <v>1638127</v>
      </c>
      <c r="O124" s="79">
        <f>'дод 2'!P199</f>
        <v>0</v>
      </c>
      <c r="P124" s="79">
        <f>'дод 2'!Q199</f>
        <v>0</v>
      </c>
      <c r="Q124" s="79">
        <f>'дод 2'!R199</f>
        <v>0</v>
      </c>
      <c r="R124" s="79">
        <f>'дод 2'!S199</f>
        <v>1638127</v>
      </c>
      <c r="S124" s="79">
        <f>'дод 2'!T199</f>
        <v>1638126</v>
      </c>
      <c r="T124" s="79">
        <f>'дод 2'!U199</f>
        <v>1638126</v>
      </c>
      <c r="U124" s="79">
        <f>'дод 2'!V199</f>
        <v>0</v>
      </c>
      <c r="V124" s="79">
        <f>'дод 2'!W199</f>
        <v>0</v>
      </c>
      <c r="W124" s="79">
        <f>'дод 2'!X199</f>
        <v>0</v>
      </c>
      <c r="X124" s="79">
        <f>'дод 2'!Y199</f>
        <v>1638126</v>
      </c>
      <c r="Y124" s="179">
        <f t="shared" si="41"/>
        <v>99.999938954672004</v>
      </c>
      <c r="Z124" s="79">
        <f t="shared" si="40"/>
        <v>6679883.4400000004</v>
      </c>
      <c r="AA124" s="79">
        <f>'дод 2'!AB199</f>
        <v>7354227</v>
      </c>
      <c r="AB124" s="221"/>
      <c r="AC124" s="220"/>
    </row>
    <row r="125" spans="1:29" s="82" customFormat="1" ht="47.25" hidden="1" customHeight="1" x14ac:dyDescent="0.25">
      <c r="A125" s="81"/>
      <c r="B125" s="81"/>
      <c r="C125" s="44" t="s">
        <v>378</v>
      </c>
      <c r="D125" s="80">
        <f>'дод 2'!E200</f>
        <v>0</v>
      </c>
      <c r="E125" s="80">
        <f>'дод 2'!F200</f>
        <v>0</v>
      </c>
      <c r="F125" s="80">
        <f>'дод 2'!G200</f>
        <v>0</v>
      </c>
      <c r="G125" s="80">
        <f>'дод 2'!H200</f>
        <v>0</v>
      </c>
      <c r="H125" s="80">
        <f>'дод 2'!I200</f>
        <v>0</v>
      </c>
      <c r="I125" s="80">
        <f>'дод 2'!J200</f>
        <v>0</v>
      </c>
      <c r="J125" s="80">
        <f>'дод 2'!K200</f>
        <v>0</v>
      </c>
      <c r="K125" s="80">
        <f>'дод 2'!L200</f>
        <v>0</v>
      </c>
      <c r="L125" s="180" t="e">
        <f t="shared" si="39"/>
        <v>#DIV/0!</v>
      </c>
      <c r="M125" s="80">
        <f>'дод 2'!N200</f>
        <v>0</v>
      </c>
      <c r="N125" s="80">
        <f>'дод 2'!O200</f>
        <v>0</v>
      </c>
      <c r="O125" s="80">
        <f>'дод 2'!P200</f>
        <v>0</v>
      </c>
      <c r="P125" s="80">
        <f>'дод 2'!Q200</f>
        <v>0</v>
      </c>
      <c r="Q125" s="80">
        <f>'дод 2'!R200</f>
        <v>0</v>
      </c>
      <c r="R125" s="80">
        <f>'дод 2'!S200</f>
        <v>0</v>
      </c>
      <c r="S125" s="80">
        <f>'дод 2'!T200</f>
        <v>0</v>
      </c>
      <c r="T125" s="80">
        <f>'дод 2'!U200</f>
        <v>0</v>
      </c>
      <c r="U125" s="80">
        <f>'дод 2'!V200</f>
        <v>0</v>
      </c>
      <c r="V125" s="80">
        <f>'дод 2'!W200</f>
        <v>0</v>
      </c>
      <c r="W125" s="80">
        <f>'дод 2'!X200</f>
        <v>0</v>
      </c>
      <c r="X125" s="80">
        <f>'дод 2'!Y200</f>
        <v>0</v>
      </c>
      <c r="Y125" s="180" t="e">
        <f t="shared" si="41"/>
        <v>#DIV/0!</v>
      </c>
      <c r="Z125" s="80">
        <f t="shared" si="40"/>
        <v>0</v>
      </c>
      <c r="AA125" s="80">
        <f>'дод 2'!AB200</f>
        <v>0</v>
      </c>
      <c r="AB125" s="221"/>
    </row>
    <row r="126" spans="1:29" ht="31.5" hidden="1" customHeight="1" x14ac:dyDescent="0.25">
      <c r="A126" s="45">
        <v>2144</v>
      </c>
      <c r="B126" s="45" t="s">
        <v>62</v>
      </c>
      <c r="C126" s="35" t="s">
        <v>385</v>
      </c>
      <c r="D126" s="79">
        <f>'дод 2'!E201</f>
        <v>0</v>
      </c>
      <c r="E126" s="79">
        <f>'дод 2'!F201</f>
        <v>0</v>
      </c>
      <c r="F126" s="79">
        <f>'дод 2'!G201</f>
        <v>0</v>
      </c>
      <c r="G126" s="79">
        <f>'дод 2'!H201</f>
        <v>0</v>
      </c>
      <c r="H126" s="79">
        <f>'дод 2'!I201</f>
        <v>0</v>
      </c>
      <c r="I126" s="79">
        <f>'дод 2'!J201</f>
        <v>0</v>
      </c>
      <c r="J126" s="79">
        <f>'дод 2'!K201</f>
        <v>0</v>
      </c>
      <c r="K126" s="79">
        <f>'дод 2'!L201</f>
        <v>0</v>
      </c>
      <c r="L126" s="179" t="e">
        <f t="shared" si="39"/>
        <v>#DIV/0!</v>
      </c>
      <c r="M126" s="79">
        <f>'дод 2'!N201</f>
        <v>0</v>
      </c>
      <c r="N126" s="79">
        <f>'дод 2'!O201</f>
        <v>0</v>
      </c>
      <c r="O126" s="79">
        <f>'дод 2'!P201</f>
        <v>0</v>
      </c>
      <c r="P126" s="79">
        <f>'дод 2'!Q201</f>
        <v>0</v>
      </c>
      <c r="Q126" s="79">
        <f>'дод 2'!R201</f>
        <v>0</v>
      </c>
      <c r="R126" s="79">
        <f>'дод 2'!S201</f>
        <v>0</v>
      </c>
      <c r="S126" s="79">
        <f>'дод 2'!T201</f>
        <v>0</v>
      </c>
      <c r="T126" s="79">
        <f>'дод 2'!U201</f>
        <v>0</v>
      </c>
      <c r="U126" s="79">
        <f>'дод 2'!V201</f>
        <v>0</v>
      </c>
      <c r="V126" s="79">
        <f>'дод 2'!W201</f>
        <v>0</v>
      </c>
      <c r="W126" s="79">
        <f>'дод 2'!X201</f>
        <v>0</v>
      </c>
      <c r="X126" s="79">
        <f>'дод 2'!Y201</f>
        <v>0</v>
      </c>
      <c r="Y126" s="179" t="e">
        <f t="shared" si="41"/>
        <v>#DIV/0!</v>
      </c>
      <c r="Z126" s="79">
        <f t="shared" si="40"/>
        <v>0</v>
      </c>
      <c r="AA126" s="79">
        <f>'дод 2'!AB201</f>
        <v>0</v>
      </c>
      <c r="AB126" s="221"/>
    </row>
    <row r="127" spans="1:29" s="82" customFormat="1" ht="47.25" hidden="1" customHeight="1" x14ac:dyDescent="0.25">
      <c r="A127" s="81"/>
      <c r="B127" s="81"/>
      <c r="C127" s="48" t="s">
        <v>377</v>
      </c>
      <c r="D127" s="80">
        <f>'дод 2'!E202</f>
        <v>0</v>
      </c>
      <c r="E127" s="80">
        <f>'дод 2'!F202</f>
        <v>0</v>
      </c>
      <c r="F127" s="80">
        <f>'дод 2'!G202</f>
        <v>0</v>
      </c>
      <c r="G127" s="80">
        <f>'дод 2'!H202</f>
        <v>0</v>
      </c>
      <c r="H127" s="80">
        <f>'дод 2'!I202</f>
        <v>0</v>
      </c>
      <c r="I127" s="80">
        <f>'дод 2'!J202</f>
        <v>0</v>
      </c>
      <c r="J127" s="80">
        <f>'дод 2'!K202</f>
        <v>0</v>
      </c>
      <c r="K127" s="80">
        <f>'дод 2'!L202</f>
        <v>0</v>
      </c>
      <c r="L127" s="180" t="e">
        <f t="shared" si="39"/>
        <v>#DIV/0!</v>
      </c>
      <c r="M127" s="80">
        <f>'дод 2'!N202</f>
        <v>0</v>
      </c>
      <c r="N127" s="80">
        <f>'дод 2'!O202</f>
        <v>0</v>
      </c>
      <c r="O127" s="80">
        <f>'дод 2'!P202</f>
        <v>0</v>
      </c>
      <c r="P127" s="80">
        <f>'дод 2'!Q202</f>
        <v>0</v>
      </c>
      <c r="Q127" s="80">
        <f>'дод 2'!R202</f>
        <v>0</v>
      </c>
      <c r="R127" s="80">
        <f>'дод 2'!S202</f>
        <v>0</v>
      </c>
      <c r="S127" s="80">
        <f>'дод 2'!T202</f>
        <v>0</v>
      </c>
      <c r="T127" s="80">
        <f>'дод 2'!U202</f>
        <v>0</v>
      </c>
      <c r="U127" s="80">
        <f>'дод 2'!V202</f>
        <v>0</v>
      </c>
      <c r="V127" s="80">
        <f>'дод 2'!W202</f>
        <v>0</v>
      </c>
      <c r="W127" s="80">
        <f>'дод 2'!X202</f>
        <v>0</v>
      </c>
      <c r="X127" s="80">
        <f>'дод 2'!Y202</f>
        <v>0</v>
      </c>
      <c r="Y127" s="180" t="e">
        <f t="shared" si="41"/>
        <v>#DIV/0!</v>
      </c>
      <c r="Z127" s="80">
        <f t="shared" si="40"/>
        <v>0</v>
      </c>
      <c r="AA127" s="80">
        <f>'дод 2'!AB202</f>
        <v>0</v>
      </c>
      <c r="AB127" s="221"/>
    </row>
    <row r="128" spans="1:29" s="82" customFormat="1" ht="63" hidden="1" customHeight="1" x14ac:dyDescent="0.25">
      <c r="A128" s="81"/>
      <c r="B128" s="81"/>
      <c r="C128" s="48" t="s">
        <v>378</v>
      </c>
      <c r="D128" s="80">
        <f>'дод 2'!E203</f>
        <v>0</v>
      </c>
      <c r="E128" s="80">
        <f>'дод 2'!F203</f>
        <v>0</v>
      </c>
      <c r="F128" s="80">
        <f>'дод 2'!G203</f>
        <v>0</v>
      </c>
      <c r="G128" s="80">
        <f>'дод 2'!H203</f>
        <v>0</v>
      </c>
      <c r="H128" s="80">
        <f>'дод 2'!I203</f>
        <v>0</v>
      </c>
      <c r="I128" s="80">
        <f>'дод 2'!J203</f>
        <v>0</v>
      </c>
      <c r="J128" s="80">
        <f>'дод 2'!K203</f>
        <v>0</v>
      </c>
      <c r="K128" s="80">
        <f>'дод 2'!L203</f>
        <v>0</v>
      </c>
      <c r="L128" s="180" t="e">
        <f t="shared" si="39"/>
        <v>#DIV/0!</v>
      </c>
      <c r="M128" s="80">
        <f>'дод 2'!N203</f>
        <v>0</v>
      </c>
      <c r="N128" s="80">
        <f>'дод 2'!O203</f>
        <v>0</v>
      </c>
      <c r="O128" s="80">
        <f>'дод 2'!P203</f>
        <v>0</v>
      </c>
      <c r="P128" s="80">
        <f>'дод 2'!Q203</f>
        <v>0</v>
      </c>
      <c r="Q128" s="80">
        <f>'дод 2'!R203</f>
        <v>0</v>
      </c>
      <c r="R128" s="80">
        <f>'дод 2'!S203</f>
        <v>0</v>
      </c>
      <c r="S128" s="80">
        <f>'дод 2'!T203</f>
        <v>0</v>
      </c>
      <c r="T128" s="80">
        <f>'дод 2'!U203</f>
        <v>0</v>
      </c>
      <c r="U128" s="80">
        <f>'дод 2'!V203</f>
        <v>0</v>
      </c>
      <c r="V128" s="80">
        <f>'дод 2'!W203</f>
        <v>0</v>
      </c>
      <c r="W128" s="80">
        <f>'дод 2'!X203</f>
        <v>0</v>
      </c>
      <c r="X128" s="80">
        <f>'дод 2'!Y203</f>
        <v>0</v>
      </c>
      <c r="Y128" s="180" t="e">
        <f t="shared" si="41"/>
        <v>#DIV/0!</v>
      </c>
      <c r="Z128" s="80">
        <f t="shared" si="40"/>
        <v>0</v>
      </c>
      <c r="AA128" s="80">
        <f>'дод 2'!AB203</f>
        <v>0</v>
      </c>
      <c r="AB128" s="221"/>
    </row>
    <row r="129" spans="1:32" ht="33.75" customHeight="1" x14ac:dyDescent="0.25">
      <c r="A129" s="45" t="s">
        <v>273</v>
      </c>
      <c r="B129" s="45" t="s">
        <v>62</v>
      </c>
      <c r="C129" s="33" t="s">
        <v>544</v>
      </c>
      <c r="D129" s="79">
        <f>'дод 2'!E204</f>
        <v>4113000</v>
      </c>
      <c r="E129" s="79">
        <f>'дод 2'!F204</f>
        <v>4113000</v>
      </c>
      <c r="F129" s="79">
        <f>'дод 2'!G204</f>
        <v>3079800</v>
      </c>
      <c r="G129" s="79">
        <f>'дод 2'!H204</f>
        <v>154200</v>
      </c>
      <c r="H129" s="79">
        <f>'дод 2'!I204</f>
        <v>0</v>
      </c>
      <c r="I129" s="79">
        <f>'дод 2'!J204</f>
        <v>4052325.21</v>
      </c>
      <c r="J129" s="79">
        <f>'дод 2'!K204</f>
        <v>3074418.38</v>
      </c>
      <c r="K129" s="79">
        <f>'дод 2'!L204</f>
        <v>131904.78</v>
      </c>
      <c r="L129" s="179">
        <f t="shared" si="39"/>
        <v>98.524804522246541</v>
      </c>
      <c r="M129" s="79">
        <f>'дод 2'!N204</f>
        <v>0</v>
      </c>
      <c r="N129" s="79">
        <f>'дод 2'!O204</f>
        <v>0</v>
      </c>
      <c r="O129" s="79">
        <f>'дод 2'!P204</f>
        <v>0</v>
      </c>
      <c r="P129" s="79">
        <f>'дод 2'!Q204</f>
        <v>0</v>
      </c>
      <c r="Q129" s="79">
        <f>'дод 2'!R204</f>
        <v>0</v>
      </c>
      <c r="R129" s="79">
        <f>'дод 2'!S204</f>
        <v>0</v>
      </c>
      <c r="S129" s="79">
        <f>'дод 2'!T204</f>
        <v>125</v>
      </c>
      <c r="T129" s="79">
        <f>'дод 2'!U204</f>
        <v>0</v>
      </c>
      <c r="U129" s="79">
        <f>'дод 2'!V204</f>
        <v>125</v>
      </c>
      <c r="V129" s="79">
        <f>'дод 2'!W204</f>
        <v>0</v>
      </c>
      <c r="W129" s="79">
        <f>'дод 2'!X204</f>
        <v>0</v>
      </c>
      <c r="X129" s="79">
        <f>'дод 2'!Y204</f>
        <v>0</v>
      </c>
      <c r="Y129" s="179"/>
      <c r="Z129" s="79">
        <f t="shared" si="40"/>
        <v>4052450.21</v>
      </c>
      <c r="AA129" s="79">
        <f>'дод 2'!AB204</f>
        <v>4113000</v>
      </c>
      <c r="AB129" s="221"/>
    </row>
    <row r="130" spans="1:32" ht="21.75" customHeight="1" x14ac:dyDescent="0.25">
      <c r="A130" s="45" t="s">
        <v>274</v>
      </c>
      <c r="B130" s="45" t="s">
        <v>62</v>
      </c>
      <c r="C130" s="33" t="s">
        <v>545</v>
      </c>
      <c r="D130" s="79">
        <f>'дод 2'!E205</f>
        <v>24510540</v>
      </c>
      <c r="E130" s="79">
        <f>'дод 2'!F205</f>
        <v>24510540</v>
      </c>
      <c r="F130" s="79">
        <f>'дод 2'!G205</f>
        <v>0</v>
      </c>
      <c r="G130" s="79">
        <f>'дод 2'!H205</f>
        <v>0</v>
      </c>
      <c r="H130" s="79">
        <f>'дод 2'!I205</f>
        <v>0</v>
      </c>
      <c r="I130" s="79">
        <f>'дод 2'!J205</f>
        <v>23877468.829999998</v>
      </c>
      <c r="J130" s="79">
        <f>'дод 2'!K205</f>
        <v>0</v>
      </c>
      <c r="K130" s="79">
        <f>'дод 2'!L205</f>
        <v>0</v>
      </c>
      <c r="L130" s="179">
        <f t="shared" si="39"/>
        <v>97.417147194635447</v>
      </c>
      <c r="M130" s="79">
        <f>'дод 2'!N205</f>
        <v>50000000</v>
      </c>
      <c r="N130" s="79">
        <f>'дод 2'!O205</f>
        <v>50000000</v>
      </c>
      <c r="O130" s="79">
        <f>'дод 2'!P205</f>
        <v>0</v>
      </c>
      <c r="P130" s="79">
        <f>'дод 2'!Q205</f>
        <v>0</v>
      </c>
      <c r="Q130" s="79">
        <f>'дод 2'!R205</f>
        <v>0</v>
      </c>
      <c r="R130" s="79">
        <f>'дод 2'!S205</f>
        <v>50000000</v>
      </c>
      <c r="S130" s="79">
        <f>'дод 2'!T205</f>
        <v>51185307.630000003</v>
      </c>
      <c r="T130" s="79">
        <f>'дод 2'!U205</f>
        <v>50000000</v>
      </c>
      <c r="U130" s="79">
        <f>'дод 2'!V205</f>
        <v>1185307.6299999999</v>
      </c>
      <c r="V130" s="79">
        <f>'дод 2'!W205</f>
        <v>0</v>
      </c>
      <c r="W130" s="79">
        <f>'дод 2'!X205</f>
        <v>0</v>
      </c>
      <c r="X130" s="79">
        <f>'дод 2'!Y205</f>
        <v>50000000</v>
      </c>
      <c r="Y130" s="179" t="s">
        <v>771</v>
      </c>
      <c r="Z130" s="79">
        <f t="shared" si="40"/>
        <v>75062776.460000008</v>
      </c>
      <c r="AA130" s="79">
        <f>'дод 2'!AB205</f>
        <v>74510540</v>
      </c>
      <c r="AB130" s="221"/>
    </row>
    <row r="131" spans="1:32" ht="63" x14ac:dyDescent="0.25">
      <c r="A131" s="23">
        <v>2161</v>
      </c>
      <c r="B131" s="22" t="s">
        <v>62</v>
      </c>
      <c r="C131" s="24" t="s">
        <v>731</v>
      </c>
      <c r="D131" s="79">
        <f>'дод 2'!E210</f>
        <v>0</v>
      </c>
      <c r="E131" s="79">
        <f>'дод 2'!F210</f>
        <v>0</v>
      </c>
      <c r="F131" s="79">
        <f>'дод 2'!G210</f>
        <v>0</v>
      </c>
      <c r="G131" s="79">
        <f>'дод 2'!H210</f>
        <v>0</v>
      </c>
      <c r="H131" s="79">
        <f>'дод 2'!I210</f>
        <v>0</v>
      </c>
      <c r="I131" s="79">
        <f>'дод 2'!J210</f>
        <v>0</v>
      </c>
      <c r="J131" s="79">
        <f>'дод 2'!K210</f>
        <v>0</v>
      </c>
      <c r="K131" s="79">
        <f>'дод 2'!L210</f>
        <v>0</v>
      </c>
      <c r="L131" s="179"/>
      <c r="M131" s="79">
        <f>'дод 2'!N210</f>
        <v>9417475</v>
      </c>
      <c r="N131" s="79">
        <f>'дод 2'!O210</f>
        <v>9417475</v>
      </c>
      <c r="O131" s="79">
        <f>'дод 2'!P210</f>
        <v>0</v>
      </c>
      <c r="P131" s="79">
        <f>'дод 2'!Q210</f>
        <v>0</v>
      </c>
      <c r="Q131" s="79">
        <f>'дод 2'!R210</f>
        <v>0</v>
      </c>
      <c r="R131" s="79">
        <f>'дод 2'!S210</f>
        <v>9417475</v>
      </c>
      <c r="S131" s="79">
        <f>'дод 2'!T210</f>
        <v>9248076.3800000008</v>
      </c>
      <c r="T131" s="79">
        <f>'дод 2'!U210</f>
        <v>9248076.3800000008</v>
      </c>
      <c r="U131" s="79">
        <f>'дод 2'!V210</f>
        <v>0</v>
      </c>
      <c r="V131" s="79">
        <f>'дод 2'!W210</f>
        <v>0</v>
      </c>
      <c r="W131" s="79">
        <f>'дод 2'!X210</f>
        <v>0</v>
      </c>
      <c r="X131" s="79">
        <f>'дод 2'!Y210</f>
        <v>9248076.3800000008</v>
      </c>
      <c r="Y131" s="179">
        <f t="shared" si="41"/>
        <v>98.201231009373529</v>
      </c>
      <c r="Z131" s="79">
        <f t="shared" si="40"/>
        <v>9248076.3800000008</v>
      </c>
      <c r="AA131" s="79">
        <f>'дод 2'!AB210</f>
        <v>9417475</v>
      </c>
      <c r="AB131" s="221"/>
    </row>
    <row r="132" spans="1:32" ht="94.5" x14ac:dyDescent="0.25">
      <c r="A132" s="23"/>
      <c r="B132" s="22"/>
      <c r="C132" s="48" t="s">
        <v>618</v>
      </c>
      <c r="D132" s="80">
        <f>'дод 2'!E211</f>
        <v>0</v>
      </c>
      <c r="E132" s="80">
        <f>'дод 2'!F211</f>
        <v>0</v>
      </c>
      <c r="F132" s="80">
        <f>'дод 2'!G211</f>
        <v>0</v>
      </c>
      <c r="G132" s="80">
        <f>'дод 2'!H211</f>
        <v>0</v>
      </c>
      <c r="H132" s="80">
        <f>'дод 2'!I211</f>
        <v>0</v>
      </c>
      <c r="I132" s="80">
        <f>'дод 2'!J211</f>
        <v>0</v>
      </c>
      <c r="J132" s="80">
        <f>'дод 2'!K211</f>
        <v>0</v>
      </c>
      <c r="K132" s="80">
        <f>'дод 2'!L211</f>
        <v>0</v>
      </c>
      <c r="L132" s="180"/>
      <c r="M132" s="80">
        <f>'дод 2'!N211</f>
        <v>820976</v>
      </c>
      <c r="N132" s="80">
        <f>'дод 2'!O211</f>
        <v>820976</v>
      </c>
      <c r="O132" s="80">
        <f>'дод 2'!P211</f>
        <v>0</v>
      </c>
      <c r="P132" s="80">
        <f>'дод 2'!Q211</f>
        <v>0</v>
      </c>
      <c r="Q132" s="80">
        <f>'дод 2'!R211</f>
        <v>0</v>
      </c>
      <c r="R132" s="80">
        <f>'дод 2'!S211</f>
        <v>820976</v>
      </c>
      <c r="S132" s="80">
        <f>'дод 2'!T211</f>
        <v>820976</v>
      </c>
      <c r="T132" s="80">
        <f>'дод 2'!U211</f>
        <v>820976</v>
      </c>
      <c r="U132" s="80">
        <f>'дод 2'!V211</f>
        <v>0</v>
      </c>
      <c r="V132" s="80">
        <f>'дод 2'!W211</f>
        <v>0</v>
      </c>
      <c r="W132" s="80">
        <f>'дод 2'!X211</f>
        <v>0</v>
      </c>
      <c r="X132" s="80">
        <f>'дод 2'!Y211</f>
        <v>820976</v>
      </c>
      <c r="Y132" s="180">
        <f t="shared" si="41"/>
        <v>100</v>
      </c>
      <c r="Z132" s="80">
        <f t="shared" si="40"/>
        <v>820976</v>
      </c>
      <c r="AA132" s="80">
        <f>'дод 2'!AB211</f>
        <v>820976</v>
      </c>
      <c r="AB132" s="221"/>
    </row>
    <row r="133" spans="1:32" ht="47.25" x14ac:dyDescent="0.25">
      <c r="A133" s="23">
        <v>2162</v>
      </c>
      <c r="B133" s="22" t="s">
        <v>62</v>
      </c>
      <c r="C133" s="24" t="s">
        <v>690</v>
      </c>
      <c r="D133" s="79">
        <f>'дод 2'!E212</f>
        <v>0</v>
      </c>
      <c r="E133" s="79">
        <f>'дод 2'!F212</f>
        <v>0</v>
      </c>
      <c r="F133" s="79">
        <f>'дод 2'!G212</f>
        <v>0</v>
      </c>
      <c r="G133" s="79">
        <f>'дод 2'!H212</f>
        <v>0</v>
      </c>
      <c r="H133" s="79">
        <f>'дод 2'!I212</f>
        <v>0</v>
      </c>
      <c r="I133" s="79">
        <f>'дод 2'!J212</f>
        <v>0</v>
      </c>
      <c r="J133" s="79">
        <f>'дод 2'!K212</f>
        <v>0</v>
      </c>
      <c r="K133" s="79">
        <f>'дод 2'!L212</f>
        <v>0</v>
      </c>
      <c r="L133" s="179"/>
      <c r="M133" s="79">
        <f>'дод 2'!N212</f>
        <v>31936617</v>
      </c>
      <c r="N133" s="79">
        <f>'дод 2'!O212</f>
        <v>31936617</v>
      </c>
      <c r="O133" s="79">
        <f>'дод 2'!P212</f>
        <v>0</v>
      </c>
      <c r="P133" s="79">
        <f>'дод 2'!Q212</f>
        <v>0</v>
      </c>
      <c r="Q133" s="79">
        <f>'дод 2'!R212</f>
        <v>0</v>
      </c>
      <c r="R133" s="79">
        <f>'дод 2'!S212</f>
        <v>31936617</v>
      </c>
      <c r="S133" s="79">
        <f>'дод 2'!T212</f>
        <v>21578844.859999999</v>
      </c>
      <c r="T133" s="79">
        <f>'дод 2'!U212</f>
        <v>21578844.859999999</v>
      </c>
      <c r="U133" s="79">
        <f>'дод 2'!V212</f>
        <v>0</v>
      </c>
      <c r="V133" s="79">
        <f>'дод 2'!W212</f>
        <v>0</v>
      </c>
      <c r="W133" s="79">
        <f>'дод 2'!X212</f>
        <v>0</v>
      </c>
      <c r="X133" s="79">
        <f>'дод 2'!Y212</f>
        <v>21578844.859999999</v>
      </c>
      <c r="Y133" s="179">
        <f t="shared" si="41"/>
        <v>67.567722843029983</v>
      </c>
      <c r="Z133" s="79">
        <f t="shared" si="40"/>
        <v>21578844.859999999</v>
      </c>
      <c r="AA133" s="79">
        <f>'дод 2'!AB212</f>
        <v>31936617</v>
      </c>
      <c r="AB133" s="221"/>
    </row>
    <row r="134" spans="1:32" s="82" customFormat="1" ht="31.5" x14ac:dyDescent="0.25">
      <c r="A134" s="28"/>
      <c r="B134" s="28"/>
      <c r="C134" s="29" t="s">
        <v>691</v>
      </c>
      <c r="D134" s="80">
        <f>'дод 2'!E213</f>
        <v>0</v>
      </c>
      <c r="E134" s="80">
        <f>'дод 2'!F213</f>
        <v>0</v>
      </c>
      <c r="F134" s="80">
        <f>'дод 2'!G213</f>
        <v>0</v>
      </c>
      <c r="G134" s="80">
        <f>'дод 2'!H213</f>
        <v>0</v>
      </c>
      <c r="H134" s="80">
        <f>'дод 2'!I213</f>
        <v>0</v>
      </c>
      <c r="I134" s="80">
        <f>'дод 2'!J213</f>
        <v>0</v>
      </c>
      <c r="J134" s="80">
        <f>'дод 2'!K213</f>
        <v>0</v>
      </c>
      <c r="K134" s="80">
        <f>'дод 2'!L213</f>
        <v>0</v>
      </c>
      <c r="L134" s="180"/>
      <c r="M134" s="80">
        <f>'дод 2'!N213</f>
        <v>31936617</v>
      </c>
      <c r="N134" s="80">
        <f>'дод 2'!O213</f>
        <v>31936617</v>
      </c>
      <c r="O134" s="80">
        <f>'дод 2'!P213</f>
        <v>0</v>
      </c>
      <c r="P134" s="80">
        <f>'дод 2'!Q213</f>
        <v>0</v>
      </c>
      <c r="Q134" s="80">
        <f>'дод 2'!R213</f>
        <v>0</v>
      </c>
      <c r="R134" s="80">
        <f>'дод 2'!S213</f>
        <v>31936617</v>
      </c>
      <c r="S134" s="80">
        <f>'дод 2'!T213</f>
        <v>21578844.859999999</v>
      </c>
      <c r="T134" s="80">
        <f>'дод 2'!U213</f>
        <v>21578844.859999999</v>
      </c>
      <c r="U134" s="80">
        <f>'дод 2'!V213</f>
        <v>0</v>
      </c>
      <c r="V134" s="80">
        <f>'дод 2'!W213</f>
        <v>0</v>
      </c>
      <c r="W134" s="80">
        <f>'дод 2'!X213</f>
        <v>0</v>
      </c>
      <c r="X134" s="80">
        <f>'дод 2'!Y213</f>
        <v>21578844.859999999</v>
      </c>
      <c r="Y134" s="180">
        <f t="shared" si="41"/>
        <v>67.567722843029983</v>
      </c>
      <c r="Z134" s="80">
        <f t="shared" si="40"/>
        <v>21578844.859999999</v>
      </c>
      <c r="AA134" s="80">
        <f>'дод 2'!AB213</f>
        <v>31936617</v>
      </c>
      <c r="AB134" s="221"/>
    </row>
    <row r="135" spans="1:32" s="73" customFormat="1" ht="33" customHeight="1" x14ac:dyDescent="0.25">
      <c r="A135" s="83" t="s">
        <v>63</v>
      </c>
      <c r="B135" s="87"/>
      <c r="C135" s="88" t="s">
        <v>595</v>
      </c>
      <c r="D135" s="77">
        <f>D146+D147+D148+D150+D151+D152+D154+D156+D157+D158+D159+D161+D163+D164+D167+D169+D171+D172+D173+D176+D177+D178+D180+D184+D185+D162+D182+D174</f>
        <v>428267039.13</v>
      </c>
      <c r="E135" s="77">
        <f t="shared" ref="E135:X135" si="50">E146+E147+E148+E150+E151+E152+E154+E156+E157+E158+E159+E161+E163+E164+E167+E169+E171+E172+E173+E176+E177+E178+E180+E184+E185+E162+E182+E174</f>
        <v>428267039.13</v>
      </c>
      <c r="F135" s="77">
        <f t="shared" si="50"/>
        <v>30040209</v>
      </c>
      <c r="G135" s="77">
        <f t="shared" si="50"/>
        <v>3074900</v>
      </c>
      <c r="H135" s="77">
        <f t="shared" si="50"/>
        <v>0</v>
      </c>
      <c r="I135" s="77">
        <f t="shared" si="50"/>
        <v>417611875.17999995</v>
      </c>
      <c r="J135" s="77">
        <f t="shared" si="50"/>
        <v>29753079.379999999</v>
      </c>
      <c r="K135" s="77">
        <f t="shared" si="50"/>
        <v>2370819.37</v>
      </c>
      <c r="L135" s="136">
        <f t="shared" si="39"/>
        <v>97.512028016060867</v>
      </c>
      <c r="M135" s="77">
        <f t="shared" si="50"/>
        <v>34319499.789999999</v>
      </c>
      <c r="N135" s="77">
        <f t="shared" si="50"/>
        <v>34240899.789999999</v>
      </c>
      <c r="O135" s="77">
        <f t="shared" si="50"/>
        <v>78600</v>
      </c>
      <c r="P135" s="77">
        <f t="shared" si="50"/>
        <v>56100</v>
      </c>
      <c r="Q135" s="77">
        <f t="shared" si="50"/>
        <v>3500</v>
      </c>
      <c r="R135" s="77">
        <f t="shared" si="50"/>
        <v>34240899.789999999</v>
      </c>
      <c r="S135" s="77">
        <f t="shared" si="50"/>
        <v>36891325.329999998</v>
      </c>
      <c r="T135" s="77">
        <f t="shared" si="50"/>
        <v>32125840.84</v>
      </c>
      <c r="U135" s="77">
        <f t="shared" si="50"/>
        <v>3274918.84</v>
      </c>
      <c r="V135" s="77">
        <f t="shared" si="50"/>
        <v>343805.06</v>
      </c>
      <c r="W135" s="77">
        <f t="shared" si="50"/>
        <v>5192</v>
      </c>
      <c r="X135" s="77">
        <f t="shared" si="50"/>
        <v>33616406.490000002</v>
      </c>
      <c r="Y135" s="136" t="s">
        <v>771</v>
      </c>
      <c r="Z135" s="77">
        <f t="shared" si="40"/>
        <v>454503200.50999993</v>
      </c>
      <c r="AA135" s="77">
        <f t="shared" ref="AA135" si="51">AA146+AA147+AA148+AA150+AA151+AA152+AA154+AA156+AA157+AA158+AA159+AA161+AA163+AA164+AA167+AA169+AA171+AA172+AA173+AA176+AA177+AA178+AA180+AA184+AA185+AA162+AA182+AA174</f>
        <v>462586538.92000002</v>
      </c>
      <c r="AB135" s="221"/>
      <c r="AD135" s="196">
        <f>D135+M135</f>
        <v>462586538.92000002</v>
      </c>
      <c r="AF135" s="73">
        <f>Z135/AD135*100</f>
        <v>98.252578116762265</v>
      </c>
    </row>
    <row r="136" spans="1:32" s="85" customFormat="1" ht="262.5" hidden="1" customHeight="1" x14ac:dyDescent="0.25">
      <c r="A136" s="84"/>
      <c r="B136" s="89"/>
      <c r="C136" s="54" t="s">
        <v>635</v>
      </c>
      <c r="D136" s="78">
        <f>D179</f>
        <v>0</v>
      </c>
      <c r="E136" s="78">
        <f t="shared" ref="E136:X136" si="52">E179</f>
        <v>0</v>
      </c>
      <c r="F136" s="78">
        <f t="shared" si="52"/>
        <v>0</v>
      </c>
      <c r="G136" s="78">
        <f t="shared" si="52"/>
        <v>0</v>
      </c>
      <c r="H136" s="78">
        <f t="shared" si="52"/>
        <v>0</v>
      </c>
      <c r="I136" s="78">
        <f t="shared" si="52"/>
        <v>0</v>
      </c>
      <c r="J136" s="78">
        <f t="shared" si="52"/>
        <v>0</v>
      </c>
      <c r="K136" s="78">
        <f t="shared" si="52"/>
        <v>0</v>
      </c>
      <c r="L136" s="178" t="e">
        <f t="shared" si="39"/>
        <v>#DIV/0!</v>
      </c>
      <c r="M136" s="78">
        <f t="shared" si="52"/>
        <v>8260461.4100000001</v>
      </c>
      <c r="N136" s="78">
        <f t="shared" si="52"/>
        <v>8260461.4100000001</v>
      </c>
      <c r="O136" s="78">
        <f t="shared" si="52"/>
        <v>0</v>
      </c>
      <c r="P136" s="78">
        <f t="shared" si="52"/>
        <v>0</v>
      </c>
      <c r="Q136" s="78">
        <f t="shared" si="52"/>
        <v>0</v>
      </c>
      <c r="R136" s="78">
        <f t="shared" si="52"/>
        <v>8260461.4100000001</v>
      </c>
      <c r="S136" s="78">
        <f t="shared" si="52"/>
        <v>8260461.4100000001</v>
      </c>
      <c r="T136" s="78">
        <f t="shared" si="52"/>
        <v>8260461.4100000001</v>
      </c>
      <c r="U136" s="78">
        <f t="shared" si="52"/>
        <v>0</v>
      </c>
      <c r="V136" s="78">
        <f t="shared" si="52"/>
        <v>0</v>
      </c>
      <c r="W136" s="78">
        <f t="shared" si="52"/>
        <v>0</v>
      </c>
      <c r="X136" s="78">
        <f t="shared" si="52"/>
        <v>8260461.4100000001</v>
      </c>
      <c r="Y136" s="178">
        <f t="shared" si="41"/>
        <v>100</v>
      </c>
      <c r="Z136" s="78">
        <f t="shared" si="40"/>
        <v>8260461.4100000001</v>
      </c>
      <c r="AA136" s="78">
        <f t="shared" ref="AA136" si="53">AA179</f>
        <v>8260461.4100000001</v>
      </c>
      <c r="AB136" s="221"/>
    </row>
    <row r="137" spans="1:32" s="85" customFormat="1" ht="258" hidden="1" customHeight="1" x14ac:dyDescent="0.25">
      <c r="A137" s="84"/>
      <c r="B137" s="89"/>
      <c r="C137" s="90" t="s">
        <v>637</v>
      </c>
      <c r="D137" s="78" t="e">
        <f>'дод 2'!#REF!</f>
        <v>#REF!</v>
      </c>
      <c r="E137" s="78" t="e">
        <f>'дод 2'!#REF!</f>
        <v>#REF!</v>
      </c>
      <c r="F137" s="78" t="e">
        <f>'дод 2'!#REF!</f>
        <v>#REF!</v>
      </c>
      <c r="G137" s="78" t="e">
        <f>'дод 2'!#REF!</f>
        <v>#REF!</v>
      </c>
      <c r="H137" s="78" t="e">
        <f>'дод 2'!#REF!</f>
        <v>#REF!</v>
      </c>
      <c r="I137" s="78" t="e">
        <f>'дод 2'!#REF!</f>
        <v>#REF!</v>
      </c>
      <c r="J137" s="78" t="e">
        <f>'дод 2'!#REF!</f>
        <v>#REF!</v>
      </c>
      <c r="K137" s="78" t="e">
        <f>'дод 2'!#REF!</f>
        <v>#REF!</v>
      </c>
      <c r="L137" s="178" t="e">
        <f t="shared" si="39"/>
        <v>#REF!</v>
      </c>
      <c r="M137" s="78" t="e">
        <f>'дод 2'!#REF!</f>
        <v>#REF!</v>
      </c>
      <c r="N137" s="78" t="e">
        <f>'дод 2'!#REF!</f>
        <v>#REF!</v>
      </c>
      <c r="O137" s="78" t="e">
        <f>'дод 2'!#REF!</f>
        <v>#REF!</v>
      </c>
      <c r="P137" s="78" t="e">
        <f>'дод 2'!#REF!</f>
        <v>#REF!</v>
      </c>
      <c r="Q137" s="78" t="e">
        <f>'дод 2'!#REF!</f>
        <v>#REF!</v>
      </c>
      <c r="R137" s="78" t="e">
        <f>'дод 2'!#REF!</f>
        <v>#REF!</v>
      </c>
      <c r="S137" s="78" t="e">
        <f>'дод 2'!#REF!</f>
        <v>#REF!</v>
      </c>
      <c r="T137" s="78" t="e">
        <f>'дод 2'!#REF!</f>
        <v>#REF!</v>
      </c>
      <c r="U137" s="78" t="e">
        <f>'дод 2'!#REF!</f>
        <v>#REF!</v>
      </c>
      <c r="V137" s="78" t="e">
        <f>'дод 2'!#REF!</f>
        <v>#REF!</v>
      </c>
      <c r="W137" s="78" t="e">
        <f>'дод 2'!#REF!</f>
        <v>#REF!</v>
      </c>
      <c r="X137" s="78" t="e">
        <f>'дод 2'!#REF!</f>
        <v>#REF!</v>
      </c>
      <c r="Y137" s="178" t="e">
        <f t="shared" si="41"/>
        <v>#REF!</v>
      </c>
      <c r="Z137" s="78" t="e">
        <f t="shared" si="40"/>
        <v>#REF!</v>
      </c>
      <c r="AA137" s="78" t="e">
        <f>'дод 2'!#REF!</f>
        <v>#REF!</v>
      </c>
      <c r="AB137" s="221"/>
    </row>
    <row r="138" spans="1:32" s="85" customFormat="1" ht="21" customHeight="1" x14ac:dyDescent="0.25">
      <c r="A138" s="84"/>
      <c r="B138" s="89"/>
      <c r="C138" s="54" t="s">
        <v>380</v>
      </c>
      <c r="D138" s="78">
        <f t="shared" ref="D138:AA138" si="54">D149+D153+D155+D168+D170+D186</f>
        <v>11086875.810000001</v>
      </c>
      <c r="E138" s="78">
        <f t="shared" ref="E138:X138" si="55">E149+E153+E155+E168+E170+E186</f>
        <v>11086875.810000001</v>
      </c>
      <c r="F138" s="78">
        <f t="shared" si="55"/>
        <v>0</v>
      </c>
      <c r="G138" s="78">
        <f t="shared" si="55"/>
        <v>0</v>
      </c>
      <c r="H138" s="78">
        <f t="shared" si="55"/>
        <v>0</v>
      </c>
      <c r="I138" s="78">
        <f t="shared" si="55"/>
        <v>5386121.1899999995</v>
      </c>
      <c r="J138" s="78">
        <f t="shared" si="55"/>
        <v>0</v>
      </c>
      <c r="K138" s="78">
        <f t="shared" si="55"/>
        <v>0</v>
      </c>
      <c r="L138" s="178">
        <f t="shared" si="39"/>
        <v>48.581054593773779</v>
      </c>
      <c r="M138" s="78">
        <f t="shared" si="55"/>
        <v>0</v>
      </c>
      <c r="N138" s="78">
        <f t="shared" si="55"/>
        <v>0</v>
      </c>
      <c r="O138" s="78">
        <f t="shared" si="55"/>
        <v>0</v>
      </c>
      <c r="P138" s="78">
        <f t="shared" si="55"/>
        <v>0</v>
      </c>
      <c r="Q138" s="78">
        <f t="shared" si="55"/>
        <v>0</v>
      </c>
      <c r="R138" s="78">
        <f t="shared" si="55"/>
        <v>0</v>
      </c>
      <c r="S138" s="78">
        <f t="shared" si="55"/>
        <v>0</v>
      </c>
      <c r="T138" s="78">
        <f t="shared" si="55"/>
        <v>0</v>
      </c>
      <c r="U138" s="78">
        <f t="shared" si="55"/>
        <v>0</v>
      </c>
      <c r="V138" s="78">
        <f t="shared" si="55"/>
        <v>0</v>
      </c>
      <c r="W138" s="78">
        <f t="shared" si="55"/>
        <v>0</v>
      </c>
      <c r="X138" s="78">
        <f t="shared" si="55"/>
        <v>0</v>
      </c>
      <c r="Y138" s="178"/>
      <c r="Z138" s="78">
        <f t="shared" si="40"/>
        <v>5386121.1899999995</v>
      </c>
      <c r="AA138" s="78">
        <f t="shared" si="54"/>
        <v>11086875.810000001</v>
      </c>
      <c r="AB138" s="221"/>
    </row>
    <row r="139" spans="1:32" s="85" customFormat="1" ht="97.15" customHeight="1" x14ac:dyDescent="0.25">
      <c r="A139" s="84"/>
      <c r="B139" s="89"/>
      <c r="C139" s="54" t="str">
        <f>C165</f>
        <v>залишку коштів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Федерації, що утворився станом на 01.01.2024 року</v>
      </c>
      <c r="D139" s="78">
        <f>D165</f>
        <v>1495257</v>
      </c>
      <c r="E139" s="78">
        <f t="shared" ref="E139:X139" si="56">E165</f>
        <v>1495257</v>
      </c>
      <c r="F139" s="78">
        <f t="shared" si="56"/>
        <v>0</v>
      </c>
      <c r="G139" s="78">
        <f t="shared" si="56"/>
        <v>0</v>
      </c>
      <c r="H139" s="78">
        <f t="shared" si="56"/>
        <v>0</v>
      </c>
      <c r="I139" s="78">
        <f t="shared" si="56"/>
        <v>1495257</v>
      </c>
      <c r="J139" s="78">
        <f t="shared" si="56"/>
        <v>0</v>
      </c>
      <c r="K139" s="78">
        <f t="shared" si="56"/>
        <v>0</v>
      </c>
      <c r="L139" s="178">
        <f t="shared" si="39"/>
        <v>100</v>
      </c>
      <c r="M139" s="78">
        <f t="shared" si="56"/>
        <v>0</v>
      </c>
      <c r="N139" s="78">
        <f t="shared" si="56"/>
        <v>0</v>
      </c>
      <c r="O139" s="78">
        <f t="shared" si="56"/>
        <v>0</v>
      </c>
      <c r="P139" s="78">
        <f t="shared" si="56"/>
        <v>0</v>
      </c>
      <c r="Q139" s="78">
        <f t="shared" si="56"/>
        <v>0</v>
      </c>
      <c r="R139" s="78">
        <f t="shared" si="56"/>
        <v>0</v>
      </c>
      <c r="S139" s="78">
        <f t="shared" si="56"/>
        <v>0</v>
      </c>
      <c r="T139" s="78">
        <f t="shared" si="56"/>
        <v>0</v>
      </c>
      <c r="U139" s="78">
        <f t="shared" si="56"/>
        <v>0</v>
      </c>
      <c r="V139" s="78">
        <f t="shared" si="56"/>
        <v>0</v>
      </c>
      <c r="W139" s="78">
        <f t="shared" si="56"/>
        <v>0</v>
      </c>
      <c r="X139" s="78">
        <f t="shared" si="56"/>
        <v>0</v>
      </c>
      <c r="Y139" s="178"/>
      <c r="Z139" s="78">
        <f t="shared" si="40"/>
        <v>1495257</v>
      </c>
      <c r="AA139" s="78">
        <f t="shared" ref="AA139" si="57">AA165</f>
        <v>1495257</v>
      </c>
      <c r="AB139" s="221"/>
    </row>
    <row r="140" spans="1:32" s="85" customFormat="1" ht="86.65" customHeight="1" x14ac:dyDescent="0.25">
      <c r="A140" s="84"/>
      <c r="B140" s="89"/>
      <c r="C140" s="19" t="s">
        <v>618</v>
      </c>
      <c r="D140" s="78">
        <f t="shared" ref="D140:AA140" si="58">D166+D187</f>
        <v>75253000</v>
      </c>
      <c r="E140" s="78">
        <f t="shared" ref="E140:X140" si="59">E166+E187</f>
        <v>75253000</v>
      </c>
      <c r="F140" s="78">
        <f t="shared" si="59"/>
        <v>0</v>
      </c>
      <c r="G140" s="78">
        <f t="shared" si="59"/>
        <v>0</v>
      </c>
      <c r="H140" s="78">
        <f t="shared" si="59"/>
        <v>0</v>
      </c>
      <c r="I140" s="78">
        <f t="shared" si="59"/>
        <v>75033135.590000004</v>
      </c>
      <c r="J140" s="78">
        <f t="shared" si="59"/>
        <v>0</v>
      </c>
      <c r="K140" s="78">
        <f t="shared" si="59"/>
        <v>0</v>
      </c>
      <c r="L140" s="178">
        <f t="shared" si="39"/>
        <v>99.707833029912436</v>
      </c>
      <c r="M140" s="78">
        <f t="shared" si="59"/>
        <v>0</v>
      </c>
      <c r="N140" s="78">
        <f t="shared" si="59"/>
        <v>0</v>
      </c>
      <c r="O140" s="78">
        <f t="shared" si="59"/>
        <v>0</v>
      </c>
      <c r="P140" s="78">
        <f t="shared" si="59"/>
        <v>0</v>
      </c>
      <c r="Q140" s="78">
        <f t="shared" si="59"/>
        <v>0</v>
      </c>
      <c r="R140" s="78">
        <f t="shared" si="59"/>
        <v>0</v>
      </c>
      <c r="S140" s="78">
        <f t="shared" si="59"/>
        <v>0</v>
      </c>
      <c r="T140" s="78">
        <f t="shared" si="59"/>
        <v>0</v>
      </c>
      <c r="U140" s="78">
        <f t="shared" si="59"/>
        <v>0</v>
      </c>
      <c r="V140" s="78">
        <f t="shared" si="59"/>
        <v>0</v>
      </c>
      <c r="W140" s="78">
        <f t="shared" si="59"/>
        <v>0</v>
      </c>
      <c r="X140" s="78">
        <f t="shared" si="59"/>
        <v>0</v>
      </c>
      <c r="Y140" s="178"/>
      <c r="Z140" s="78">
        <f t="shared" si="40"/>
        <v>75033135.590000004</v>
      </c>
      <c r="AA140" s="78">
        <f t="shared" si="58"/>
        <v>75253000</v>
      </c>
      <c r="AB140" s="221"/>
    </row>
    <row r="141" spans="1:32" s="85" customFormat="1" ht="62.65" customHeight="1" x14ac:dyDescent="0.25">
      <c r="A141" s="84"/>
      <c r="B141" s="89"/>
      <c r="C141" s="54" t="s">
        <v>726</v>
      </c>
      <c r="D141" s="78">
        <f>D160</f>
        <v>0</v>
      </c>
      <c r="E141" s="78">
        <f t="shared" ref="E141:X141" si="60">E160</f>
        <v>0</v>
      </c>
      <c r="F141" s="78">
        <f t="shared" si="60"/>
        <v>0</v>
      </c>
      <c r="G141" s="78">
        <f t="shared" si="60"/>
        <v>0</v>
      </c>
      <c r="H141" s="78">
        <f t="shared" si="60"/>
        <v>0</v>
      </c>
      <c r="I141" s="78">
        <f t="shared" si="60"/>
        <v>0</v>
      </c>
      <c r="J141" s="78">
        <f t="shared" si="60"/>
        <v>0</v>
      </c>
      <c r="K141" s="78">
        <f t="shared" si="60"/>
        <v>0</v>
      </c>
      <c r="L141" s="178"/>
      <c r="M141" s="78">
        <f t="shared" si="60"/>
        <v>2000000</v>
      </c>
      <c r="N141" s="78">
        <f t="shared" si="60"/>
        <v>2000000</v>
      </c>
      <c r="O141" s="78">
        <f t="shared" si="60"/>
        <v>0</v>
      </c>
      <c r="P141" s="78">
        <f t="shared" si="60"/>
        <v>0</v>
      </c>
      <c r="Q141" s="78">
        <f t="shared" si="60"/>
        <v>0</v>
      </c>
      <c r="R141" s="78">
        <f t="shared" si="60"/>
        <v>2000000</v>
      </c>
      <c r="S141" s="78">
        <f t="shared" si="60"/>
        <v>0</v>
      </c>
      <c r="T141" s="78">
        <f t="shared" si="60"/>
        <v>0</v>
      </c>
      <c r="U141" s="78">
        <f t="shared" si="60"/>
        <v>0</v>
      </c>
      <c r="V141" s="78">
        <f t="shared" si="60"/>
        <v>0</v>
      </c>
      <c r="W141" s="78">
        <f t="shared" si="60"/>
        <v>0</v>
      </c>
      <c r="X141" s="78">
        <f t="shared" si="60"/>
        <v>0</v>
      </c>
      <c r="Y141" s="178">
        <f t="shared" si="41"/>
        <v>0</v>
      </c>
      <c r="Z141" s="78">
        <f t="shared" si="40"/>
        <v>0</v>
      </c>
      <c r="AA141" s="78">
        <f t="shared" ref="AA141" si="61">AA160</f>
        <v>2000000</v>
      </c>
      <c r="AB141" s="221"/>
    </row>
    <row r="142" spans="1:32" s="85" customFormat="1" ht="280.89999999999998" customHeight="1" x14ac:dyDescent="0.25">
      <c r="A142" s="84"/>
      <c r="B142" s="89"/>
      <c r="C142" s="19" t="str">
        <f>C179</f>
        <v>субвенції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D142" s="78">
        <f t="shared" ref="D142:AA142" si="62">D179</f>
        <v>0</v>
      </c>
      <c r="E142" s="78">
        <f t="shared" ref="E142:X142" si="63">E179</f>
        <v>0</v>
      </c>
      <c r="F142" s="78">
        <f t="shared" si="63"/>
        <v>0</v>
      </c>
      <c r="G142" s="78">
        <f t="shared" si="63"/>
        <v>0</v>
      </c>
      <c r="H142" s="78">
        <f t="shared" si="63"/>
        <v>0</v>
      </c>
      <c r="I142" s="78">
        <f t="shared" si="63"/>
        <v>0</v>
      </c>
      <c r="J142" s="78">
        <f t="shared" si="63"/>
        <v>0</v>
      </c>
      <c r="K142" s="78">
        <f t="shared" si="63"/>
        <v>0</v>
      </c>
      <c r="L142" s="178"/>
      <c r="M142" s="78">
        <f t="shared" si="63"/>
        <v>8260461.4100000001</v>
      </c>
      <c r="N142" s="78">
        <f t="shared" si="63"/>
        <v>8260461.4100000001</v>
      </c>
      <c r="O142" s="78">
        <f t="shared" si="63"/>
        <v>0</v>
      </c>
      <c r="P142" s="78">
        <f t="shared" si="63"/>
        <v>0</v>
      </c>
      <c r="Q142" s="78">
        <f t="shared" si="63"/>
        <v>0</v>
      </c>
      <c r="R142" s="78">
        <f t="shared" si="63"/>
        <v>8260461.4100000001</v>
      </c>
      <c r="S142" s="78">
        <f t="shared" si="63"/>
        <v>8260461.4100000001</v>
      </c>
      <c r="T142" s="78">
        <f t="shared" si="63"/>
        <v>8260461.4100000001</v>
      </c>
      <c r="U142" s="78">
        <f t="shared" si="63"/>
        <v>0</v>
      </c>
      <c r="V142" s="78">
        <f t="shared" si="63"/>
        <v>0</v>
      </c>
      <c r="W142" s="78">
        <f t="shared" si="63"/>
        <v>0</v>
      </c>
      <c r="X142" s="78">
        <f t="shared" si="63"/>
        <v>8260461.4100000001</v>
      </c>
      <c r="Y142" s="178">
        <f t="shared" si="41"/>
        <v>100</v>
      </c>
      <c r="Z142" s="78">
        <f t="shared" si="40"/>
        <v>8260461.4100000001</v>
      </c>
      <c r="AA142" s="78">
        <f t="shared" si="62"/>
        <v>8260461.4100000001</v>
      </c>
      <c r="AB142" s="221"/>
    </row>
    <row r="143" spans="1:32" s="85" customFormat="1" ht="274.14999999999998" customHeight="1" x14ac:dyDescent="0.25">
      <c r="A143" s="84"/>
      <c r="B143" s="89"/>
      <c r="C143" s="19" t="str">
        <f>C181</f>
        <v>субвенції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D143" s="78">
        <f t="shared" ref="D143:AA143" si="64">D181</f>
        <v>0</v>
      </c>
      <c r="E143" s="78">
        <f t="shared" ref="E143:X143" si="65">E181</f>
        <v>0</v>
      </c>
      <c r="F143" s="78">
        <f t="shared" si="65"/>
        <v>0</v>
      </c>
      <c r="G143" s="78">
        <f t="shared" si="65"/>
        <v>0</v>
      </c>
      <c r="H143" s="78">
        <f t="shared" si="65"/>
        <v>0</v>
      </c>
      <c r="I143" s="78">
        <f t="shared" si="65"/>
        <v>0</v>
      </c>
      <c r="J143" s="78">
        <f t="shared" si="65"/>
        <v>0</v>
      </c>
      <c r="K143" s="78">
        <f t="shared" si="65"/>
        <v>0</v>
      </c>
      <c r="L143" s="178"/>
      <c r="M143" s="78">
        <f t="shared" si="65"/>
        <v>20395339.16</v>
      </c>
      <c r="N143" s="78">
        <f t="shared" si="65"/>
        <v>20395339.16</v>
      </c>
      <c r="O143" s="78">
        <f t="shared" si="65"/>
        <v>0</v>
      </c>
      <c r="P143" s="78">
        <f t="shared" si="65"/>
        <v>0</v>
      </c>
      <c r="Q143" s="78">
        <f t="shared" si="65"/>
        <v>0</v>
      </c>
      <c r="R143" s="78">
        <f t="shared" si="65"/>
        <v>20395339.16</v>
      </c>
      <c r="S143" s="78">
        <f t="shared" si="65"/>
        <v>20395339.16</v>
      </c>
      <c r="T143" s="78">
        <f t="shared" si="65"/>
        <v>20395339.16</v>
      </c>
      <c r="U143" s="78">
        <f t="shared" si="65"/>
        <v>0</v>
      </c>
      <c r="V143" s="78">
        <f t="shared" si="65"/>
        <v>0</v>
      </c>
      <c r="W143" s="78">
        <f t="shared" si="65"/>
        <v>0</v>
      </c>
      <c r="X143" s="78">
        <f t="shared" si="65"/>
        <v>20395339.16</v>
      </c>
      <c r="Y143" s="178">
        <f t="shared" si="41"/>
        <v>100</v>
      </c>
      <c r="Z143" s="78">
        <f t="shared" si="40"/>
        <v>20395339.16</v>
      </c>
      <c r="AA143" s="78">
        <f t="shared" si="64"/>
        <v>20395339.16</v>
      </c>
      <c r="AB143" s="221">
        <v>6</v>
      </c>
    </row>
    <row r="144" spans="1:32" s="108" customFormat="1" ht="194.65" customHeight="1" x14ac:dyDescent="0.25">
      <c r="A144" s="84"/>
      <c r="B144" s="89"/>
      <c r="C144" s="19" t="str">
        <f>C183</f>
        <v>субвенції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D144" s="78">
        <f>D183</f>
        <v>0</v>
      </c>
      <c r="E144" s="78">
        <f t="shared" ref="E144:X144" si="66">E183</f>
        <v>0</v>
      </c>
      <c r="F144" s="78">
        <f t="shared" si="66"/>
        <v>0</v>
      </c>
      <c r="G144" s="78">
        <f t="shared" si="66"/>
        <v>0</v>
      </c>
      <c r="H144" s="78">
        <f t="shared" si="66"/>
        <v>0</v>
      </c>
      <c r="I144" s="78">
        <f t="shared" si="66"/>
        <v>0</v>
      </c>
      <c r="J144" s="78">
        <f t="shared" si="66"/>
        <v>0</v>
      </c>
      <c r="K144" s="78">
        <f t="shared" si="66"/>
        <v>0</v>
      </c>
      <c r="L144" s="178"/>
      <c r="M144" s="78">
        <f t="shared" si="66"/>
        <v>3386099.22</v>
      </c>
      <c r="N144" s="78">
        <f t="shared" si="66"/>
        <v>3386099.22</v>
      </c>
      <c r="O144" s="78">
        <f t="shared" si="66"/>
        <v>0</v>
      </c>
      <c r="P144" s="78">
        <f t="shared" si="66"/>
        <v>0</v>
      </c>
      <c r="Q144" s="78">
        <f t="shared" si="66"/>
        <v>0</v>
      </c>
      <c r="R144" s="78">
        <f t="shared" si="66"/>
        <v>3386099.22</v>
      </c>
      <c r="S144" s="78">
        <f t="shared" si="66"/>
        <v>3386099.22</v>
      </c>
      <c r="T144" s="78">
        <f t="shared" si="66"/>
        <v>3386099.22</v>
      </c>
      <c r="U144" s="78">
        <f t="shared" si="66"/>
        <v>0</v>
      </c>
      <c r="V144" s="78">
        <f t="shared" si="66"/>
        <v>0</v>
      </c>
      <c r="W144" s="78">
        <f t="shared" si="66"/>
        <v>0</v>
      </c>
      <c r="X144" s="78">
        <f t="shared" si="66"/>
        <v>3386099.22</v>
      </c>
      <c r="Y144" s="178">
        <f t="shared" si="41"/>
        <v>100</v>
      </c>
      <c r="Z144" s="78">
        <f t="shared" si="40"/>
        <v>3386099.22</v>
      </c>
      <c r="AA144" s="78">
        <f t="shared" ref="AA144" si="67">AA183</f>
        <v>3386099.22</v>
      </c>
      <c r="AB144" s="221"/>
    </row>
    <row r="145" spans="1:28" s="85" customFormat="1" ht="88.15" customHeight="1" x14ac:dyDescent="0.25">
      <c r="A145" s="84"/>
      <c r="B145" s="89"/>
      <c r="C145" s="19" t="str">
        <f>C175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D145" s="78">
        <f>D175</f>
        <v>184288.32</v>
      </c>
      <c r="E145" s="78">
        <f t="shared" ref="E145:X145" si="68">E175</f>
        <v>184288.32</v>
      </c>
      <c r="F145" s="78">
        <f t="shared" si="68"/>
        <v>151056</v>
      </c>
      <c r="G145" s="78">
        <f t="shared" si="68"/>
        <v>0</v>
      </c>
      <c r="H145" s="78">
        <f t="shared" si="68"/>
        <v>0</v>
      </c>
      <c r="I145" s="78">
        <f t="shared" si="68"/>
        <v>0</v>
      </c>
      <c r="J145" s="78">
        <f t="shared" si="68"/>
        <v>0</v>
      </c>
      <c r="K145" s="78">
        <f t="shared" si="68"/>
        <v>0</v>
      </c>
      <c r="L145" s="178">
        <f t="shared" si="39"/>
        <v>0</v>
      </c>
      <c r="M145" s="78">
        <f t="shared" si="68"/>
        <v>0</v>
      </c>
      <c r="N145" s="78">
        <f t="shared" si="68"/>
        <v>0</v>
      </c>
      <c r="O145" s="78">
        <f t="shared" si="68"/>
        <v>0</v>
      </c>
      <c r="P145" s="78">
        <f t="shared" si="68"/>
        <v>0</v>
      </c>
      <c r="Q145" s="78">
        <f t="shared" si="68"/>
        <v>0</v>
      </c>
      <c r="R145" s="78">
        <f t="shared" si="68"/>
        <v>0</v>
      </c>
      <c r="S145" s="78">
        <f t="shared" si="68"/>
        <v>0</v>
      </c>
      <c r="T145" s="78">
        <f t="shared" si="68"/>
        <v>0</v>
      </c>
      <c r="U145" s="78">
        <f t="shared" si="68"/>
        <v>0</v>
      </c>
      <c r="V145" s="78">
        <f t="shared" si="68"/>
        <v>0</v>
      </c>
      <c r="W145" s="78">
        <f t="shared" si="68"/>
        <v>0</v>
      </c>
      <c r="X145" s="78">
        <f t="shared" si="68"/>
        <v>0</v>
      </c>
      <c r="Y145" s="178"/>
      <c r="Z145" s="78">
        <f t="shared" si="40"/>
        <v>0</v>
      </c>
      <c r="AA145" s="78">
        <f t="shared" ref="AA145" si="69">AA175</f>
        <v>184288.32</v>
      </c>
      <c r="AB145" s="221"/>
    </row>
    <row r="146" spans="1:28" ht="38.25" customHeight="1" x14ac:dyDescent="0.25">
      <c r="A146" s="45" t="s">
        <v>94</v>
      </c>
      <c r="B146" s="45" t="s">
        <v>50</v>
      </c>
      <c r="C146" s="33" t="s">
        <v>118</v>
      </c>
      <c r="D146" s="79">
        <f>'дод 2'!E232</f>
        <v>421900</v>
      </c>
      <c r="E146" s="79">
        <f>'дод 2'!F232</f>
        <v>421900</v>
      </c>
      <c r="F146" s="79">
        <f>'дод 2'!G232</f>
        <v>0</v>
      </c>
      <c r="G146" s="79">
        <f>'дод 2'!H232</f>
        <v>0</v>
      </c>
      <c r="H146" s="79">
        <f>'дод 2'!I232</f>
        <v>0</v>
      </c>
      <c r="I146" s="79">
        <f>'дод 2'!J232</f>
        <v>409691.74</v>
      </c>
      <c r="J146" s="79">
        <f>'дод 2'!K232</f>
        <v>0</v>
      </c>
      <c r="K146" s="79">
        <f>'дод 2'!L232</f>
        <v>0</v>
      </c>
      <c r="L146" s="179">
        <f t="shared" si="39"/>
        <v>97.106361697084623</v>
      </c>
      <c r="M146" s="79">
        <f>'дод 2'!N232</f>
        <v>0</v>
      </c>
      <c r="N146" s="79">
        <f>'дод 2'!O232</f>
        <v>0</v>
      </c>
      <c r="O146" s="79">
        <f>'дод 2'!P232</f>
        <v>0</v>
      </c>
      <c r="P146" s="79">
        <f>'дод 2'!Q232</f>
        <v>0</v>
      </c>
      <c r="Q146" s="79">
        <f>'дод 2'!R232</f>
        <v>0</v>
      </c>
      <c r="R146" s="79">
        <f>'дод 2'!S232</f>
        <v>0</v>
      </c>
      <c r="S146" s="79">
        <f>'дод 2'!T232</f>
        <v>0</v>
      </c>
      <c r="T146" s="79">
        <f>'дод 2'!U232</f>
        <v>0</v>
      </c>
      <c r="U146" s="79">
        <f>'дод 2'!V232</f>
        <v>0</v>
      </c>
      <c r="V146" s="79">
        <f>'дод 2'!W232</f>
        <v>0</v>
      </c>
      <c r="W146" s="79">
        <f>'дод 2'!X232</f>
        <v>0</v>
      </c>
      <c r="X146" s="79">
        <f>'дод 2'!Y232</f>
        <v>0</v>
      </c>
      <c r="Y146" s="179"/>
      <c r="Z146" s="79">
        <f t="shared" si="40"/>
        <v>409691.74</v>
      </c>
      <c r="AA146" s="79">
        <f>'дод 2'!AB232</f>
        <v>421900</v>
      </c>
      <c r="AB146" s="221"/>
    </row>
    <row r="147" spans="1:28" ht="35.25" customHeight="1" x14ac:dyDescent="0.25">
      <c r="A147" s="45" t="s">
        <v>119</v>
      </c>
      <c r="B147" s="45" t="s">
        <v>52</v>
      </c>
      <c r="C147" s="33" t="s">
        <v>346</v>
      </c>
      <c r="D147" s="79">
        <f>'дод 2'!E233</f>
        <v>622450</v>
      </c>
      <c r="E147" s="79">
        <f>'дод 2'!F233</f>
        <v>622450</v>
      </c>
      <c r="F147" s="79">
        <f>'дод 2'!G233</f>
        <v>0</v>
      </c>
      <c r="G147" s="79">
        <f>'дод 2'!H233</f>
        <v>0</v>
      </c>
      <c r="H147" s="79">
        <f>'дод 2'!I233</f>
        <v>0</v>
      </c>
      <c r="I147" s="79">
        <f>'дод 2'!J233</f>
        <v>613140.89</v>
      </c>
      <c r="J147" s="79">
        <f>'дод 2'!K233</f>
        <v>0</v>
      </c>
      <c r="K147" s="79">
        <f>'дод 2'!L233</f>
        <v>0</v>
      </c>
      <c r="L147" s="179">
        <f t="shared" si="39"/>
        <v>98.504440517310627</v>
      </c>
      <c r="M147" s="79">
        <f>'дод 2'!N233</f>
        <v>0</v>
      </c>
      <c r="N147" s="79">
        <f>'дод 2'!O233</f>
        <v>0</v>
      </c>
      <c r="O147" s="79">
        <f>'дод 2'!P233</f>
        <v>0</v>
      </c>
      <c r="P147" s="79">
        <f>'дод 2'!Q233</f>
        <v>0</v>
      </c>
      <c r="Q147" s="79">
        <f>'дод 2'!R233</f>
        <v>0</v>
      </c>
      <c r="R147" s="79">
        <f>'дод 2'!S233</f>
        <v>0</v>
      </c>
      <c r="S147" s="79">
        <f>'дод 2'!T233</f>
        <v>0</v>
      </c>
      <c r="T147" s="79">
        <f>'дод 2'!U233</f>
        <v>0</v>
      </c>
      <c r="U147" s="79">
        <f>'дод 2'!V233</f>
        <v>0</v>
      </c>
      <c r="V147" s="79">
        <f>'дод 2'!W233</f>
        <v>0</v>
      </c>
      <c r="W147" s="79">
        <f>'дод 2'!X233</f>
        <v>0</v>
      </c>
      <c r="X147" s="79">
        <f>'дод 2'!Y233</f>
        <v>0</v>
      </c>
      <c r="Y147" s="179"/>
      <c r="Z147" s="79">
        <f t="shared" si="40"/>
        <v>613140.89</v>
      </c>
      <c r="AA147" s="79">
        <f>'дод 2'!AB233</f>
        <v>622450</v>
      </c>
      <c r="AB147" s="221"/>
    </row>
    <row r="148" spans="1:28" ht="31.5" x14ac:dyDescent="0.25">
      <c r="A148" s="45" t="s">
        <v>95</v>
      </c>
      <c r="B148" s="45" t="s">
        <v>52</v>
      </c>
      <c r="C148" s="33" t="s">
        <v>748</v>
      </c>
      <c r="D148" s="79">
        <f>'дод 2'!E234+'дод 2'!E30</f>
        <v>23524139.810000002</v>
      </c>
      <c r="E148" s="79">
        <f>'дод 2'!F234+'дод 2'!F30</f>
        <v>23524139.810000002</v>
      </c>
      <c r="F148" s="79">
        <f>'дод 2'!G234+'дод 2'!G30</f>
        <v>0</v>
      </c>
      <c r="G148" s="79">
        <f>'дод 2'!H234+'дод 2'!H30</f>
        <v>0</v>
      </c>
      <c r="H148" s="79">
        <f>'дод 2'!I234+'дод 2'!I30</f>
        <v>0</v>
      </c>
      <c r="I148" s="79">
        <f>'дод 2'!J234+'дод 2'!J30</f>
        <v>22242509.09</v>
      </c>
      <c r="J148" s="79">
        <f>'дод 2'!K234+'дод 2'!K30</f>
        <v>0</v>
      </c>
      <c r="K148" s="79">
        <f>'дод 2'!L234+'дод 2'!L30</f>
        <v>0</v>
      </c>
      <c r="L148" s="179">
        <f t="shared" ref="L148:L211" si="70">I148/D148*100</f>
        <v>94.551848737715844</v>
      </c>
      <c r="M148" s="79">
        <f>'дод 2'!N234+'дод 2'!N30</f>
        <v>0</v>
      </c>
      <c r="N148" s="79">
        <f>'дод 2'!O234+'дод 2'!O30</f>
        <v>0</v>
      </c>
      <c r="O148" s="79">
        <f>'дод 2'!P234+'дод 2'!P30</f>
        <v>0</v>
      </c>
      <c r="P148" s="79">
        <f>'дод 2'!Q234+'дод 2'!Q30</f>
        <v>0</v>
      </c>
      <c r="Q148" s="79">
        <f>'дод 2'!R234+'дод 2'!R30</f>
        <v>0</v>
      </c>
      <c r="R148" s="79">
        <f>'дод 2'!S234+'дод 2'!S30</f>
        <v>0</v>
      </c>
      <c r="S148" s="79">
        <f>'дод 2'!T234+'дод 2'!T30</f>
        <v>0</v>
      </c>
      <c r="T148" s="79">
        <f>'дод 2'!U234+'дод 2'!U30</f>
        <v>0</v>
      </c>
      <c r="U148" s="79">
        <f>'дод 2'!V234+'дод 2'!V30</f>
        <v>0</v>
      </c>
      <c r="V148" s="79">
        <f>'дод 2'!W234+'дод 2'!W30</f>
        <v>0</v>
      </c>
      <c r="W148" s="79">
        <f>'дод 2'!X234+'дод 2'!X30</f>
        <v>0</v>
      </c>
      <c r="X148" s="79">
        <f>'дод 2'!Y234+'дод 2'!Y30</f>
        <v>0</v>
      </c>
      <c r="Y148" s="179"/>
      <c r="Z148" s="79">
        <f t="shared" ref="Z148:Z211" si="71">S148+I148</f>
        <v>22242509.09</v>
      </c>
      <c r="AA148" s="79">
        <f>'дод 2'!AB234+'дод 2'!AB30</f>
        <v>23524139.810000002</v>
      </c>
      <c r="AB148" s="221"/>
    </row>
    <row r="149" spans="1:28" s="82" customFormat="1" ht="21.75" customHeight="1" x14ac:dyDescent="0.25">
      <c r="A149" s="81"/>
      <c r="B149" s="81"/>
      <c r="C149" s="48" t="s">
        <v>379</v>
      </c>
      <c r="D149" s="80">
        <f>'дод 2'!E235</f>
        <v>1730679.81</v>
      </c>
      <c r="E149" s="80">
        <f>'дод 2'!F235</f>
        <v>1730679.81</v>
      </c>
      <c r="F149" s="80">
        <f>'дод 2'!G235</f>
        <v>0</v>
      </c>
      <c r="G149" s="80">
        <f>'дод 2'!H235</f>
        <v>0</v>
      </c>
      <c r="H149" s="80">
        <f>'дод 2'!I235</f>
        <v>0</v>
      </c>
      <c r="I149" s="80">
        <f>'дод 2'!J235</f>
        <v>476387.67</v>
      </c>
      <c r="J149" s="80">
        <f>'дод 2'!K235</f>
        <v>0</v>
      </c>
      <c r="K149" s="80">
        <f>'дод 2'!L235</f>
        <v>0</v>
      </c>
      <c r="L149" s="180">
        <f t="shared" si="70"/>
        <v>27.526043075524175</v>
      </c>
      <c r="M149" s="80">
        <f>'дод 2'!N235</f>
        <v>0</v>
      </c>
      <c r="N149" s="80">
        <f>'дод 2'!O235</f>
        <v>0</v>
      </c>
      <c r="O149" s="80">
        <f>'дод 2'!P235</f>
        <v>0</v>
      </c>
      <c r="P149" s="80">
        <f>'дод 2'!Q235</f>
        <v>0</v>
      </c>
      <c r="Q149" s="80">
        <f>'дод 2'!R235</f>
        <v>0</v>
      </c>
      <c r="R149" s="80">
        <f>'дод 2'!S235</f>
        <v>0</v>
      </c>
      <c r="S149" s="80">
        <f>'дод 2'!T235</f>
        <v>0</v>
      </c>
      <c r="T149" s="80">
        <f>'дод 2'!U235</f>
        <v>0</v>
      </c>
      <c r="U149" s="80">
        <f>'дод 2'!V235</f>
        <v>0</v>
      </c>
      <c r="V149" s="80">
        <f>'дод 2'!W235</f>
        <v>0</v>
      </c>
      <c r="W149" s="80">
        <f>'дод 2'!X235</f>
        <v>0</v>
      </c>
      <c r="X149" s="80">
        <f>'дод 2'!Y235</f>
        <v>0</v>
      </c>
      <c r="Y149" s="180"/>
      <c r="Z149" s="80">
        <f t="shared" si="71"/>
        <v>476387.67</v>
      </c>
      <c r="AA149" s="80">
        <f>'дод 2'!AB235</f>
        <v>1730679.81</v>
      </c>
      <c r="AB149" s="221"/>
    </row>
    <row r="150" spans="1:28" ht="36" customHeight="1" x14ac:dyDescent="0.25">
      <c r="A150" s="45" t="s">
        <v>309</v>
      </c>
      <c r="B150" s="45" t="s">
        <v>52</v>
      </c>
      <c r="C150" s="33" t="s">
        <v>308</v>
      </c>
      <c r="D150" s="79">
        <f>'дод 2'!E236</f>
        <v>1000000</v>
      </c>
      <c r="E150" s="79">
        <f>'дод 2'!F236</f>
        <v>1000000</v>
      </c>
      <c r="F150" s="79">
        <f>'дод 2'!G236</f>
        <v>0</v>
      </c>
      <c r="G150" s="79">
        <f>'дод 2'!H236</f>
        <v>0</v>
      </c>
      <c r="H150" s="79">
        <f>'дод 2'!I236</f>
        <v>0</v>
      </c>
      <c r="I150" s="79">
        <f>'дод 2'!J236</f>
        <v>1000000</v>
      </c>
      <c r="J150" s="79">
        <f>'дод 2'!K236</f>
        <v>0</v>
      </c>
      <c r="K150" s="79">
        <f>'дод 2'!L236</f>
        <v>0</v>
      </c>
      <c r="L150" s="179">
        <f t="shared" si="70"/>
        <v>100</v>
      </c>
      <c r="M150" s="79">
        <f>'дод 2'!N236</f>
        <v>0</v>
      </c>
      <c r="N150" s="79">
        <f>'дод 2'!O236</f>
        <v>0</v>
      </c>
      <c r="O150" s="79">
        <f>'дод 2'!P236</f>
        <v>0</v>
      </c>
      <c r="P150" s="79">
        <f>'дод 2'!Q236</f>
        <v>0</v>
      </c>
      <c r="Q150" s="79">
        <f>'дод 2'!R236</f>
        <v>0</v>
      </c>
      <c r="R150" s="79">
        <f>'дод 2'!S236</f>
        <v>0</v>
      </c>
      <c r="S150" s="79">
        <f>'дод 2'!T236</f>
        <v>0</v>
      </c>
      <c r="T150" s="79">
        <f>'дод 2'!U236</f>
        <v>0</v>
      </c>
      <c r="U150" s="79">
        <f>'дод 2'!V236</f>
        <v>0</v>
      </c>
      <c r="V150" s="79">
        <f>'дод 2'!W236</f>
        <v>0</v>
      </c>
      <c r="W150" s="79">
        <f>'дод 2'!X236</f>
        <v>0</v>
      </c>
      <c r="X150" s="79">
        <f>'дод 2'!Y236</f>
        <v>0</v>
      </c>
      <c r="Y150" s="179"/>
      <c r="Z150" s="79">
        <f t="shared" si="71"/>
        <v>1000000</v>
      </c>
      <c r="AA150" s="79">
        <f>'дод 2'!AB236</f>
        <v>1000000</v>
      </c>
      <c r="AB150" s="221"/>
    </row>
    <row r="151" spans="1:28" ht="34.5" customHeight="1" x14ac:dyDescent="0.25">
      <c r="A151" s="45" t="s">
        <v>120</v>
      </c>
      <c r="B151" s="45" t="s">
        <v>52</v>
      </c>
      <c r="C151" s="33" t="s">
        <v>19</v>
      </c>
      <c r="D151" s="79">
        <f>'дод 2'!E237+'дод 2'!E31</f>
        <v>43191500</v>
      </c>
      <c r="E151" s="79">
        <f>'дод 2'!F237+'дод 2'!F31</f>
        <v>43191500</v>
      </c>
      <c r="F151" s="79">
        <f>'дод 2'!G237+'дод 2'!G31</f>
        <v>0</v>
      </c>
      <c r="G151" s="79">
        <f>'дод 2'!H237+'дод 2'!H31</f>
        <v>0</v>
      </c>
      <c r="H151" s="79">
        <f>'дод 2'!I237+'дод 2'!I31</f>
        <v>0</v>
      </c>
      <c r="I151" s="79">
        <f>'дод 2'!J237+'дод 2'!J31</f>
        <v>43190272</v>
      </c>
      <c r="J151" s="79">
        <f>'дод 2'!K237+'дод 2'!K31</f>
        <v>0</v>
      </c>
      <c r="K151" s="79">
        <f>'дод 2'!L237+'дод 2'!L31</f>
        <v>0</v>
      </c>
      <c r="L151" s="179">
        <f t="shared" si="70"/>
        <v>99.997156847990922</v>
      </c>
      <c r="M151" s="79">
        <f>'дод 2'!N237+'дод 2'!N31</f>
        <v>0</v>
      </c>
      <c r="N151" s="79">
        <f>'дод 2'!O237+'дод 2'!O31</f>
        <v>0</v>
      </c>
      <c r="O151" s="79">
        <f>'дод 2'!P237+'дод 2'!P31</f>
        <v>0</v>
      </c>
      <c r="P151" s="79">
        <f>'дод 2'!Q237+'дод 2'!Q31</f>
        <v>0</v>
      </c>
      <c r="Q151" s="79">
        <f>'дод 2'!R237+'дод 2'!R31</f>
        <v>0</v>
      </c>
      <c r="R151" s="79">
        <f>'дод 2'!S237+'дод 2'!S31</f>
        <v>0</v>
      </c>
      <c r="S151" s="79">
        <f>'дод 2'!T237+'дод 2'!T31</f>
        <v>0</v>
      </c>
      <c r="T151" s="79">
        <f>'дод 2'!U237+'дод 2'!U31</f>
        <v>0</v>
      </c>
      <c r="U151" s="79">
        <f>'дод 2'!V237+'дод 2'!V31</f>
        <v>0</v>
      </c>
      <c r="V151" s="79">
        <f>'дод 2'!W237+'дод 2'!W31</f>
        <v>0</v>
      </c>
      <c r="W151" s="79">
        <f>'дод 2'!X237+'дод 2'!X31</f>
        <v>0</v>
      </c>
      <c r="X151" s="79">
        <f>'дод 2'!Y237+'дод 2'!Y31</f>
        <v>0</v>
      </c>
      <c r="Y151" s="179"/>
      <c r="Z151" s="79">
        <f t="shared" si="71"/>
        <v>43190272</v>
      </c>
      <c r="AA151" s="79">
        <f>'дод 2'!AB237+'дод 2'!AB31</f>
        <v>43191500</v>
      </c>
      <c r="AB151" s="221"/>
    </row>
    <row r="152" spans="1:28" ht="51.75" customHeight="1" x14ac:dyDescent="0.25">
      <c r="A152" s="45" t="s">
        <v>97</v>
      </c>
      <c r="B152" s="45" t="s">
        <v>52</v>
      </c>
      <c r="C152" s="33" t="s">
        <v>389</v>
      </c>
      <c r="D152" s="79">
        <f>'дод 2'!E238</f>
        <v>792300</v>
      </c>
      <c r="E152" s="79">
        <f>'дод 2'!F238</f>
        <v>792300</v>
      </c>
      <c r="F152" s="79">
        <f>'дод 2'!G238</f>
        <v>0</v>
      </c>
      <c r="G152" s="79">
        <f>'дод 2'!H238</f>
        <v>0</v>
      </c>
      <c r="H152" s="79">
        <f>'дод 2'!I238</f>
        <v>0</v>
      </c>
      <c r="I152" s="79">
        <f>'дод 2'!J238</f>
        <v>792222.04</v>
      </c>
      <c r="J152" s="79">
        <f>'дод 2'!K238</f>
        <v>0</v>
      </c>
      <c r="K152" s="79">
        <f>'дод 2'!L238</f>
        <v>0</v>
      </c>
      <c r="L152" s="179">
        <f t="shared" si="70"/>
        <v>99.990160292818388</v>
      </c>
      <c r="M152" s="79">
        <f>'дод 2'!N238</f>
        <v>0</v>
      </c>
      <c r="N152" s="79">
        <f>'дод 2'!O238</f>
        <v>0</v>
      </c>
      <c r="O152" s="79">
        <f>'дод 2'!P238</f>
        <v>0</v>
      </c>
      <c r="P152" s="79">
        <f>'дод 2'!Q238</f>
        <v>0</v>
      </c>
      <c r="Q152" s="79">
        <f>'дод 2'!R238</f>
        <v>0</v>
      </c>
      <c r="R152" s="79">
        <f>'дод 2'!S238</f>
        <v>0</v>
      </c>
      <c r="S152" s="79">
        <f>'дод 2'!T238</f>
        <v>0</v>
      </c>
      <c r="T152" s="79">
        <f>'дод 2'!U238</f>
        <v>0</v>
      </c>
      <c r="U152" s="79">
        <f>'дод 2'!V238</f>
        <v>0</v>
      </c>
      <c r="V152" s="79">
        <f>'дод 2'!W238</f>
        <v>0</v>
      </c>
      <c r="W152" s="79">
        <f>'дод 2'!X238</f>
        <v>0</v>
      </c>
      <c r="X152" s="79">
        <f>'дод 2'!Y238</f>
        <v>0</v>
      </c>
      <c r="Y152" s="179"/>
      <c r="Z152" s="79">
        <f t="shared" si="71"/>
        <v>792222.04</v>
      </c>
      <c r="AA152" s="79">
        <f>'дод 2'!AB238</f>
        <v>792300</v>
      </c>
      <c r="AB152" s="221"/>
    </row>
    <row r="153" spans="1:28" s="82" customFormat="1" ht="15.75" customHeight="1" x14ac:dyDescent="0.25">
      <c r="A153" s="81"/>
      <c r="B153" s="81"/>
      <c r="C153" s="48" t="s">
        <v>379</v>
      </c>
      <c r="D153" s="80">
        <f>'дод 2'!E239</f>
        <v>792300</v>
      </c>
      <c r="E153" s="80">
        <f>'дод 2'!F239</f>
        <v>792300</v>
      </c>
      <c r="F153" s="80">
        <f>'дод 2'!G239</f>
        <v>0</v>
      </c>
      <c r="G153" s="80">
        <f>'дод 2'!H239</f>
        <v>0</v>
      </c>
      <c r="H153" s="80">
        <f>'дод 2'!I239</f>
        <v>0</v>
      </c>
      <c r="I153" s="80">
        <f>'дод 2'!J239</f>
        <v>792222.04</v>
      </c>
      <c r="J153" s="80">
        <f>'дод 2'!K239</f>
        <v>0</v>
      </c>
      <c r="K153" s="80">
        <f>'дод 2'!L239</f>
        <v>0</v>
      </c>
      <c r="L153" s="180">
        <f t="shared" si="70"/>
        <v>99.990160292818388</v>
      </c>
      <c r="M153" s="80">
        <f>'дод 2'!N239</f>
        <v>0</v>
      </c>
      <c r="N153" s="80">
        <f>'дод 2'!O239</f>
        <v>0</v>
      </c>
      <c r="O153" s="80">
        <f>'дод 2'!P239</f>
        <v>0</v>
      </c>
      <c r="P153" s="80">
        <f>'дод 2'!Q239</f>
        <v>0</v>
      </c>
      <c r="Q153" s="80">
        <f>'дод 2'!R239</f>
        <v>0</v>
      </c>
      <c r="R153" s="80">
        <f>'дод 2'!S239</f>
        <v>0</v>
      </c>
      <c r="S153" s="80">
        <f>'дод 2'!T239</f>
        <v>0</v>
      </c>
      <c r="T153" s="80">
        <f>'дод 2'!U239</f>
        <v>0</v>
      </c>
      <c r="U153" s="80">
        <f>'дод 2'!V239</f>
        <v>0</v>
      </c>
      <c r="V153" s="80">
        <f>'дод 2'!W239</f>
        <v>0</v>
      </c>
      <c r="W153" s="80">
        <f>'дод 2'!X239</f>
        <v>0</v>
      </c>
      <c r="X153" s="80">
        <f>'дод 2'!Y239</f>
        <v>0</v>
      </c>
      <c r="Y153" s="180"/>
      <c r="Z153" s="80">
        <f t="shared" si="71"/>
        <v>792222.04</v>
      </c>
      <c r="AA153" s="80">
        <f>'дод 2'!AB239</f>
        <v>792300</v>
      </c>
      <c r="AB153" s="221"/>
    </row>
    <row r="154" spans="1:28" ht="40.5" customHeight="1" x14ac:dyDescent="0.25">
      <c r="A154" s="45" t="s">
        <v>302</v>
      </c>
      <c r="B154" s="45" t="s">
        <v>50</v>
      </c>
      <c r="C154" s="33" t="s">
        <v>390</v>
      </c>
      <c r="D154" s="79">
        <f>'дод 2'!E240</f>
        <v>113154</v>
      </c>
      <c r="E154" s="79">
        <f>'дод 2'!F240</f>
        <v>113154</v>
      </c>
      <c r="F154" s="79">
        <f>'дод 2'!G240</f>
        <v>0</v>
      </c>
      <c r="G154" s="79">
        <f>'дод 2'!H240</f>
        <v>0</v>
      </c>
      <c r="H154" s="79">
        <f>'дод 2'!I240</f>
        <v>0</v>
      </c>
      <c r="I154" s="79">
        <f>'дод 2'!J240</f>
        <v>88288.46</v>
      </c>
      <c r="J154" s="79">
        <f>'дод 2'!K240</f>
        <v>0</v>
      </c>
      <c r="K154" s="79">
        <f>'дод 2'!L240</f>
        <v>0</v>
      </c>
      <c r="L154" s="179">
        <f t="shared" si="70"/>
        <v>78.025045513194414</v>
      </c>
      <c r="M154" s="79">
        <f>'дод 2'!N240</f>
        <v>0</v>
      </c>
      <c r="N154" s="79">
        <f>'дод 2'!O240</f>
        <v>0</v>
      </c>
      <c r="O154" s="79">
        <f>'дод 2'!P240</f>
        <v>0</v>
      </c>
      <c r="P154" s="79">
        <f>'дод 2'!Q240</f>
        <v>0</v>
      </c>
      <c r="Q154" s="79">
        <f>'дод 2'!R240</f>
        <v>0</v>
      </c>
      <c r="R154" s="79">
        <f>'дод 2'!S240</f>
        <v>0</v>
      </c>
      <c r="S154" s="79">
        <f>'дод 2'!T240</f>
        <v>0</v>
      </c>
      <c r="T154" s="79">
        <f>'дод 2'!U240</f>
        <v>0</v>
      </c>
      <c r="U154" s="79">
        <f>'дод 2'!V240</f>
        <v>0</v>
      </c>
      <c r="V154" s="79">
        <f>'дод 2'!W240</f>
        <v>0</v>
      </c>
      <c r="W154" s="79">
        <f>'дод 2'!X240</f>
        <v>0</v>
      </c>
      <c r="X154" s="79">
        <f>'дод 2'!Y240</f>
        <v>0</v>
      </c>
      <c r="Y154" s="179"/>
      <c r="Z154" s="79">
        <f t="shared" si="71"/>
        <v>88288.46</v>
      </c>
      <c r="AA154" s="79">
        <f>'дод 2'!AB240</f>
        <v>113154</v>
      </c>
      <c r="AB154" s="221"/>
    </row>
    <row r="155" spans="1:28" s="82" customFormat="1" x14ac:dyDescent="0.25">
      <c r="A155" s="81"/>
      <c r="B155" s="81"/>
      <c r="C155" s="48" t="s">
        <v>379</v>
      </c>
      <c r="D155" s="80">
        <f>'дод 2'!E241</f>
        <v>113154</v>
      </c>
      <c r="E155" s="80">
        <f>'дод 2'!F241</f>
        <v>113154</v>
      </c>
      <c r="F155" s="80">
        <f>'дод 2'!G241</f>
        <v>0</v>
      </c>
      <c r="G155" s="80">
        <f>'дод 2'!H241</f>
        <v>0</v>
      </c>
      <c r="H155" s="80">
        <f>'дод 2'!I241</f>
        <v>0</v>
      </c>
      <c r="I155" s="80">
        <f>'дод 2'!J241</f>
        <v>88288.46</v>
      </c>
      <c r="J155" s="80">
        <f>'дод 2'!K241</f>
        <v>0</v>
      </c>
      <c r="K155" s="80">
        <f>'дод 2'!L241</f>
        <v>0</v>
      </c>
      <c r="L155" s="180">
        <f t="shared" si="70"/>
        <v>78.025045513194414</v>
      </c>
      <c r="M155" s="80">
        <f>'дод 2'!N241</f>
        <v>0</v>
      </c>
      <c r="N155" s="80">
        <f>'дод 2'!O241</f>
        <v>0</v>
      </c>
      <c r="O155" s="80">
        <f>'дод 2'!P241</f>
        <v>0</v>
      </c>
      <c r="P155" s="80">
        <f>'дод 2'!Q241</f>
        <v>0</v>
      </c>
      <c r="Q155" s="80">
        <f>'дод 2'!R241</f>
        <v>0</v>
      </c>
      <c r="R155" s="80">
        <f>'дод 2'!S241</f>
        <v>0</v>
      </c>
      <c r="S155" s="80">
        <f>'дод 2'!T241</f>
        <v>0</v>
      </c>
      <c r="T155" s="80">
        <f>'дод 2'!U241</f>
        <v>0</v>
      </c>
      <c r="U155" s="80">
        <f>'дод 2'!V241</f>
        <v>0</v>
      </c>
      <c r="V155" s="80">
        <f>'дод 2'!W241</f>
        <v>0</v>
      </c>
      <c r="W155" s="80">
        <f>'дод 2'!X241</f>
        <v>0</v>
      </c>
      <c r="X155" s="80">
        <f>'дод 2'!Y241</f>
        <v>0</v>
      </c>
      <c r="Y155" s="180"/>
      <c r="Z155" s="80">
        <f t="shared" si="71"/>
        <v>88288.46</v>
      </c>
      <c r="AA155" s="80">
        <f>'дод 2'!AB241</f>
        <v>113154</v>
      </c>
      <c r="AB155" s="221"/>
    </row>
    <row r="156" spans="1:28" ht="53.85" customHeight="1" x14ac:dyDescent="0.25">
      <c r="A156" s="45" t="s">
        <v>98</v>
      </c>
      <c r="B156" s="45" t="s">
        <v>48</v>
      </c>
      <c r="C156" s="33" t="s">
        <v>29</v>
      </c>
      <c r="D156" s="79">
        <f>'дод 2'!E242</f>
        <v>25157800</v>
      </c>
      <c r="E156" s="79">
        <f>'дод 2'!F242</f>
        <v>25157800</v>
      </c>
      <c r="F156" s="79">
        <f>'дод 2'!G242</f>
        <v>18550100</v>
      </c>
      <c r="G156" s="79">
        <f>'дод 2'!H242</f>
        <v>1117300</v>
      </c>
      <c r="H156" s="79">
        <f>'дод 2'!I242</f>
        <v>0</v>
      </c>
      <c r="I156" s="79">
        <f>'дод 2'!J242</f>
        <v>24691516.649999999</v>
      </c>
      <c r="J156" s="79">
        <f>'дод 2'!K242</f>
        <v>18456227.100000001</v>
      </c>
      <c r="K156" s="79">
        <f>'дод 2'!L242</f>
        <v>976817.51</v>
      </c>
      <c r="L156" s="179">
        <f t="shared" si="70"/>
        <v>98.146565478698449</v>
      </c>
      <c r="M156" s="79">
        <f>'дод 2'!N242</f>
        <v>167600</v>
      </c>
      <c r="N156" s="79">
        <f>'дод 2'!O242</f>
        <v>99000</v>
      </c>
      <c r="O156" s="79">
        <f>'дод 2'!P242</f>
        <v>68600</v>
      </c>
      <c r="P156" s="79">
        <f>'дод 2'!Q242</f>
        <v>56100</v>
      </c>
      <c r="Q156" s="79">
        <f>'дод 2'!R242</f>
        <v>0</v>
      </c>
      <c r="R156" s="79">
        <f>'дод 2'!S242</f>
        <v>99000</v>
      </c>
      <c r="S156" s="79">
        <f>'дод 2'!T242</f>
        <v>2809297.15</v>
      </c>
      <c r="T156" s="79">
        <f>'дод 2'!U242</f>
        <v>83941.05</v>
      </c>
      <c r="U156" s="79">
        <f>'дод 2'!V242</f>
        <v>2392360.1</v>
      </c>
      <c r="V156" s="79">
        <f>'дод 2'!W242</f>
        <v>259174.86</v>
      </c>
      <c r="W156" s="79">
        <f>'дод 2'!X242</f>
        <v>0</v>
      </c>
      <c r="X156" s="79">
        <f>'дод 2'!Y242</f>
        <v>416937.05</v>
      </c>
      <c r="Y156" s="179" t="s">
        <v>773</v>
      </c>
      <c r="Z156" s="79">
        <f t="shared" si="71"/>
        <v>27500813.799999997</v>
      </c>
      <c r="AA156" s="79">
        <f>'дод 2'!AB242</f>
        <v>25325400</v>
      </c>
      <c r="AB156" s="221"/>
    </row>
    <row r="157" spans="1:28" ht="56.65" customHeight="1" x14ac:dyDescent="0.25">
      <c r="A157" s="45" t="s">
        <v>318</v>
      </c>
      <c r="B157" s="45" t="s">
        <v>96</v>
      </c>
      <c r="C157" s="24" t="s">
        <v>319</v>
      </c>
      <c r="D157" s="79">
        <f>SUM('дод 2'!E277)</f>
        <v>116300</v>
      </c>
      <c r="E157" s="79">
        <f>SUM('дод 2'!F277)</f>
        <v>116300</v>
      </c>
      <c r="F157" s="79">
        <f>SUM('дод 2'!G277)</f>
        <v>0</v>
      </c>
      <c r="G157" s="79">
        <f>SUM('дод 2'!H277)</f>
        <v>0</v>
      </c>
      <c r="H157" s="79">
        <f>SUM('дод 2'!I277)</f>
        <v>0</v>
      </c>
      <c r="I157" s="79">
        <f>SUM('дод 2'!J277)</f>
        <v>0</v>
      </c>
      <c r="J157" s="79">
        <f>SUM('дод 2'!K277)</f>
        <v>0</v>
      </c>
      <c r="K157" s="79">
        <f>SUM('дод 2'!L277)</f>
        <v>0</v>
      </c>
      <c r="L157" s="179">
        <f t="shared" si="70"/>
        <v>0</v>
      </c>
      <c r="M157" s="79">
        <f>SUM('дод 2'!N277)</f>
        <v>0</v>
      </c>
      <c r="N157" s="79">
        <f>SUM('дод 2'!O277)</f>
        <v>0</v>
      </c>
      <c r="O157" s="79">
        <f>SUM('дод 2'!P277)</f>
        <v>0</v>
      </c>
      <c r="P157" s="79">
        <f>SUM('дод 2'!Q277)</f>
        <v>0</v>
      </c>
      <c r="Q157" s="79">
        <f>SUM('дод 2'!R277)</f>
        <v>0</v>
      </c>
      <c r="R157" s="79">
        <f>SUM('дод 2'!S277)</f>
        <v>0</v>
      </c>
      <c r="S157" s="79">
        <f>SUM('дод 2'!T277)</f>
        <v>0</v>
      </c>
      <c r="T157" s="79">
        <f>SUM('дод 2'!U277)</f>
        <v>0</v>
      </c>
      <c r="U157" s="79">
        <f>SUM('дод 2'!V277)</f>
        <v>0</v>
      </c>
      <c r="V157" s="79">
        <f>SUM('дод 2'!W277)</f>
        <v>0</v>
      </c>
      <c r="W157" s="79">
        <f>SUM('дод 2'!X277)</f>
        <v>0</v>
      </c>
      <c r="X157" s="79">
        <f>SUM('дод 2'!Y277)</f>
        <v>0</v>
      </c>
      <c r="Y157" s="179"/>
      <c r="Z157" s="79">
        <f t="shared" si="71"/>
        <v>0</v>
      </c>
      <c r="AA157" s="79">
        <f>SUM('дод 2'!AB277)</f>
        <v>116300</v>
      </c>
      <c r="AB157" s="221"/>
    </row>
    <row r="158" spans="1:28" s="82" customFormat="1" ht="31.35" customHeight="1" x14ac:dyDescent="0.25">
      <c r="A158" s="45" t="s">
        <v>99</v>
      </c>
      <c r="B158" s="45" t="s">
        <v>96</v>
      </c>
      <c r="C158" s="33" t="s">
        <v>30</v>
      </c>
      <c r="D158" s="79">
        <f>'дод 2'!E278</f>
        <v>170000</v>
      </c>
      <c r="E158" s="79">
        <f>'дод 2'!F278</f>
        <v>170000</v>
      </c>
      <c r="F158" s="79">
        <f>'дод 2'!G278</f>
        <v>0</v>
      </c>
      <c r="G158" s="79">
        <f>'дод 2'!H278</f>
        <v>0</v>
      </c>
      <c r="H158" s="79">
        <f>'дод 2'!I278</f>
        <v>0</v>
      </c>
      <c r="I158" s="79">
        <f>'дод 2'!J278</f>
        <v>137089.24</v>
      </c>
      <c r="J158" s="79">
        <f>'дод 2'!K278</f>
        <v>0</v>
      </c>
      <c r="K158" s="79">
        <f>'дод 2'!L278</f>
        <v>0</v>
      </c>
      <c r="L158" s="179">
        <f t="shared" si="70"/>
        <v>80.640729411764696</v>
      </c>
      <c r="M158" s="79">
        <f>'дод 2'!N278</f>
        <v>0</v>
      </c>
      <c r="N158" s="79">
        <f>'дод 2'!O278</f>
        <v>0</v>
      </c>
      <c r="O158" s="79">
        <f>'дод 2'!P278</f>
        <v>0</v>
      </c>
      <c r="P158" s="79">
        <f>'дод 2'!Q278</f>
        <v>0</v>
      </c>
      <c r="Q158" s="79">
        <f>'дод 2'!R278</f>
        <v>0</v>
      </c>
      <c r="R158" s="79">
        <f>'дод 2'!S278</f>
        <v>0</v>
      </c>
      <c r="S158" s="79">
        <f>'дод 2'!T278</f>
        <v>0</v>
      </c>
      <c r="T158" s="79">
        <f>'дод 2'!U278</f>
        <v>0</v>
      </c>
      <c r="U158" s="79">
        <f>'дод 2'!V278</f>
        <v>0</v>
      </c>
      <c r="V158" s="79">
        <f>'дод 2'!W278</f>
        <v>0</v>
      </c>
      <c r="W158" s="79">
        <f>'дод 2'!X278</f>
        <v>0</v>
      </c>
      <c r="X158" s="79">
        <f>'дод 2'!Y278</f>
        <v>0</v>
      </c>
      <c r="Y158" s="179"/>
      <c r="Z158" s="79">
        <f t="shared" si="71"/>
        <v>137089.24</v>
      </c>
      <c r="AA158" s="79">
        <f>'дод 2'!AB278</f>
        <v>170000</v>
      </c>
      <c r="AB158" s="221"/>
    </row>
    <row r="159" spans="1:28" s="82" customFormat="1" ht="42.4" customHeight="1" x14ac:dyDescent="0.25">
      <c r="A159" s="45" t="s">
        <v>121</v>
      </c>
      <c r="B159" s="45" t="s">
        <v>96</v>
      </c>
      <c r="C159" s="33" t="s">
        <v>735</v>
      </c>
      <c r="D159" s="79">
        <f>'дод 2'!E32</f>
        <v>4262000</v>
      </c>
      <c r="E159" s="79">
        <f>'дод 2'!F32</f>
        <v>4262000</v>
      </c>
      <c r="F159" s="79">
        <f>'дод 2'!G32</f>
        <v>3046100</v>
      </c>
      <c r="G159" s="79">
        <f>'дод 2'!H32</f>
        <v>106600</v>
      </c>
      <c r="H159" s="79">
        <f>'дод 2'!I32</f>
        <v>0</v>
      </c>
      <c r="I159" s="79">
        <f>'дод 2'!J32</f>
        <v>4092171.46</v>
      </c>
      <c r="J159" s="79">
        <f>'дод 2'!K32</f>
        <v>3046082.5600000001</v>
      </c>
      <c r="K159" s="79">
        <f>'дод 2'!L32</f>
        <v>88373.63</v>
      </c>
      <c r="L159" s="179">
        <f t="shared" si="70"/>
        <v>96.015285312060058</v>
      </c>
      <c r="M159" s="79">
        <f>'дод 2'!N32</f>
        <v>2100000</v>
      </c>
      <c r="N159" s="79">
        <f>'дод 2'!O32</f>
        <v>2100000</v>
      </c>
      <c r="O159" s="79">
        <f>'дод 2'!P32</f>
        <v>0</v>
      </c>
      <c r="P159" s="79">
        <f>'дод 2'!Q32</f>
        <v>0</v>
      </c>
      <c r="Q159" s="79">
        <f>'дод 2'!R32</f>
        <v>0</v>
      </c>
      <c r="R159" s="79">
        <f>'дод 2'!S32</f>
        <v>2100000</v>
      </c>
      <c r="S159" s="79">
        <f>'дод 2'!T32</f>
        <v>0</v>
      </c>
      <c r="T159" s="79">
        <f>'дод 2'!U32</f>
        <v>0</v>
      </c>
      <c r="U159" s="79">
        <f>'дод 2'!V32</f>
        <v>0</v>
      </c>
      <c r="V159" s="79">
        <f>'дод 2'!W32</f>
        <v>0</v>
      </c>
      <c r="W159" s="79">
        <f>'дод 2'!X32</f>
        <v>0</v>
      </c>
      <c r="X159" s="79">
        <f>'дод 2'!Y32</f>
        <v>0</v>
      </c>
      <c r="Y159" s="179">
        <f t="shared" ref="Y159:Y211" si="72">S159/M159*100</f>
        <v>0</v>
      </c>
      <c r="Z159" s="79">
        <f t="shared" si="71"/>
        <v>4092171.46</v>
      </c>
      <c r="AA159" s="79">
        <f>'дод 2'!AB32</f>
        <v>6362000</v>
      </c>
      <c r="AB159" s="221"/>
    </row>
    <row r="160" spans="1:28" s="82" customFormat="1" ht="66" customHeight="1" x14ac:dyDescent="0.25">
      <c r="A160" s="81"/>
      <c r="B160" s="81"/>
      <c r="C160" s="48" t="s">
        <v>726</v>
      </c>
      <c r="D160" s="80">
        <f>'дод 2'!E33</f>
        <v>0</v>
      </c>
      <c r="E160" s="80">
        <f>'дод 2'!F33</f>
        <v>0</v>
      </c>
      <c r="F160" s="80">
        <f>'дод 2'!G33</f>
        <v>0</v>
      </c>
      <c r="G160" s="80">
        <f>'дод 2'!H33</f>
        <v>0</v>
      </c>
      <c r="H160" s="80">
        <f>'дод 2'!I33</f>
        <v>0</v>
      </c>
      <c r="I160" s="80">
        <f>'дод 2'!J33</f>
        <v>0</v>
      </c>
      <c r="J160" s="80">
        <f>'дод 2'!K33</f>
        <v>0</v>
      </c>
      <c r="K160" s="80">
        <f>'дод 2'!L33</f>
        <v>0</v>
      </c>
      <c r="L160" s="180"/>
      <c r="M160" s="80">
        <f>'дод 2'!N33</f>
        <v>2000000</v>
      </c>
      <c r="N160" s="80">
        <f>'дод 2'!O33</f>
        <v>2000000</v>
      </c>
      <c r="O160" s="80">
        <f>'дод 2'!P33</f>
        <v>0</v>
      </c>
      <c r="P160" s="80">
        <f>'дод 2'!Q33</f>
        <v>0</v>
      </c>
      <c r="Q160" s="80">
        <f>'дод 2'!R33</f>
        <v>0</v>
      </c>
      <c r="R160" s="80">
        <f>'дод 2'!S33</f>
        <v>2000000</v>
      </c>
      <c r="S160" s="80">
        <f>'дод 2'!T33</f>
        <v>0</v>
      </c>
      <c r="T160" s="80">
        <f>'дод 2'!U33</f>
        <v>0</v>
      </c>
      <c r="U160" s="80">
        <f>'дод 2'!V33</f>
        <v>0</v>
      </c>
      <c r="V160" s="80">
        <f>'дод 2'!W33</f>
        <v>0</v>
      </c>
      <c r="W160" s="80">
        <f>'дод 2'!X33</f>
        <v>0</v>
      </c>
      <c r="X160" s="80">
        <f>'дод 2'!Y33</f>
        <v>0</v>
      </c>
      <c r="Y160" s="180">
        <f t="shared" si="72"/>
        <v>0</v>
      </c>
      <c r="Z160" s="80">
        <f t="shared" si="71"/>
        <v>0</v>
      </c>
      <c r="AA160" s="80">
        <f>'дод 2'!AB33</f>
        <v>2000000</v>
      </c>
      <c r="AB160" s="221"/>
    </row>
    <row r="161" spans="1:28" s="82" customFormat="1" ht="32.25" customHeight="1" x14ac:dyDescent="0.25">
      <c r="A161" s="45" t="s">
        <v>103</v>
      </c>
      <c r="B161" s="45" t="s">
        <v>96</v>
      </c>
      <c r="C161" s="33" t="s">
        <v>326</v>
      </c>
      <c r="D161" s="79">
        <f>'дод 2'!E34</f>
        <v>500000</v>
      </c>
      <c r="E161" s="79">
        <f>'дод 2'!F34</f>
        <v>500000</v>
      </c>
      <c r="F161" s="79">
        <f>'дод 2'!G34</f>
        <v>0</v>
      </c>
      <c r="G161" s="79">
        <f>'дод 2'!H34</f>
        <v>0</v>
      </c>
      <c r="H161" s="79">
        <f>'дод 2'!I34</f>
        <v>0</v>
      </c>
      <c r="I161" s="79">
        <f>'дод 2'!J34</f>
        <v>483760</v>
      </c>
      <c r="J161" s="79">
        <f>'дод 2'!K34</f>
        <v>0</v>
      </c>
      <c r="K161" s="79">
        <f>'дод 2'!L34</f>
        <v>0</v>
      </c>
      <c r="L161" s="179">
        <f t="shared" si="70"/>
        <v>96.75200000000001</v>
      </c>
      <c r="M161" s="79">
        <f>'дод 2'!N34</f>
        <v>0</v>
      </c>
      <c r="N161" s="79">
        <f>'дод 2'!O34</f>
        <v>0</v>
      </c>
      <c r="O161" s="79">
        <f>'дод 2'!P34</f>
        <v>0</v>
      </c>
      <c r="P161" s="79">
        <f>'дод 2'!Q34</f>
        <v>0</v>
      </c>
      <c r="Q161" s="79">
        <f>'дод 2'!R34</f>
        <v>0</v>
      </c>
      <c r="R161" s="79">
        <f>'дод 2'!S34</f>
        <v>0</v>
      </c>
      <c r="S161" s="79">
        <f>'дод 2'!T34</f>
        <v>0</v>
      </c>
      <c r="T161" s="79">
        <f>'дод 2'!U34</f>
        <v>0</v>
      </c>
      <c r="U161" s="79">
        <f>'дод 2'!V34</f>
        <v>0</v>
      </c>
      <c r="V161" s="79">
        <f>'дод 2'!W34</f>
        <v>0</v>
      </c>
      <c r="W161" s="79">
        <f>'дод 2'!X34</f>
        <v>0</v>
      </c>
      <c r="X161" s="79">
        <f>'дод 2'!Y34</f>
        <v>0</v>
      </c>
      <c r="Y161" s="179"/>
      <c r="Z161" s="79">
        <f t="shared" si="71"/>
        <v>483760</v>
      </c>
      <c r="AA161" s="79">
        <f>'дод 2'!AB34</f>
        <v>500000</v>
      </c>
      <c r="AB161" s="221"/>
    </row>
    <row r="162" spans="1:28" s="82" customFormat="1" ht="26.25" customHeight="1" x14ac:dyDescent="0.25">
      <c r="A162" s="45">
        <v>3133</v>
      </c>
      <c r="B162" s="45">
        <v>1040</v>
      </c>
      <c r="C162" s="33" t="s">
        <v>534</v>
      </c>
      <c r="D162" s="79">
        <f>'дод 2'!E35</f>
        <v>6017000</v>
      </c>
      <c r="E162" s="79">
        <f>'дод 2'!F35</f>
        <v>6017000</v>
      </c>
      <c r="F162" s="79">
        <f>'дод 2'!G35</f>
        <v>3357200</v>
      </c>
      <c r="G162" s="79">
        <f>'дод 2'!H35</f>
        <v>1085700</v>
      </c>
      <c r="H162" s="79">
        <f>'дод 2'!I35</f>
        <v>0</v>
      </c>
      <c r="I162" s="79">
        <f>'дод 2'!J35</f>
        <v>5566990.5899999999</v>
      </c>
      <c r="J162" s="79">
        <f>'дод 2'!K35</f>
        <v>3355220.27</v>
      </c>
      <c r="K162" s="79">
        <f>'дод 2'!L35</f>
        <v>691013.44</v>
      </c>
      <c r="L162" s="179">
        <f t="shared" si="70"/>
        <v>92.521033571547278</v>
      </c>
      <c r="M162" s="79">
        <f>'дод 2'!N35</f>
        <v>10000</v>
      </c>
      <c r="N162" s="79">
        <f>'дод 2'!O35</f>
        <v>0</v>
      </c>
      <c r="O162" s="79">
        <f>'дод 2'!P35</f>
        <v>10000</v>
      </c>
      <c r="P162" s="79">
        <f>'дод 2'!Q35</f>
        <v>0</v>
      </c>
      <c r="Q162" s="79">
        <f>'дод 2'!R35</f>
        <v>3500</v>
      </c>
      <c r="R162" s="79">
        <f>'дод 2'!S35</f>
        <v>0</v>
      </c>
      <c r="S162" s="79">
        <f>'дод 2'!T35</f>
        <v>457848.36</v>
      </c>
      <c r="T162" s="79">
        <f>'дод 2'!U35</f>
        <v>0</v>
      </c>
      <c r="U162" s="79">
        <f>'дод 2'!V35</f>
        <v>353548.36</v>
      </c>
      <c r="V162" s="79">
        <f>'дод 2'!W35</f>
        <v>2663</v>
      </c>
      <c r="W162" s="79">
        <f>'дод 2'!X35</f>
        <v>5192</v>
      </c>
      <c r="X162" s="79">
        <f>'дод 2'!Y35</f>
        <v>104300</v>
      </c>
      <c r="Y162" s="179" t="s">
        <v>770</v>
      </c>
      <c r="Z162" s="79">
        <f t="shared" si="71"/>
        <v>6024838.9500000002</v>
      </c>
      <c r="AA162" s="79">
        <f>'дод 2'!AB35</f>
        <v>6027000</v>
      </c>
      <c r="AB162" s="221">
        <v>7</v>
      </c>
    </row>
    <row r="163" spans="1:28" ht="59.65" customHeight="1" x14ac:dyDescent="0.25">
      <c r="A163" s="45" t="s">
        <v>104</v>
      </c>
      <c r="B163" s="45" t="s">
        <v>96</v>
      </c>
      <c r="C163" s="35" t="s">
        <v>20</v>
      </c>
      <c r="D163" s="79">
        <f>'дод 2'!E36+'дод 2'!E137+'дод 2'!E243+'дод 2'!E151</f>
        <v>1400000</v>
      </c>
      <c r="E163" s="79">
        <f>'дод 2'!F36+'дод 2'!F137+'дод 2'!F243+'дод 2'!F151</f>
        <v>1400000</v>
      </c>
      <c r="F163" s="79">
        <f>'дод 2'!G36+'дод 2'!G137+'дод 2'!G243+'дод 2'!G151</f>
        <v>0</v>
      </c>
      <c r="G163" s="79">
        <f>'дод 2'!H36+'дод 2'!H137+'дод 2'!H243+'дод 2'!H151</f>
        <v>0</v>
      </c>
      <c r="H163" s="79">
        <f>'дод 2'!I36+'дод 2'!I137+'дод 2'!I243+'дод 2'!I151</f>
        <v>0</v>
      </c>
      <c r="I163" s="79">
        <f>'дод 2'!J36+'дод 2'!J137+'дод 2'!J243+'дод 2'!J151</f>
        <v>1400000</v>
      </c>
      <c r="J163" s="79">
        <f>'дод 2'!K36+'дод 2'!K137+'дод 2'!K243+'дод 2'!K151</f>
        <v>0</v>
      </c>
      <c r="K163" s="79">
        <f>'дод 2'!L36+'дод 2'!L137+'дод 2'!L243+'дод 2'!L151</f>
        <v>0</v>
      </c>
      <c r="L163" s="179">
        <f t="shared" si="70"/>
        <v>100</v>
      </c>
      <c r="M163" s="79">
        <f>'дод 2'!N36+'дод 2'!N137+'дод 2'!N243+'дод 2'!N151</f>
        <v>0</v>
      </c>
      <c r="N163" s="79">
        <f>'дод 2'!O36+'дод 2'!O137+'дод 2'!O243+'дод 2'!O151</f>
        <v>0</v>
      </c>
      <c r="O163" s="79">
        <f>'дод 2'!P36+'дод 2'!P137+'дод 2'!P243+'дод 2'!P151</f>
        <v>0</v>
      </c>
      <c r="P163" s="79">
        <f>'дод 2'!Q36+'дод 2'!Q137+'дод 2'!Q243+'дод 2'!Q151</f>
        <v>0</v>
      </c>
      <c r="Q163" s="79">
        <f>'дод 2'!R36+'дод 2'!R137+'дод 2'!R243+'дод 2'!R151</f>
        <v>0</v>
      </c>
      <c r="R163" s="79">
        <f>'дод 2'!S36+'дод 2'!S137+'дод 2'!S243+'дод 2'!S151</f>
        <v>0</v>
      </c>
      <c r="S163" s="79">
        <f>'дод 2'!T36+'дод 2'!T137+'дод 2'!T243+'дод 2'!T151</f>
        <v>0</v>
      </c>
      <c r="T163" s="79">
        <f>'дод 2'!U36+'дод 2'!U137+'дод 2'!U243+'дод 2'!U151</f>
        <v>0</v>
      </c>
      <c r="U163" s="79">
        <f>'дод 2'!V36+'дод 2'!V137+'дод 2'!V243+'дод 2'!V151</f>
        <v>0</v>
      </c>
      <c r="V163" s="79">
        <f>'дод 2'!W36+'дод 2'!W137+'дод 2'!W243+'дод 2'!W151</f>
        <v>0</v>
      </c>
      <c r="W163" s="79">
        <f>'дод 2'!X36+'дод 2'!X137+'дод 2'!X243+'дод 2'!X151</f>
        <v>0</v>
      </c>
      <c r="X163" s="79">
        <f>'дод 2'!Y36+'дод 2'!Y137+'дод 2'!Y243+'дод 2'!Y151</f>
        <v>0</v>
      </c>
      <c r="Y163" s="179"/>
      <c r="Z163" s="79">
        <f t="shared" si="71"/>
        <v>1400000</v>
      </c>
      <c r="AA163" s="79">
        <f>'дод 2'!AB36+'дод 2'!AB137+'дод 2'!AB243+'дод 2'!AB151</f>
        <v>1400000</v>
      </c>
      <c r="AB163" s="221"/>
    </row>
    <row r="164" spans="1:28" ht="68.25" customHeight="1" x14ac:dyDescent="0.25">
      <c r="A164" s="45" t="s">
        <v>105</v>
      </c>
      <c r="B164" s="45">
        <v>1010</v>
      </c>
      <c r="C164" s="33" t="s">
        <v>661</v>
      </c>
      <c r="D164" s="79">
        <f>'дод 2'!E244</f>
        <v>19415635</v>
      </c>
      <c r="E164" s="79">
        <f>'дод 2'!F244</f>
        <v>19415635</v>
      </c>
      <c r="F164" s="79">
        <f>'дод 2'!G244</f>
        <v>0</v>
      </c>
      <c r="G164" s="79">
        <f>'дод 2'!H244</f>
        <v>0</v>
      </c>
      <c r="H164" s="79">
        <f>'дод 2'!I244</f>
        <v>0</v>
      </c>
      <c r="I164" s="79">
        <f>'дод 2'!J244</f>
        <v>19395769.559999999</v>
      </c>
      <c r="J164" s="79">
        <f>'дод 2'!K244</f>
        <v>0</v>
      </c>
      <c r="K164" s="79">
        <f>'дод 2'!L244</f>
        <v>0</v>
      </c>
      <c r="L164" s="179">
        <f t="shared" si="70"/>
        <v>99.897683284631171</v>
      </c>
      <c r="M164" s="79">
        <f>'дод 2'!N244</f>
        <v>0</v>
      </c>
      <c r="N164" s="79">
        <f>'дод 2'!O244</f>
        <v>0</v>
      </c>
      <c r="O164" s="79">
        <f>'дод 2'!P244</f>
        <v>0</v>
      </c>
      <c r="P164" s="79">
        <f>'дод 2'!Q244</f>
        <v>0</v>
      </c>
      <c r="Q164" s="79">
        <f>'дод 2'!R244</f>
        <v>0</v>
      </c>
      <c r="R164" s="79">
        <f>'дод 2'!S244</f>
        <v>0</v>
      </c>
      <c r="S164" s="79">
        <f>'дод 2'!T244</f>
        <v>0</v>
      </c>
      <c r="T164" s="79">
        <f>'дод 2'!U244</f>
        <v>0</v>
      </c>
      <c r="U164" s="79">
        <f>'дод 2'!V244</f>
        <v>0</v>
      </c>
      <c r="V164" s="79">
        <f>'дод 2'!W244</f>
        <v>0</v>
      </c>
      <c r="W164" s="79">
        <f>'дод 2'!X244</f>
        <v>0</v>
      </c>
      <c r="X164" s="79">
        <f>'дод 2'!Y244</f>
        <v>0</v>
      </c>
      <c r="Y164" s="179"/>
      <c r="Z164" s="79">
        <f t="shared" si="71"/>
        <v>19395769.559999999</v>
      </c>
      <c r="AA164" s="79">
        <f>'дод 2'!AB244</f>
        <v>19415635</v>
      </c>
      <c r="AB164" s="221"/>
    </row>
    <row r="165" spans="1:28" s="82" customFormat="1" ht="106.5" customHeight="1" x14ac:dyDescent="0.25">
      <c r="A165" s="81"/>
      <c r="B165" s="81"/>
      <c r="C165" s="48" t="s">
        <v>662</v>
      </c>
      <c r="D165" s="80">
        <f>'дод 2'!E245</f>
        <v>1495257</v>
      </c>
      <c r="E165" s="80">
        <f>'дод 2'!F245</f>
        <v>1495257</v>
      </c>
      <c r="F165" s="80">
        <f>'дод 2'!G245</f>
        <v>0</v>
      </c>
      <c r="G165" s="80">
        <f>'дод 2'!H245</f>
        <v>0</v>
      </c>
      <c r="H165" s="80">
        <f>'дод 2'!I245</f>
        <v>0</v>
      </c>
      <c r="I165" s="80">
        <f>'дод 2'!J245</f>
        <v>1495257</v>
      </c>
      <c r="J165" s="80">
        <f>'дод 2'!K245</f>
        <v>0</v>
      </c>
      <c r="K165" s="80">
        <f>'дод 2'!L245</f>
        <v>0</v>
      </c>
      <c r="L165" s="180">
        <f t="shared" si="70"/>
        <v>100</v>
      </c>
      <c r="M165" s="80">
        <f>'дод 2'!N245</f>
        <v>0</v>
      </c>
      <c r="N165" s="80">
        <f>'дод 2'!O245</f>
        <v>0</v>
      </c>
      <c r="O165" s="80">
        <f>'дод 2'!P245</f>
        <v>0</v>
      </c>
      <c r="P165" s="80">
        <f>'дод 2'!Q245</f>
        <v>0</v>
      </c>
      <c r="Q165" s="80">
        <f>'дод 2'!R245</f>
        <v>0</v>
      </c>
      <c r="R165" s="80">
        <f>'дод 2'!S245</f>
        <v>0</v>
      </c>
      <c r="S165" s="80">
        <f>'дод 2'!T245</f>
        <v>0</v>
      </c>
      <c r="T165" s="80">
        <f>'дод 2'!U245</f>
        <v>0</v>
      </c>
      <c r="U165" s="80">
        <f>'дод 2'!V245</f>
        <v>0</v>
      </c>
      <c r="V165" s="80">
        <f>'дод 2'!W245</f>
        <v>0</v>
      </c>
      <c r="W165" s="80">
        <f>'дод 2'!X245</f>
        <v>0</v>
      </c>
      <c r="X165" s="80">
        <f>'дод 2'!Y245</f>
        <v>0</v>
      </c>
      <c r="Y165" s="180"/>
      <c r="Z165" s="80">
        <f t="shared" si="71"/>
        <v>1495257</v>
      </c>
      <c r="AA165" s="80">
        <f>'дод 2'!AB245</f>
        <v>1495257</v>
      </c>
      <c r="AB165" s="221"/>
    </row>
    <row r="166" spans="1:28" s="82" customFormat="1" ht="86.25" customHeight="1" x14ac:dyDescent="0.25">
      <c r="A166" s="81"/>
      <c r="B166" s="81"/>
      <c r="C166" s="48" t="s">
        <v>618</v>
      </c>
      <c r="D166" s="80">
        <f>'дод 2'!E246</f>
        <v>9886200</v>
      </c>
      <c r="E166" s="80">
        <f>'дод 2'!F246</f>
        <v>9886200</v>
      </c>
      <c r="F166" s="80">
        <f>'дод 2'!G246</f>
        <v>0</v>
      </c>
      <c r="G166" s="80">
        <f>'дод 2'!H246</f>
        <v>0</v>
      </c>
      <c r="H166" s="80">
        <f>'дод 2'!I246</f>
        <v>0</v>
      </c>
      <c r="I166" s="80">
        <f>'дод 2'!J246</f>
        <v>9866335.5899999999</v>
      </c>
      <c r="J166" s="80">
        <f>'дод 2'!K246</f>
        <v>0</v>
      </c>
      <c r="K166" s="80">
        <f>'дод 2'!L246</f>
        <v>0</v>
      </c>
      <c r="L166" s="180">
        <f t="shared" si="70"/>
        <v>99.79906930873338</v>
      </c>
      <c r="M166" s="80">
        <f>'дод 2'!N246</f>
        <v>0</v>
      </c>
      <c r="N166" s="80">
        <f>'дод 2'!O246</f>
        <v>0</v>
      </c>
      <c r="O166" s="80">
        <f>'дод 2'!P246</f>
        <v>0</v>
      </c>
      <c r="P166" s="80">
        <f>'дод 2'!Q246</f>
        <v>0</v>
      </c>
      <c r="Q166" s="80">
        <f>'дод 2'!R246</f>
        <v>0</v>
      </c>
      <c r="R166" s="80">
        <f>'дод 2'!S246</f>
        <v>0</v>
      </c>
      <c r="S166" s="80">
        <f>'дод 2'!T246</f>
        <v>0</v>
      </c>
      <c r="T166" s="80">
        <f>'дод 2'!U246</f>
        <v>0</v>
      </c>
      <c r="U166" s="80">
        <f>'дод 2'!V246</f>
        <v>0</v>
      </c>
      <c r="V166" s="80">
        <f>'дод 2'!W246</f>
        <v>0</v>
      </c>
      <c r="W166" s="80">
        <f>'дод 2'!X246</f>
        <v>0</v>
      </c>
      <c r="X166" s="80">
        <f>'дод 2'!Y246</f>
        <v>0</v>
      </c>
      <c r="Y166" s="180"/>
      <c r="Z166" s="80">
        <f t="shared" si="71"/>
        <v>9866335.5899999999</v>
      </c>
      <c r="AA166" s="80">
        <f>'дод 2'!AB246</f>
        <v>9886200</v>
      </c>
      <c r="AB166" s="221"/>
    </row>
    <row r="167" spans="1:28" s="82" customFormat="1" ht="63" customHeight="1" x14ac:dyDescent="0.25">
      <c r="A167" s="45" t="s">
        <v>303</v>
      </c>
      <c r="B167" s="45">
        <v>1010</v>
      </c>
      <c r="C167" s="33" t="s">
        <v>386</v>
      </c>
      <c r="D167" s="79">
        <f>'дод 2'!E247</f>
        <v>213862</v>
      </c>
      <c r="E167" s="79">
        <f>'дод 2'!F247</f>
        <v>213862</v>
      </c>
      <c r="F167" s="79">
        <f>'дод 2'!G247</f>
        <v>0</v>
      </c>
      <c r="G167" s="79">
        <f>'дод 2'!H247</f>
        <v>0</v>
      </c>
      <c r="H167" s="79">
        <f>'дод 2'!I247</f>
        <v>0</v>
      </c>
      <c r="I167" s="79">
        <f>'дод 2'!J247</f>
        <v>188223.02</v>
      </c>
      <c r="J167" s="79">
        <f>'дод 2'!K247</f>
        <v>0</v>
      </c>
      <c r="K167" s="79">
        <f>'дод 2'!L247</f>
        <v>0</v>
      </c>
      <c r="L167" s="179">
        <f t="shared" si="70"/>
        <v>88.011437281985565</v>
      </c>
      <c r="M167" s="79">
        <f>'дод 2'!N247</f>
        <v>0</v>
      </c>
      <c r="N167" s="79">
        <f>'дод 2'!O247</f>
        <v>0</v>
      </c>
      <c r="O167" s="79">
        <f>'дод 2'!P247</f>
        <v>0</v>
      </c>
      <c r="P167" s="79">
        <f>'дод 2'!Q247</f>
        <v>0</v>
      </c>
      <c r="Q167" s="79">
        <f>'дод 2'!R247</f>
        <v>0</v>
      </c>
      <c r="R167" s="79">
        <f>'дод 2'!S247</f>
        <v>0</v>
      </c>
      <c r="S167" s="79">
        <f>'дод 2'!T247</f>
        <v>0</v>
      </c>
      <c r="T167" s="79">
        <f>'дод 2'!U247</f>
        <v>0</v>
      </c>
      <c r="U167" s="79">
        <f>'дод 2'!V247</f>
        <v>0</v>
      </c>
      <c r="V167" s="79">
        <f>'дод 2'!W247</f>
        <v>0</v>
      </c>
      <c r="W167" s="79">
        <f>'дод 2'!X247</f>
        <v>0</v>
      </c>
      <c r="X167" s="79">
        <f>'дод 2'!Y247</f>
        <v>0</v>
      </c>
      <c r="Y167" s="179"/>
      <c r="Z167" s="79">
        <f t="shared" si="71"/>
        <v>188223.02</v>
      </c>
      <c r="AA167" s="79">
        <f>'дод 2'!AB247</f>
        <v>213862</v>
      </c>
      <c r="AB167" s="221"/>
    </row>
    <row r="168" spans="1:28" s="82" customFormat="1" ht="15.75" customHeight="1" x14ac:dyDescent="0.25">
      <c r="A168" s="81"/>
      <c r="B168" s="81"/>
      <c r="C168" s="48" t="s">
        <v>379</v>
      </c>
      <c r="D168" s="80">
        <f>'дод 2'!E248</f>
        <v>213862</v>
      </c>
      <c r="E168" s="80">
        <f>'дод 2'!F248</f>
        <v>213862</v>
      </c>
      <c r="F168" s="80">
        <f>'дод 2'!G248</f>
        <v>0</v>
      </c>
      <c r="G168" s="80">
        <f>'дод 2'!H248</f>
        <v>0</v>
      </c>
      <c r="H168" s="80">
        <f>'дод 2'!I248</f>
        <v>0</v>
      </c>
      <c r="I168" s="80">
        <f>'дод 2'!J248</f>
        <v>188223.02</v>
      </c>
      <c r="J168" s="80">
        <f>'дод 2'!K248</f>
        <v>0</v>
      </c>
      <c r="K168" s="80">
        <f>'дод 2'!L248</f>
        <v>0</v>
      </c>
      <c r="L168" s="180">
        <f t="shared" si="70"/>
        <v>88.011437281985565</v>
      </c>
      <c r="M168" s="80">
        <f>'дод 2'!N248</f>
        <v>0</v>
      </c>
      <c r="N168" s="80">
        <f>'дод 2'!O248</f>
        <v>0</v>
      </c>
      <c r="O168" s="80">
        <f>'дод 2'!P248</f>
        <v>0</v>
      </c>
      <c r="P168" s="80">
        <f>'дод 2'!Q248</f>
        <v>0</v>
      </c>
      <c r="Q168" s="80">
        <f>'дод 2'!R248</f>
        <v>0</v>
      </c>
      <c r="R168" s="80">
        <f>'дод 2'!S248</f>
        <v>0</v>
      </c>
      <c r="S168" s="80">
        <f>'дод 2'!T248</f>
        <v>0</v>
      </c>
      <c r="T168" s="80">
        <f>'дод 2'!U248</f>
        <v>0</v>
      </c>
      <c r="U168" s="80">
        <f>'дод 2'!V248</f>
        <v>0</v>
      </c>
      <c r="V168" s="80">
        <f>'дод 2'!W248</f>
        <v>0</v>
      </c>
      <c r="W168" s="80">
        <f>'дод 2'!X248</f>
        <v>0</v>
      </c>
      <c r="X168" s="80">
        <f>'дод 2'!Y248</f>
        <v>0</v>
      </c>
      <c r="Y168" s="180"/>
      <c r="Z168" s="80">
        <f t="shared" si="71"/>
        <v>188223.02</v>
      </c>
      <c r="AA168" s="80">
        <f>'дод 2'!AB248</f>
        <v>213862</v>
      </c>
      <c r="AB168" s="221"/>
    </row>
    <row r="169" spans="1:28" s="82" customFormat="1" ht="36" hidden="1" customHeight="1" x14ac:dyDescent="0.25">
      <c r="A169" s="45" t="s">
        <v>304</v>
      </c>
      <c r="B169" s="45">
        <v>1010</v>
      </c>
      <c r="C169" s="33" t="s">
        <v>387</v>
      </c>
      <c r="D169" s="79">
        <f>'дод 2'!E249</f>
        <v>0</v>
      </c>
      <c r="E169" s="79">
        <f>'дод 2'!F249</f>
        <v>0</v>
      </c>
      <c r="F169" s="79">
        <f>'дод 2'!G249</f>
        <v>0</v>
      </c>
      <c r="G169" s="79">
        <f>'дод 2'!H249</f>
        <v>0</v>
      </c>
      <c r="H169" s="79">
        <f>'дод 2'!I249</f>
        <v>0</v>
      </c>
      <c r="I169" s="79">
        <f>'дод 2'!J249</f>
        <v>0</v>
      </c>
      <c r="J169" s="79">
        <f>'дод 2'!K249</f>
        <v>0</v>
      </c>
      <c r="K169" s="79">
        <f>'дод 2'!L249</f>
        <v>0</v>
      </c>
      <c r="L169" s="179" t="e">
        <f t="shared" si="70"/>
        <v>#DIV/0!</v>
      </c>
      <c r="M169" s="79">
        <f>'дод 2'!N249</f>
        <v>0</v>
      </c>
      <c r="N169" s="79">
        <f>'дод 2'!O249</f>
        <v>0</v>
      </c>
      <c r="O169" s="79">
        <f>'дод 2'!P249</f>
        <v>0</v>
      </c>
      <c r="P169" s="79">
        <f>'дод 2'!Q249</f>
        <v>0</v>
      </c>
      <c r="Q169" s="79">
        <f>'дод 2'!R249</f>
        <v>0</v>
      </c>
      <c r="R169" s="79">
        <f>'дод 2'!S249</f>
        <v>0</v>
      </c>
      <c r="S169" s="79">
        <f>'дод 2'!T249</f>
        <v>0</v>
      </c>
      <c r="T169" s="79">
        <f>'дод 2'!U249</f>
        <v>0</v>
      </c>
      <c r="U169" s="79">
        <f>'дод 2'!V249</f>
        <v>0</v>
      </c>
      <c r="V169" s="79">
        <f>'дод 2'!W249</f>
        <v>0</v>
      </c>
      <c r="W169" s="79">
        <f>'дод 2'!X249</f>
        <v>0</v>
      </c>
      <c r="X169" s="79">
        <f>'дод 2'!Y249</f>
        <v>0</v>
      </c>
      <c r="Y169" s="179"/>
      <c r="Z169" s="79">
        <f t="shared" si="71"/>
        <v>0</v>
      </c>
      <c r="AA169" s="79">
        <f>'дод 2'!AB249</f>
        <v>0</v>
      </c>
      <c r="AB169" s="221"/>
    </row>
    <row r="170" spans="1:28" s="82" customFormat="1" ht="15.75" hidden="1" customHeight="1" x14ac:dyDescent="0.25">
      <c r="A170" s="81"/>
      <c r="B170" s="81"/>
      <c r="C170" s="48" t="s">
        <v>379</v>
      </c>
      <c r="D170" s="80">
        <f>'дод 2'!E250</f>
        <v>0</v>
      </c>
      <c r="E170" s="80">
        <f>'дод 2'!F250</f>
        <v>0</v>
      </c>
      <c r="F170" s="80">
        <f>'дод 2'!G250</f>
        <v>0</v>
      </c>
      <c r="G170" s="80">
        <f>'дод 2'!H250</f>
        <v>0</v>
      </c>
      <c r="H170" s="80">
        <f>'дод 2'!I250</f>
        <v>0</v>
      </c>
      <c r="I170" s="80">
        <f>'дод 2'!J250</f>
        <v>0</v>
      </c>
      <c r="J170" s="80">
        <f>'дод 2'!K250</f>
        <v>0</v>
      </c>
      <c r="K170" s="80">
        <f>'дод 2'!L250</f>
        <v>0</v>
      </c>
      <c r="L170" s="180" t="e">
        <f t="shared" si="70"/>
        <v>#DIV/0!</v>
      </c>
      <c r="M170" s="80">
        <f>'дод 2'!N250</f>
        <v>0</v>
      </c>
      <c r="N170" s="80">
        <f>'дод 2'!O250</f>
        <v>0</v>
      </c>
      <c r="O170" s="80">
        <f>'дод 2'!P250</f>
        <v>0</v>
      </c>
      <c r="P170" s="80">
        <f>'дод 2'!Q250</f>
        <v>0</v>
      </c>
      <c r="Q170" s="80">
        <f>'дод 2'!R250</f>
        <v>0</v>
      </c>
      <c r="R170" s="80">
        <f>'дод 2'!S250</f>
        <v>0</v>
      </c>
      <c r="S170" s="80">
        <f>'дод 2'!T250</f>
        <v>0</v>
      </c>
      <c r="T170" s="80">
        <f>'дод 2'!U250</f>
        <v>0</v>
      </c>
      <c r="U170" s="80">
        <f>'дод 2'!V250</f>
        <v>0</v>
      </c>
      <c r="V170" s="80">
        <f>'дод 2'!W250</f>
        <v>0</v>
      </c>
      <c r="W170" s="80">
        <f>'дод 2'!X250</f>
        <v>0</v>
      </c>
      <c r="X170" s="80">
        <f>'дод 2'!Y250</f>
        <v>0</v>
      </c>
      <c r="Y170" s="180"/>
      <c r="Z170" s="80">
        <f t="shared" si="71"/>
        <v>0</v>
      </c>
      <c r="AA170" s="80">
        <f>'дод 2'!AB250</f>
        <v>0</v>
      </c>
      <c r="AB170" s="221"/>
    </row>
    <row r="171" spans="1:28" ht="72.75" hidden="1" customHeight="1" x14ac:dyDescent="0.25">
      <c r="A171" s="45" t="s">
        <v>100</v>
      </c>
      <c r="B171" s="45" t="s">
        <v>51</v>
      </c>
      <c r="C171" s="33" t="s">
        <v>327</v>
      </c>
      <c r="D171" s="79">
        <f>'дод 2'!E251</f>
        <v>0</v>
      </c>
      <c r="E171" s="79">
        <f>'дод 2'!F251</f>
        <v>0</v>
      </c>
      <c r="F171" s="79">
        <f>'дод 2'!G251</f>
        <v>0</v>
      </c>
      <c r="G171" s="79">
        <f>'дод 2'!H251</f>
        <v>0</v>
      </c>
      <c r="H171" s="79">
        <f>'дод 2'!I251</f>
        <v>0</v>
      </c>
      <c r="I171" s="79">
        <f>'дод 2'!J251</f>
        <v>0</v>
      </c>
      <c r="J171" s="79">
        <f>'дод 2'!K251</f>
        <v>0</v>
      </c>
      <c r="K171" s="79">
        <f>'дод 2'!L251</f>
        <v>0</v>
      </c>
      <c r="L171" s="179" t="e">
        <f t="shared" si="70"/>
        <v>#DIV/0!</v>
      </c>
      <c r="M171" s="79">
        <f>'дод 2'!N251</f>
        <v>0</v>
      </c>
      <c r="N171" s="79">
        <f>'дод 2'!O251</f>
        <v>0</v>
      </c>
      <c r="O171" s="79">
        <f>'дод 2'!P251</f>
        <v>0</v>
      </c>
      <c r="P171" s="79">
        <f>'дод 2'!Q251</f>
        <v>0</v>
      </c>
      <c r="Q171" s="79">
        <f>'дод 2'!R251</f>
        <v>0</v>
      </c>
      <c r="R171" s="79">
        <f>'дод 2'!S251</f>
        <v>0</v>
      </c>
      <c r="S171" s="79">
        <f>'дод 2'!T251</f>
        <v>0</v>
      </c>
      <c r="T171" s="79">
        <f>'дод 2'!U251</f>
        <v>0</v>
      </c>
      <c r="U171" s="79">
        <f>'дод 2'!V251</f>
        <v>0</v>
      </c>
      <c r="V171" s="79">
        <f>'дод 2'!W251</f>
        <v>0</v>
      </c>
      <c r="W171" s="79">
        <f>'дод 2'!X251</f>
        <v>0</v>
      </c>
      <c r="X171" s="79">
        <f>'дод 2'!Y251</f>
        <v>0</v>
      </c>
      <c r="Y171" s="179"/>
      <c r="Z171" s="79">
        <f t="shared" si="71"/>
        <v>0</v>
      </c>
      <c r="AA171" s="79">
        <f>'дод 2'!AB251</f>
        <v>0</v>
      </c>
      <c r="AB171" s="221"/>
    </row>
    <row r="172" spans="1:28" s="82" customFormat="1" ht="34.5" customHeight="1" x14ac:dyDescent="0.25">
      <c r="A172" s="45" t="s">
        <v>275</v>
      </c>
      <c r="B172" s="45" t="s">
        <v>50</v>
      </c>
      <c r="C172" s="33" t="s">
        <v>18</v>
      </c>
      <c r="D172" s="79">
        <f>'дод 2'!E252</f>
        <v>6712361</v>
      </c>
      <c r="E172" s="79">
        <f>'дод 2'!F252</f>
        <v>6712361</v>
      </c>
      <c r="F172" s="79">
        <f>'дод 2'!G252</f>
        <v>0</v>
      </c>
      <c r="G172" s="79">
        <f>'дод 2'!H252</f>
        <v>0</v>
      </c>
      <c r="H172" s="79">
        <f>'дод 2'!I252</f>
        <v>0</v>
      </c>
      <c r="I172" s="79">
        <f>'дод 2'!J252</f>
        <v>6710395.4800000004</v>
      </c>
      <c r="J172" s="79">
        <f>'дод 2'!K252</f>
        <v>0</v>
      </c>
      <c r="K172" s="79">
        <f>'дод 2'!L252</f>
        <v>0</v>
      </c>
      <c r="L172" s="179">
        <f t="shared" si="70"/>
        <v>99.970717903879134</v>
      </c>
      <c r="M172" s="79">
        <f>'дод 2'!N252</f>
        <v>0</v>
      </c>
      <c r="N172" s="79">
        <f>'дод 2'!O252</f>
        <v>0</v>
      </c>
      <c r="O172" s="79">
        <f>'дод 2'!P252</f>
        <v>0</v>
      </c>
      <c r="P172" s="79">
        <f>'дод 2'!Q252</f>
        <v>0</v>
      </c>
      <c r="Q172" s="79">
        <f>'дод 2'!R252</f>
        <v>0</v>
      </c>
      <c r="R172" s="79">
        <f>'дод 2'!S252</f>
        <v>0</v>
      </c>
      <c r="S172" s="79">
        <f>'дод 2'!T252</f>
        <v>0</v>
      </c>
      <c r="T172" s="79">
        <f>'дод 2'!U252</f>
        <v>0</v>
      </c>
      <c r="U172" s="79">
        <f>'дод 2'!V252</f>
        <v>0</v>
      </c>
      <c r="V172" s="79">
        <f>'дод 2'!W252</f>
        <v>0</v>
      </c>
      <c r="W172" s="79">
        <f>'дод 2'!X252</f>
        <v>0</v>
      </c>
      <c r="X172" s="79">
        <f>'дод 2'!Y252</f>
        <v>0</v>
      </c>
      <c r="Y172" s="179"/>
      <c r="Z172" s="79">
        <f t="shared" si="71"/>
        <v>6710395.4800000004</v>
      </c>
      <c r="AA172" s="79">
        <f>'дод 2'!AB252</f>
        <v>6712361</v>
      </c>
      <c r="AB172" s="221"/>
    </row>
    <row r="173" spans="1:28" s="82" customFormat="1" ht="59.25" customHeight="1" x14ac:dyDescent="0.25">
      <c r="A173" s="45" t="s">
        <v>276</v>
      </c>
      <c r="B173" s="45" t="s">
        <v>50</v>
      </c>
      <c r="C173" s="24" t="s">
        <v>467</v>
      </c>
      <c r="D173" s="79">
        <f>'дод 2'!E253</f>
        <v>2036420</v>
      </c>
      <c r="E173" s="79">
        <f>'дод 2'!F253</f>
        <v>2036420</v>
      </c>
      <c r="F173" s="79">
        <f>'дод 2'!G253</f>
        <v>0</v>
      </c>
      <c r="G173" s="79">
        <f>'дод 2'!H253</f>
        <v>0</v>
      </c>
      <c r="H173" s="79">
        <f>'дод 2'!I253</f>
        <v>0</v>
      </c>
      <c r="I173" s="79">
        <f>'дод 2'!J253</f>
        <v>2026076.86</v>
      </c>
      <c r="J173" s="79">
        <f>'дод 2'!K253</f>
        <v>0</v>
      </c>
      <c r="K173" s="79">
        <f>'дод 2'!L253</f>
        <v>0</v>
      </c>
      <c r="L173" s="179">
        <f t="shared" si="70"/>
        <v>99.492092004596316</v>
      </c>
      <c r="M173" s="79">
        <f>'дод 2'!N253</f>
        <v>0</v>
      </c>
      <c r="N173" s="79">
        <f>'дод 2'!O253</f>
        <v>0</v>
      </c>
      <c r="O173" s="79">
        <f>'дод 2'!P253</f>
        <v>0</v>
      </c>
      <c r="P173" s="79">
        <f>'дод 2'!Q253</f>
        <v>0</v>
      </c>
      <c r="Q173" s="79">
        <f>'дод 2'!R253</f>
        <v>0</v>
      </c>
      <c r="R173" s="79">
        <f>'дод 2'!S253</f>
        <v>0</v>
      </c>
      <c r="S173" s="79">
        <f>'дод 2'!T253</f>
        <v>0</v>
      </c>
      <c r="T173" s="79">
        <f>'дод 2'!U253</f>
        <v>0</v>
      </c>
      <c r="U173" s="79">
        <f>'дод 2'!V253</f>
        <v>0</v>
      </c>
      <c r="V173" s="79">
        <f>'дод 2'!W253</f>
        <v>0</v>
      </c>
      <c r="W173" s="79">
        <f>'дод 2'!X253</f>
        <v>0</v>
      </c>
      <c r="X173" s="79">
        <f>'дод 2'!Y253</f>
        <v>0</v>
      </c>
      <c r="Y173" s="179"/>
      <c r="Z173" s="79">
        <f t="shared" si="71"/>
        <v>2026076.86</v>
      </c>
      <c r="AA173" s="79">
        <f>'дод 2'!AB253</f>
        <v>2036420</v>
      </c>
      <c r="AB173" s="221"/>
    </row>
    <row r="174" spans="1:28" s="82" customFormat="1" ht="68.25" customHeight="1" x14ac:dyDescent="0.25">
      <c r="A174" s="23">
        <v>3193</v>
      </c>
      <c r="B174" s="23">
        <v>1030</v>
      </c>
      <c r="C174" s="24" t="s">
        <v>745</v>
      </c>
      <c r="D174" s="79">
        <f>'дод 2'!E254</f>
        <v>184288.32</v>
      </c>
      <c r="E174" s="79">
        <f>'дод 2'!F254</f>
        <v>184288.32</v>
      </c>
      <c r="F174" s="79">
        <f>'дод 2'!G254</f>
        <v>151056</v>
      </c>
      <c r="G174" s="79">
        <f>'дод 2'!H254</f>
        <v>0</v>
      </c>
      <c r="H174" s="79">
        <f>'дод 2'!I254</f>
        <v>0</v>
      </c>
      <c r="I174" s="79">
        <f>'дод 2'!J254</f>
        <v>0</v>
      </c>
      <c r="J174" s="79">
        <f>'дод 2'!K254</f>
        <v>0</v>
      </c>
      <c r="K174" s="79">
        <f>'дод 2'!L254</f>
        <v>0</v>
      </c>
      <c r="L174" s="179">
        <f t="shared" si="70"/>
        <v>0</v>
      </c>
      <c r="M174" s="79">
        <f>'дод 2'!N254</f>
        <v>0</v>
      </c>
      <c r="N174" s="79">
        <f>'дод 2'!O254</f>
        <v>0</v>
      </c>
      <c r="O174" s="79">
        <f>'дод 2'!P254</f>
        <v>0</v>
      </c>
      <c r="P174" s="79">
        <f>'дод 2'!Q254</f>
        <v>0</v>
      </c>
      <c r="Q174" s="79">
        <f>'дод 2'!R254</f>
        <v>0</v>
      </c>
      <c r="R174" s="79">
        <f>'дод 2'!S254</f>
        <v>0</v>
      </c>
      <c r="S174" s="79">
        <f>'дод 2'!T254</f>
        <v>0</v>
      </c>
      <c r="T174" s="79">
        <f>'дод 2'!U254</f>
        <v>0</v>
      </c>
      <c r="U174" s="79">
        <f>'дод 2'!V254</f>
        <v>0</v>
      </c>
      <c r="V174" s="79">
        <f>'дод 2'!W254</f>
        <v>0</v>
      </c>
      <c r="W174" s="79">
        <f>'дод 2'!X254</f>
        <v>0</v>
      </c>
      <c r="X174" s="79">
        <f>'дод 2'!Y254</f>
        <v>0</v>
      </c>
      <c r="Y174" s="179"/>
      <c r="Z174" s="79">
        <f t="shared" si="71"/>
        <v>0</v>
      </c>
      <c r="AA174" s="79">
        <f>'дод 2'!AB254</f>
        <v>184288.32</v>
      </c>
      <c r="AB174" s="221"/>
    </row>
    <row r="175" spans="1:28" s="82" customFormat="1" ht="84.75" customHeight="1" x14ac:dyDescent="0.25">
      <c r="A175" s="28"/>
      <c r="B175" s="28"/>
      <c r="C175" s="29" t="s">
        <v>741</v>
      </c>
      <c r="D175" s="80">
        <f>'дод 2'!E255</f>
        <v>184288.32</v>
      </c>
      <c r="E175" s="80">
        <f>'дод 2'!F255</f>
        <v>184288.32</v>
      </c>
      <c r="F175" s="80">
        <f>'дод 2'!G255</f>
        <v>151056</v>
      </c>
      <c r="G175" s="80">
        <f>'дод 2'!H255</f>
        <v>0</v>
      </c>
      <c r="H175" s="80">
        <f>'дод 2'!I255</f>
        <v>0</v>
      </c>
      <c r="I175" s="80">
        <f>'дод 2'!J255</f>
        <v>0</v>
      </c>
      <c r="J175" s="80">
        <f>'дод 2'!K255</f>
        <v>0</v>
      </c>
      <c r="K175" s="80">
        <f>'дод 2'!L255</f>
        <v>0</v>
      </c>
      <c r="L175" s="180">
        <f t="shared" si="70"/>
        <v>0</v>
      </c>
      <c r="M175" s="80">
        <f>'дод 2'!N255</f>
        <v>0</v>
      </c>
      <c r="N175" s="80">
        <f>'дод 2'!O255</f>
        <v>0</v>
      </c>
      <c r="O175" s="80">
        <f>'дод 2'!P255</f>
        <v>0</v>
      </c>
      <c r="P175" s="80">
        <f>'дод 2'!Q255</f>
        <v>0</v>
      </c>
      <c r="Q175" s="80">
        <f>'дод 2'!R255</f>
        <v>0</v>
      </c>
      <c r="R175" s="80">
        <f>'дод 2'!S255</f>
        <v>0</v>
      </c>
      <c r="S175" s="80">
        <f>'дод 2'!T255</f>
        <v>0</v>
      </c>
      <c r="T175" s="80">
        <f>'дод 2'!U255</f>
        <v>0</v>
      </c>
      <c r="U175" s="80">
        <f>'дод 2'!V255</f>
        <v>0</v>
      </c>
      <c r="V175" s="80">
        <f>'дод 2'!W255</f>
        <v>0</v>
      </c>
      <c r="W175" s="80">
        <f>'дод 2'!X255</f>
        <v>0</v>
      </c>
      <c r="X175" s="80">
        <f>'дод 2'!Y255</f>
        <v>0</v>
      </c>
      <c r="Y175" s="180"/>
      <c r="Z175" s="80">
        <f t="shared" si="71"/>
        <v>0</v>
      </c>
      <c r="AA175" s="80">
        <f>'дод 2'!AB255</f>
        <v>184288.32</v>
      </c>
      <c r="AB175" s="221"/>
    </row>
    <row r="176" spans="1:28" ht="36.75" customHeight="1" x14ac:dyDescent="0.25">
      <c r="A176" s="45" t="s">
        <v>101</v>
      </c>
      <c r="B176" s="45" t="s">
        <v>54</v>
      </c>
      <c r="C176" s="33" t="s">
        <v>328</v>
      </c>
      <c r="D176" s="79">
        <f>'дод 2'!E256</f>
        <v>107000</v>
      </c>
      <c r="E176" s="79">
        <f>'дод 2'!F256</f>
        <v>107000</v>
      </c>
      <c r="F176" s="79">
        <f>'дод 2'!G256</f>
        <v>0</v>
      </c>
      <c r="G176" s="79">
        <f>'дод 2'!H256</f>
        <v>0</v>
      </c>
      <c r="H176" s="79">
        <f>'дод 2'!I256</f>
        <v>0</v>
      </c>
      <c r="I176" s="79">
        <f>'дод 2'!J256</f>
        <v>106888</v>
      </c>
      <c r="J176" s="79">
        <f>'дод 2'!K256</f>
        <v>0</v>
      </c>
      <c r="K176" s="79">
        <f>'дод 2'!L256</f>
        <v>0</v>
      </c>
      <c r="L176" s="179">
        <f t="shared" si="70"/>
        <v>99.895327102803748</v>
      </c>
      <c r="M176" s="79">
        <f>'дод 2'!N256</f>
        <v>0</v>
      </c>
      <c r="N176" s="79">
        <f>'дод 2'!O256</f>
        <v>0</v>
      </c>
      <c r="O176" s="79">
        <f>'дод 2'!P256</f>
        <v>0</v>
      </c>
      <c r="P176" s="79">
        <f>'дод 2'!Q256</f>
        <v>0</v>
      </c>
      <c r="Q176" s="79">
        <f>'дод 2'!R256</f>
        <v>0</v>
      </c>
      <c r="R176" s="79">
        <f>'дод 2'!S256</f>
        <v>0</v>
      </c>
      <c r="S176" s="79">
        <f>'дод 2'!T256</f>
        <v>0</v>
      </c>
      <c r="T176" s="79">
        <f>'дод 2'!U256</f>
        <v>0</v>
      </c>
      <c r="U176" s="79">
        <f>'дод 2'!V256</f>
        <v>0</v>
      </c>
      <c r="V176" s="79">
        <f>'дод 2'!W256</f>
        <v>0</v>
      </c>
      <c r="W176" s="79">
        <f>'дод 2'!X256</f>
        <v>0</v>
      </c>
      <c r="X176" s="79">
        <f>'дод 2'!Y256</f>
        <v>0</v>
      </c>
      <c r="Y176" s="179"/>
      <c r="Z176" s="79">
        <f t="shared" si="71"/>
        <v>106888</v>
      </c>
      <c r="AA176" s="79">
        <f>'дод 2'!AB256</f>
        <v>107000</v>
      </c>
      <c r="AB176" s="221"/>
    </row>
    <row r="177" spans="1:32" ht="37.5" customHeight="1" x14ac:dyDescent="0.25">
      <c r="A177" s="45" t="s">
        <v>277</v>
      </c>
      <c r="B177" s="45" t="s">
        <v>102</v>
      </c>
      <c r="C177" s="33" t="s">
        <v>36</v>
      </c>
      <c r="D177" s="79">
        <f>'дод 2'!E257+'дод 2'!E313</f>
        <v>0</v>
      </c>
      <c r="E177" s="79">
        <f>'дод 2'!F257+'дод 2'!F313</f>
        <v>0</v>
      </c>
      <c r="F177" s="79">
        <f>'дод 2'!G257+'дод 2'!G313</f>
        <v>0</v>
      </c>
      <c r="G177" s="79">
        <f>'дод 2'!H257+'дод 2'!H313</f>
        <v>0</v>
      </c>
      <c r="H177" s="79">
        <f>'дод 2'!I257+'дод 2'!I313</f>
        <v>0</v>
      </c>
      <c r="I177" s="79">
        <f>'дод 2'!J257+'дод 2'!J313</f>
        <v>0</v>
      </c>
      <c r="J177" s="79">
        <f>'дод 2'!K257+'дод 2'!K313</f>
        <v>0</v>
      </c>
      <c r="K177" s="79">
        <f>'дод 2'!L257+'дод 2'!L313</f>
        <v>0</v>
      </c>
      <c r="L177" s="179"/>
      <c r="M177" s="79">
        <f>'дод 2'!N257+'дод 2'!N313</f>
        <v>0</v>
      </c>
      <c r="N177" s="79">
        <f>'дод 2'!O257+'дод 2'!O313</f>
        <v>0</v>
      </c>
      <c r="O177" s="79">
        <f>'дод 2'!P257+'дод 2'!P313</f>
        <v>0</v>
      </c>
      <c r="P177" s="79">
        <f>'дод 2'!Q257+'дод 2'!Q313</f>
        <v>0</v>
      </c>
      <c r="Q177" s="79">
        <f>'дод 2'!R257+'дод 2'!R313</f>
        <v>0</v>
      </c>
      <c r="R177" s="79">
        <f>'дод 2'!S257+'дод 2'!S313</f>
        <v>0</v>
      </c>
      <c r="S177" s="79">
        <f>'дод 2'!T257+'дод 2'!T313</f>
        <v>100000</v>
      </c>
      <c r="T177" s="79">
        <f>'дод 2'!U257+'дод 2'!U313</f>
        <v>0</v>
      </c>
      <c r="U177" s="79">
        <f>'дод 2'!V257+'дод 2'!V313</f>
        <v>100000</v>
      </c>
      <c r="V177" s="79">
        <f>'дод 2'!W257+'дод 2'!W313</f>
        <v>81967.199999999997</v>
      </c>
      <c r="W177" s="79">
        <f>'дод 2'!X257+'дод 2'!X313</f>
        <v>0</v>
      </c>
      <c r="X177" s="79">
        <f>'дод 2'!Y257+'дод 2'!Y313</f>
        <v>0</v>
      </c>
      <c r="Y177" s="179"/>
      <c r="Z177" s="79">
        <f t="shared" si="71"/>
        <v>100000</v>
      </c>
      <c r="AA177" s="79">
        <f>'дод 2'!AB257+'дод 2'!AB313</f>
        <v>0</v>
      </c>
      <c r="AB177" s="221"/>
    </row>
    <row r="178" spans="1:32" ht="237.4" customHeight="1" x14ac:dyDescent="0.25">
      <c r="A178" s="23">
        <v>3221</v>
      </c>
      <c r="B178" s="22" t="s">
        <v>51</v>
      </c>
      <c r="C178" s="24" t="s">
        <v>632</v>
      </c>
      <c r="D178" s="79">
        <f>'дод 2'!E258</f>
        <v>0</v>
      </c>
      <c r="E178" s="79">
        <f>'дод 2'!F258</f>
        <v>0</v>
      </c>
      <c r="F178" s="79">
        <f>'дод 2'!G258</f>
        <v>0</v>
      </c>
      <c r="G178" s="79">
        <f>'дод 2'!H258</f>
        <v>0</v>
      </c>
      <c r="H178" s="79">
        <f>'дод 2'!I258</f>
        <v>0</v>
      </c>
      <c r="I178" s="79">
        <f>'дод 2'!J258</f>
        <v>0</v>
      </c>
      <c r="J178" s="79">
        <f>'дод 2'!K258</f>
        <v>0</v>
      </c>
      <c r="K178" s="79">
        <f>'дод 2'!L258</f>
        <v>0</v>
      </c>
      <c r="L178" s="179"/>
      <c r="M178" s="79">
        <f>'дод 2'!N258</f>
        <v>8260461.4100000001</v>
      </c>
      <c r="N178" s="79">
        <f>'дод 2'!O258</f>
        <v>8260461.4100000001</v>
      </c>
      <c r="O178" s="79">
        <f>'дод 2'!P258</f>
        <v>0</v>
      </c>
      <c r="P178" s="79">
        <f>'дод 2'!Q258</f>
        <v>0</v>
      </c>
      <c r="Q178" s="79">
        <f>'дод 2'!R258</f>
        <v>0</v>
      </c>
      <c r="R178" s="79">
        <f>'дод 2'!S258</f>
        <v>8260461.4100000001</v>
      </c>
      <c r="S178" s="79">
        <f>'дод 2'!T258</f>
        <v>8260461.4100000001</v>
      </c>
      <c r="T178" s="79">
        <f>'дод 2'!U258</f>
        <v>8260461.4100000001</v>
      </c>
      <c r="U178" s="79">
        <f>'дод 2'!V258</f>
        <v>0</v>
      </c>
      <c r="V178" s="79">
        <f>'дод 2'!W258</f>
        <v>0</v>
      </c>
      <c r="W178" s="79">
        <f>'дод 2'!X258</f>
        <v>0</v>
      </c>
      <c r="X178" s="79">
        <f>'дод 2'!Y258</f>
        <v>8260461.4100000001</v>
      </c>
      <c r="Y178" s="179">
        <f t="shared" si="72"/>
        <v>100</v>
      </c>
      <c r="Z178" s="79">
        <f t="shared" si="71"/>
        <v>8260461.4100000001</v>
      </c>
      <c r="AA178" s="79">
        <f>'дод 2'!AB258</f>
        <v>8260461.4100000001</v>
      </c>
      <c r="AB178" s="221"/>
    </row>
    <row r="179" spans="1:32" s="82" customFormat="1" ht="260.64999999999998" customHeight="1" x14ac:dyDescent="0.25">
      <c r="A179" s="28"/>
      <c r="B179" s="27"/>
      <c r="C179" s="29" t="s">
        <v>635</v>
      </c>
      <c r="D179" s="80">
        <f>'дод 2'!E259</f>
        <v>0</v>
      </c>
      <c r="E179" s="80">
        <f>'дод 2'!F259</f>
        <v>0</v>
      </c>
      <c r="F179" s="80">
        <f>'дод 2'!G259</f>
        <v>0</v>
      </c>
      <c r="G179" s="80">
        <f>'дод 2'!H259</f>
        <v>0</v>
      </c>
      <c r="H179" s="80">
        <f>'дод 2'!I259</f>
        <v>0</v>
      </c>
      <c r="I179" s="80">
        <f>'дод 2'!J259</f>
        <v>0</v>
      </c>
      <c r="J179" s="80">
        <f>'дод 2'!K259</f>
        <v>0</v>
      </c>
      <c r="K179" s="80">
        <f>'дод 2'!L259</f>
        <v>0</v>
      </c>
      <c r="L179" s="180"/>
      <c r="M179" s="80">
        <f>'дод 2'!N259</f>
        <v>8260461.4100000001</v>
      </c>
      <c r="N179" s="80">
        <f>'дод 2'!O259</f>
        <v>8260461.4100000001</v>
      </c>
      <c r="O179" s="80">
        <f>'дод 2'!P259</f>
        <v>0</v>
      </c>
      <c r="P179" s="80">
        <f>'дод 2'!Q259</f>
        <v>0</v>
      </c>
      <c r="Q179" s="80">
        <f>'дод 2'!R259</f>
        <v>0</v>
      </c>
      <c r="R179" s="80">
        <f>'дод 2'!S259</f>
        <v>8260461.4100000001</v>
      </c>
      <c r="S179" s="80">
        <f>'дод 2'!T259</f>
        <v>8260461.4100000001</v>
      </c>
      <c r="T179" s="80">
        <f>'дод 2'!U259</f>
        <v>8260461.4100000001</v>
      </c>
      <c r="U179" s="80">
        <f>'дод 2'!V259</f>
        <v>0</v>
      </c>
      <c r="V179" s="80">
        <f>'дод 2'!W259</f>
        <v>0</v>
      </c>
      <c r="W179" s="80">
        <f>'дод 2'!X259</f>
        <v>0</v>
      </c>
      <c r="X179" s="80">
        <f>'дод 2'!Y259</f>
        <v>8260461.4100000001</v>
      </c>
      <c r="Y179" s="180">
        <f t="shared" si="72"/>
        <v>100</v>
      </c>
      <c r="Z179" s="80">
        <f t="shared" si="71"/>
        <v>8260461.4100000001</v>
      </c>
      <c r="AA179" s="80">
        <f>'дод 2'!AB259</f>
        <v>8260461.4100000001</v>
      </c>
      <c r="AB179" s="221">
        <v>8</v>
      </c>
    </row>
    <row r="180" spans="1:32" s="82" customFormat="1" ht="267.75" x14ac:dyDescent="0.25">
      <c r="A180" s="23">
        <v>3222</v>
      </c>
      <c r="B180" s="22" t="s">
        <v>51</v>
      </c>
      <c r="C180" s="24" t="s">
        <v>633</v>
      </c>
      <c r="D180" s="79">
        <f>'дод 2'!E260</f>
        <v>0</v>
      </c>
      <c r="E180" s="79">
        <f>'дод 2'!F260</f>
        <v>0</v>
      </c>
      <c r="F180" s="79">
        <f>'дод 2'!G260</f>
        <v>0</v>
      </c>
      <c r="G180" s="79">
        <f>'дод 2'!H260</f>
        <v>0</v>
      </c>
      <c r="H180" s="79">
        <f>'дод 2'!I260</f>
        <v>0</v>
      </c>
      <c r="I180" s="79">
        <f>'дод 2'!J260</f>
        <v>0</v>
      </c>
      <c r="J180" s="79">
        <f>'дод 2'!K260</f>
        <v>0</v>
      </c>
      <c r="K180" s="79">
        <f>'дод 2'!L260</f>
        <v>0</v>
      </c>
      <c r="L180" s="179"/>
      <c r="M180" s="79">
        <f>'дод 2'!N260</f>
        <v>20395339.16</v>
      </c>
      <c r="N180" s="79">
        <f>'дод 2'!O260</f>
        <v>20395339.16</v>
      </c>
      <c r="O180" s="79">
        <f>'дод 2'!P260</f>
        <v>0</v>
      </c>
      <c r="P180" s="79">
        <f>'дод 2'!Q260</f>
        <v>0</v>
      </c>
      <c r="Q180" s="79">
        <f>'дод 2'!R260</f>
        <v>0</v>
      </c>
      <c r="R180" s="79">
        <f>'дод 2'!S260</f>
        <v>20395339.16</v>
      </c>
      <c r="S180" s="79">
        <f>'дод 2'!T260</f>
        <v>20395339.16</v>
      </c>
      <c r="T180" s="79">
        <f>'дод 2'!U260</f>
        <v>20395339.16</v>
      </c>
      <c r="U180" s="79">
        <f>'дод 2'!V260</f>
        <v>0</v>
      </c>
      <c r="V180" s="79">
        <f>'дод 2'!W260</f>
        <v>0</v>
      </c>
      <c r="W180" s="79">
        <f>'дод 2'!X260</f>
        <v>0</v>
      </c>
      <c r="X180" s="79">
        <f>'дод 2'!Y260</f>
        <v>20395339.16</v>
      </c>
      <c r="Y180" s="179">
        <f t="shared" si="72"/>
        <v>100</v>
      </c>
      <c r="Z180" s="79">
        <f t="shared" si="71"/>
        <v>20395339.16</v>
      </c>
      <c r="AA180" s="79">
        <f>'дод 2'!AB260</f>
        <v>20395339.16</v>
      </c>
      <c r="AB180" s="221"/>
    </row>
    <row r="181" spans="1:32" s="82" customFormat="1" ht="259.5" customHeight="1" x14ac:dyDescent="0.25">
      <c r="A181" s="28"/>
      <c r="B181" s="27"/>
      <c r="C181" s="29" t="s">
        <v>637</v>
      </c>
      <c r="D181" s="80">
        <f>'дод 2'!E261</f>
        <v>0</v>
      </c>
      <c r="E181" s="80">
        <f>'дод 2'!F261</f>
        <v>0</v>
      </c>
      <c r="F181" s="80">
        <f>'дод 2'!G261</f>
        <v>0</v>
      </c>
      <c r="G181" s="80">
        <f>'дод 2'!H261</f>
        <v>0</v>
      </c>
      <c r="H181" s="80">
        <f>'дод 2'!I261</f>
        <v>0</v>
      </c>
      <c r="I181" s="80">
        <f>'дод 2'!J261</f>
        <v>0</v>
      </c>
      <c r="J181" s="80">
        <f>'дод 2'!K261</f>
        <v>0</v>
      </c>
      <c r="K181" s="80">
        <f>'дод 2'!L261</f>
        <v>0</v>
      </c>
      <c r="L181" s="180"/>
      <c r="M181" s="80">
        <f>'дод 2'!N261</f>
        <v>20395339.16</v>
      </c>
      <c r="N181" s="80">
        <f>'дод 2'!O261</f>
        <v>20395339.16</v>
      </c>
      <c r="O181" s="80">
        <f>'дод 2'!P261</f>
        <v>0</v>
      </c>
      <c r="P181" s="80">
        <f>'дод 2'!Q261</f>
        <v>0</v>
      </c>
      <c r="Q181" s="80">
        <f>'дод 2'!R261</f>
        <v>0</v>
      </c>
      <c r="R181" s="80">
        <f>'дод 2'!S261</f>
        <v>20395339.16</v>
      </c>
      <c r="S181" s="80">
        <f>'дод 2'!T261</f>
        <v>20395339.16</v>
      </c>
      <c r="T181" s="80">
        <f>'дод 2'!U261</f>
        <v>20395339.16</v>
      </c>
      <c r="U181" s="80">
        <f>'дод 2'!V261</f>
        <v>0</v>
      </c>
      <c r="V181" s="80">
        <f>'дод 2'!W261</f>
        <v>0</v>
      </c>
      <c r="W181" s="80">
        <f>'дод 2'!X261</f>
        <v>0</v>
      </c>
      <c r="X181" s="80">
        <f>'дод 2'!Y261</f>
        <v>20395339.16</v>
      </c>
      <c r="Y181" s="180">
        <f t="shared" si="72"/>
        <v>100</v>
      </c>
      <c r="Z181" s="80">
        <f t="shared" si="71"/>
        <v>20395339.16</v>
      </c>
      <c r="AA181" s="80">
        <f>'дод 2'!AB261</f>
        <v>20395339.16</v>
      </c>
      <c r="AB181" s="221"/>
    </row>
    <row r="182" spans="1:32" s="106" customFormat="1" ht="164.25" customHeight="1" x14ac:dyDescent="0.25">
      <c r="A182" s="45">
        <v>3223</v>
      </c>
      <c r="B182" s="34" t="s">
        <v>51</v>
      </c>
      <c r="C182" s="24" t="s">
        <v>634</v>
      </c>
      <c r="D182" s="79">
        <f>'дод 2'!E262</f>
        <v>0</v>
      </c>
      <c r="E182" s="79">
        <f>'дод 2'!F262</f>
        <v>0</v>
      </c>
      <c r="F182" s="79">
        <f>'дод 2'!G262</f>
        <v>0</v>
      </c>
      <c r="G182" s="79">
        <f>'дод 2'!H262</f>
        <v>0</v>
      </c>
      <c r="H182" s="79">
        <f>'дод 2'!I262</f>
        <v>0</v>
      </c>
      <c r="I182" s="79">
        <f>'дод 2'!J262</f>
        <v>0</v>
      </c>
      <c r="J182" s="79">
        <f>'дод 2'!K262</f>
        <v>0</v>
      </c>
      <c r="K182" s="79">
        <f>'дод 2'!L262</f>
        <v>0</v>
      </c>
      <c r="L182" s="179"/>
      <c r="M182" s="79">
        <f>'дод 2'!N262</f>
        <v>3386099.22</v>
      </c>
      <c r="N182" s="79">
        <f>'дод 2'!O262</f>
        <v>3386099.22</v>
      </c>
      <c r="O182" s="79">
        <f>'дод 2'!P262</f>
        <v>0</v>
      </c>
      <c r="P182" s="79">
        <f>'дод 2'!Q262</f>
        <v>0</v>
      </c>
      <c r="Q182" s="79">
        <f>'дод 2'!R262</f>
        <v>0</v>
      </c>
      <c r="R182" s="79">
        <f>'дод 2'!S262</f>
        <v>3386099.22</v>
      </c>
      <c r="S182" s="79">
        <f>'дод 2'!T262</f>
        <v>3386099.22</v>
      </c>
      <c r="T182" s="79">
        <f>'дод 2'!U262</f>
        <v>3386099.22</v>
      </c>
      <c r="U182" s="79">
        <f>'дод 2'!V262</f>
        <v>0</v>
      </c>
      <c r="V182" s="79">
        <f>'дод 2'!W262</f>
        <v>0</v>
      </c>
      <c r="W182" s="79">
        <f>'дод 2'!X262</f>
        <v>0</v>
      </c>
      <c r="X182" s="79">
        <f>'дод 2'!Y262</f>
        <v>3386099.22</v>
      </c>
      <c r="Y182" s="179">
        <f t="shared" si="72"/>
        <v>100</v>
      </c>
      <c r="Z182" s="79">
        <f t="shared" si="71"/>
        <v>3386099.22</v>
      </c>
      <c r="AA182" s="79">
        <f>'дод 2'!AB262</f>
        <v>3386099.22</v>
      </c>
      <c r="AB182" s="221"/>
    </row>
    <row r="183" spans="1:32" s="107" customFormat="1" ht="197.25" customHeight="1" x14ac:dyDescent="0.25">
      <c r="A183" s="81"/>
      <c r="B183" s="91"/>
      <c r="C183" s="29" t="s">
        <v>636</v>
      </c>
      <c r="D183" s="80">
        <f>'дод 2'!E263</f>
        <v>0</v>
      </c>
      <c r="E183" s="80">
        <f>'дод 2'!F263</f>
        <v>0</v>
      </c>
      <c r="F183" s="80">
        <f>'дод 2'!G263</f>
        <v>0</v>
      </c>
      <c r="G183" s="80">
        <f>'дод 2'!H263</f>
        <v>0</v>
      </c>
      <c r="H183" s="80">
        <f>'дод 2'!I263</f>
        <v>0</v>
      </c>
      <c r="I183" s="80">
        <f>'дод 2'!J263</f>
        <v>0</v>
      </c>
      <c r="J183" s="80">
        <f>'дод 2'!K263</f>
        <v>0</v>
      </c>
      <c r="K183" s="80">
        <f>'дод 2'!L263</f>
        <v>0</v>
      </c>
      <c r="L183" s="180"/>
      <c r="M183" s="80">
        <f>'дод 2'!N263</f>
        <v>3386099.22</v>
      </c>
      <c r="N183" s="80">
        <f>'дод 2'!O263</f>
        <v>3386099.22</v>
      </c>
      <c r="O183" s="80">
        <f>'дод 2'!P263</f>
        <v>0</v>
      </c>
      <c r="P183" s="80">
        <f>'дод 2'!Q263</f>
        <v>0</v>
      </c>
      <c r="Q183" s="80">
        <f>'дод 2'!R263</f>
        <v>0</v>
      </c>
      <c r="R183" s="80">
        <f>'дод 2'!S263</f>
        <v>3386099.22</v>
      </c>
      <c r="S183" s="80">
        <f>'дод 2'!T263</f>
        <v>3386099.22</v>
      </c>
      <c r="T183" s="80">
        <f>'дод 2'!U263</f>
        <v>3386099.22</v>
      </c>
      <c r="U183" s="80">
        <f>'дод 2'!V263</f>
        <v>0</v>
      </c>
      <c r="V183" s="80">
        <f>'дод 2'!W263</f>
        <v>0</v>
      </c>
      <c r="W183" s="80">
        <f>'дод 2'!X263</f>
        <v>0</v>
      </c>
      <c r="X183" s="80">
        <f>'дод 2'!Y263</f>
        <v>3386099.22</v>
      </c>
      <c r="Y183" s="180">
        <f t="shared" si="72"/>
        <v>100</v>
      </c>
      <c r="Z183" s="80">
        <f t="shared" si="71"/>
        <v>3386099.22</v>
      </c>
      <c r="AA183" s="80">
        <f>'дод 2'!AB263</f>
        <v>3386099.22</v>
      </c>
      <c r="AB183" s="221"/>
    </row>
    <row r="184" spans="1:32" s="82" customFormat="1" ht="39.75" customHeight="1" x14ac:dyDescent="0.25">
      <c r="A184" s="45" t="s">
        <v>278</v>
      </c>
      <c r="B184" s="45" t="s">
        <v>54</v>
      </c>
      <c r="C184" s="33" t="s">
        <v>280</v>
      </c>
      <c r="D184" s="79">
        <f>'дод 2'!E264+'дод 2'!E37</f>
        <v>8693353</v>
      </c>
      <c r="E184" s="79">
        <f>'дод 2'!F264+'дод 2'!F37</f>
        <v>8693353</v>
      </c>
      <c r="F184" s="79">
        <f>'дод 2'!G264+'дод 2'!G37</f>
        <v>4935753</v>
      </c>
      <c r="G184" s="79">
        <f>'дод 2'!H264+'дод 2'!H37</f>
        <v>765300</v>
      </c>
      <c r="H184" s="79">
        <f>'дод 2'!I264+'дод 2'!I37</f>
        <v>0</v>
      </c>
      <c r="I184" s="79">
        <f>'дод 2'!J264+'дод 2'!J37</f>
        <v>8250511.9499999993</v>
      </c>
      <c r="J184" s="79">
        <f>'дод 2'!K264+'дод 2'!K37</f>
        <v>4895549.45</v>
      </c>
      <c r="K184" s="79">
        <f>'дод 2'!L264+'дод 2'!L37</f>
        <v>614614.79</v>
      </c>
      <c r="L184" s="179">
        <f t="shared" si="70"/>
        <v>94.905981040917126</v>
      </c>
      <c r="M184" s="79">
        <f>'дод 2'!N264+'дод 2'!N37</f>
        <v>0</v>
      </c>
      <c r="N184" s="79">
        <f>'дод 2'!O264+'дод 2'!O37</f>
        <v>0</v>
      </c>
      <c r="O184" s="79">
        <f>'дод 2'!P264+'дод 2'!P37</f>
        <v>0</v>
      </c>
      <c r="P184" s="79">
        <f>'дод 2'!Q264+'дод 2'!Q37</f>
        <v>0</v>
      </c>
      <c r="Q184" s="79">
        <f>'дод 2'!R264+'дод 2'!R37</f>
        <v>0</v>
      </c>
      <c r="R184" s="79">
        <f>'дод 2'!S264+'дод 2'!S37</f>
        <v>0</v>
      </c>
      <c r="S184" s="79">
        <f>'дод 2'!T264+'дод 2'!T37</f>
        <v>1482280.0299999998</v>
      </c>
      <c r="T184" s="79">
        <f>'дод 2'!U264+'дод 2'!U37</f>
        <v>0</v>
      </c>
      <c r="U184" s="79">
        <f>'дод 2'!V264+'дод 2'!V37</f>
        <v>429010.38</v>
      </c>
      <c r="V184" s="79">
        <f>'дод 2'!W264+'дод 2'!W37</f>
        <v>0</v>
      </c>
      <c r="W184" s="79">
        <f>'дод 2'!X264+'дод 2'!X37</f>
        <v>0</v>
      </c>
      <c r="X184" s="79">
        <f>'дод 2'!Y264+'дод 2'!Y37</f>
        <v>1053269.6499999999</v>
      </c>
      <c r="Y184" s="179"/>
      <c r="Z184" s="79">
        <f t="shared" si="71"/>
        <v>9732791.9799999986</v>
      </c>
      <c r="AA184" s="79">
        <f>'дод 2'!AB264+'дод 2'!AB37</f>
        <v>8693353</v>
      </c>
      <c r="AB184" s="221">
        <v>9</v>
      </c>
    </row>
    <row r="185" spans="1:32" s="82" customFormat="1" ht="31.5" customHeight="1" x14ac:dyDescent="0.25">
      <c r="A185" s="45" t="s">
        <v>279</v>
      </c>
      <c r="B185" s="45" t="s">
        <v>54</v>
      </c>
      <c r="C185" s="33" t="s">
        <v>646</v>
      </c>
      <c r="D185" s="79">
        <f>'дод 2'!E38+'дод 2'!E154+'дод 2'!E265+'дод 2'!E279</f>
        <v>283615576</v>
      </c>
      <c r="E185" s="79">
        <f>'дод 2'!F38+'дод 2'!F154+'дод 2'!F265+'дод 2'!F279</f>
        <v>283615576</v>
      </c>
      <c r="F185" s="79">
        <f>'дод 2'!G38+'дод 2'!G154+'дод 2'!G265+'дод 2'!G279</f>
        <v>0</v>
      </c>
      <c r="G185" s="79">
        <f>'дод 2'!H38+'дод 2'!H154+'дод 2'!H265+'дод 2'!H279</f>
        <v>0</v>
      </c>
      <c r="H185" s="79">
        <f>'дод 2'!I38+'дод 2'!I154+'дод 2'!I265+'дод 2'!I279</f>
        <v>0</v>
      </c>
      <c r="I185" s="79">
        <f>'дод 2'!J38+'дод 2'!J154+'дод 2'!J265+'дод 2'!J279</f>
        <v>276226358.14999998</v>
      </c>
      <c r="J185" s="79">
        <f>'дод 2'!K38+'дод 2'!K154+'дод 2'!K265+'дод 2'!K279</f>
        <v>0</v>
      </c>
      <c r="K185" s="79">
        <f>'дод 2'!L38+'дод 2'!L154+'дод 2'!L265+'дод 2'!L279</f>
        <v>0</v>
      </c>
      <c r="L185" s="179">
        <f t="shared" si="70"/>
        <v>97.394636093611439</v>
      </c>
      <c r="M185" s="79">
        <f>'дод 2'!N38+'дод 2'!N154+'дод 2'!N265+'дод 2'!N279</f>
        <v>0</v>
      </c>
      <c r="N185" s="79">
        <f>'дод 2'!O38+'дод 2'!O154+'дод 2'!O265+'дод 2'!O279</f>
        <v>0</v>
      </c>
      <c r="O185" s="79">
        <f>'дод 2'!P38+'дод 2'!P154+'дод 2'!P265+'дод 2'!P279</f>
        <v>0</v>
      </c>
      <c r="P185" s="79">
        <f>'дод 2'!Q38+'дод 2'!Q154+'дод 2'!Q265+'дод 2'!Q279</f>
        <v>0</v>
      </c>
      <c r="Q185" s="79">
        <f>'дод 2'!R38+'дод 2'!R154+'дод 2'!R265+'дод 2'!R279</f>
        <v>0</v>
      </c>
      <c r="R185" s="79">
        <f>'дод 2'!S38+'дод 2'!S154+'дод 2'!S265+'дод 2'!S279</f>
        <v>0</v>
      </c>
      <c r="S185" s="79">
        <f>'дод 2'!T38+'дод 2'!T154+'дод 2'!T265+'дод 2'!T279</f>
        <v>0</v>
      </c>
      <c r="T185" s="79">
        <f>'дод 2'!U38+'дод 2'!U154+'дод 2'!U265+'дод 2'!U279</f>
        <v>0</v>
      </c>
      <c r="U185" s="79">
        <f>'дод 2'!V38+'дод 2'!V154+'дод 2'!V265+'дод 2'!V279</f>
        <v>0</v>
      </c>
      <c r="V185" s="79">
        <f>'дод 2'!W38+'дод 2'!W154+'дод 2'!W265+'дод 2'!W279</f>
        <v>0</v>
      </c>
      <c r="W185" s="79">
        <f>'дод 2'!X38+'дод 2'!X154+'дод 2'!X265+'дод 2'!X279</f>
        <v>0</v>
      </c>
      <c r="X185" s="79">
        <f>'дод 2'!Y38+'дод 2'!Y154+'дод 2'!Y265+'дод 2'!Y279</f>
        <v>0</v>
      </c>
      <c r="Y185" s="179"/>
      <c r="Z185" s="79">
        <f t="shared" si="71"/>
        <v>276226358.14999998</v>
      </c>
      <c r="AA185" s="79">
        <f>'дод 2'!AB38+'дод 2'!AB154+'дод 2'!AB265+'дод 2'!AB279</f>
        <v>283615576</v>
      </c>
      <c r="AB185" s="221"/>
    </row>
    <row r="186" spans="1:32" s="82" customFormat="1" ht="21.4" customHeight="1" x14ac:dyDescent="0.25">
      <c r="A186" s="81"/>
      <c r="B186" s="81"/>
      <c r="C186" s="48" t="s">
        <v>379</v>
      </c>
      <c r="D186" s="80">
        <f>'дод 2'!E266</f>
        <v>8236880</v>
      </c>
      <c r="E186" s="80">
        <f>'дод 2'!F266</f>
        <v>8236880</v>
      </c>
      <c r="F186" s="80">
        <f>'дод 2'!G266</f>
        <v>0</v>
      </c>
      <c r="G186" s="80">
        <f>'дод 2'!H266</f>
        <v>0</v>
      </c>
      <c r="H186" s="80">
        <f>'дод 2'!I266</f>
        <v>0</v>
      </c>
      <c r="I186" s="80">
        <f>'дод 2'!J266</f>
        <v>3841000</v>
      </c>
      <c r="J186" s="80">
        <f>'дод 2'!K266</f>
        <v>0</v>
      </c>
      <c r="K186" s="80">
        <f>'дод 2'!L266</f>
        <v>0</v>
      </c>
      <c r="L186" s="180">
        <f t="shared" si="70"/>
        <v>46.631734346014511</v>
      </c>
      <c r="M186" s="80">
        <f>'дод 2'!N266</f>
        <v>0</v>
      </c>
      <c r="N186" s="80">
        <f>'дод 2'!O266</f>
        <v>0</v>
      </c>
      <c r="O186" s="80">
        <f>'дод 2'!P266</f>
        <v>0</v>
      </c>
      <c r="P186" s="80">
        <f>'дод 2'!Q266</f>
        <v>0</v>
      </c>
      <c r="Q186" s="80">
        <f>'дод 2'!R266</f>
        <v>0</v>
      </c>
      <c r="R186" s="80">
        <f>'дод 2'!S266</f>
        <v>0</v>
      </c>
      <c r="S186" s="80">
        <f>'дод 2'!T266</f>
        <v>0</v>
      </c>
      <c r="T186" s="80">
        <f>'дод 2'!U266</f>
        <v>0</v>
      </c>
      <c r="U186" s="80">
        <f>'дод 2'!V266</f>
        <v>0</v>
      </c>
      <c r="V186" s="80">
        <f>'дод 2'!W266</f>
        <v>0</v>
      </c>
      <c r="W186" s="80">
        <f>'дод 2'!X266</f>
        <v>0</v>
      </c>
      <c r="X186" s="80">
        <f>'дод 2'!Y266</f>
        <v>0</v>
      </c>
      <c r="Y186" s="180"/>
      <c r="Z186" s="80">
        <f t="shared" si="71"/>
        <v>3841000</v>
      </c>
      <c r="AA186" s="80">
        <f>'дод 2'!AB266</f>
        <v>8236880</v>
      </c>
      <c r="AB186" s="221"/>
    </row>
    <row r="187" spans="1:32" s="82" customFormat="1" ht="81.95" customHeight="1" x14ac:dyDescent="0.25">
      <c r="A187" s="81"/>
      <c r="B187" s="81"/>
      <c r="C187" s="48" t="s">
        <v>618</v>
      </c>
      <c r="D187" s="80">
        <f>'дод 2'!E267</f>
        <v>65366800</v>
      </c>
      <c r="E187" s="80">
        <f>'дод 2'!F267</f>
        <v>65366800</v>
      </c>
      <c r="F187" s="80">
        <f>'дод 2'!G267</f>
        <v>0</v>
      </c>
      <c r="G187" s="80">
        <f>'дод 2'!H267</f>
        <v>0</v>
      </c>
      <c r="H187" s="80">
        <f>'дод 2'!I267</f>
        <v>0</v>
      </c>
      <c r="I187" s="80">
        <f>'дод 2'!J267</f>
        <v>65166800</v>
      </c>
      <c r="J187" s="80">
        <f>'дод 2'!K267</f>
        <v>0</v>
      </c>
      <c r="K187" s="80">
        <f>'дод 2'!L267</f>
        <v>0</v>
      </c>
      <c r="L187" s="180">
        <f t="shared" si="70"/>
        <v>99.694034280399222</v>
      </c>
      <c r="M187" s="80">
        <f>'дод 2'!N267</f>
        <v>0</v>
      </c>
      <c r="N187" s="80">
        <f>'дод 2'!O267</f>
        <v>0</v>
      </c>
      <c r="O187" s="80">
        <f>'дод 2'!P267</f>
        <v>0</v>
      </c>
      <c r="P187" s="80">
        <f>'дод 2'!Q267</f>
        <v>0</v>
      </c>
      <c r="Q187" s="80">
        <f>'дод 2'!R267</f>
        <v>0</v>
      </c>
      <c r="R187" s="80">
        <f>'дод 2'!S267</f>
        <v>0</v>
      </c>
      <c r="S187" s="80">
        <f>'дод 2'!T267</f>
        <v>0</v>
      </c>
      <c r="T187" s="80">
        <f>'дод 2'!U267</f>
        <v>0</v>
      </c>
      <c r="U187" s="80">
        <f>'дод 2'!V267</f>
        <v>0</v>
      </c>
      <c r="V187" s="80">
        <f>'дод 2'!W267</f>
        <v>0</v>
      </c>
      <c r="W187" s="80">
        <f>'дод 2'!X267</f>
        <v>0</v>
      </c>
      <c r="X187" s="80">
        <f>'дод 2'!Y267</f>
        <v>0</v>
      </c>
      <c r="Y187" s="180"/>
      <c r="Z187" s="80">
        <f t="shared" si="71"/>
        <v>65166800</v>
      </c>
      <c r="AA187" s="80">
        <f>'дод 2'!AB267</f>
        <v>65366800</v>
      </c>
      <c r="AB187" s="221"/>
    </row>
    <row r="188" spans="1:32" s="73" customFormat="1" ht="27.75" customHeight="1" x14ac:dyDescent="0.25">
      <c r="A188" s="83" t="s">
        <v>68</v>
      </c>
      <c r="B188" s="87"/>
      <c r="C188" s="88" t="s">
        <v>713</v>
      </c>
      <c r="D188" s="77">
        <f t="shared" ref="D188:AA188" si="73">D190+D191+D193+D194</f>
        <v>38076900</v>
      </c>
      <c r="E188" s="77">
        <f t="shared" ref="E188:X188" si="74">E190+E191+E193+E194</f>
        <v>38076900</v>
      </c>
      <c r="F188" s="77">
        <f t="shared" si="74"/>
        <v>25870910</v>
      </c>
      <c r="G188" s="77">
        <f t="shared" si="74"/>
        <v>3444600</v>
      </c>
      <c r="H188" s="77">
        <f t="shared" si="74"/>
        <v>0</v>
      </c>
      <c r="I188" s="77">
        <f t="shared" si="74"/>
        <v>36344908.659999996</v>
      </c>
      <c r="J188" s="77">
        <f t="shared" si="74"/>
        <v>24929623.18</v>
      </c>
      <c r="K188" s="77">
        <f t="shared" si="74"/>
        <v>3238615.65</v>
      </c>
      <c r="L188" s="136">
        <f t="shared" si="70"/>
        <v>95.451333117979658</v>
      </c>
      <c r="M188" s="77">
        <f t="shared" si="74"/>
        <v>4865300</v>
      </c>
      <c r="N188" s="77">
        <f t="shared" si="74"/>
        <v>4860300</v>
      </c>
      <c r="O188" s="77">
        <f t="shared" si="74"/>
        <v>5000</v>
      </c>
      <c r="P188" s="77">
        <f t="shared" si="74"/>
        <v>0</v>
      </c>
      <c r="Q188" s="77">
        <f t="shared" si="74"/>
        <v>0</v>
      </c>
      <c r="R188" s="77">
        <f t="shared" si="74"/>
        <v>4860300</v>
      </c>
      <c r="S188" s="77">
        <f t="shared" si="74"/>
        <v>5635341.1799999997</v>
      </c>
      <c r="T188" s="77">
        <f t="shared" si="74"/>
        <v>4560506.6500000004</v>
      </c>
      <c r="U188" s="77">
        <f t="shared" si="74"/>
        <v>499551.38</v>
      </c>
      <c r="V188" s="77">
        <f t="shared" si="74"/>
        <v>0</v>
      </c>
      <c r="W188" s="77">
        <f t="shared" si="74"/>
        <v>0</v>
      </c>
      <c r="X188" s="77">
        <f t="shared" si="74"/>
        <v>5135789.8</v>
      </c>
      <c r="Y188" s="136" t="s">
        <v>776</v>
      </c>
      <c r="Z188" s="77">
        <f t="shared" si="71"/>
        <v>41980249.839999996</v>
      </c>
      <c r="AA188" s="77">
        <f t="shared" si="73"/>
        <v>42942200</v>
      </c>
      <c r="AB188" s="221"/>
      <c r="AD188" s="196">
        <f>D188+M188</f>
        <v>42942200</v>
      </c>
      <c r="AF188" s="73">
        <f>Z188/AD188*100</f>
        <v>97.759895487422625</v>
      </c>
    </row>
    <row r="189" spans="1:32" s="73" customFormat="1" ht="94.5" x14ac:dyDescent="0.25">
      <c r="A189" s="83"/>
      <c r="B189" s="87"/>
      <c r="C189" s="54" t="s">
        <v>618</v>
      </c>
      <c r="D189" s="77">
        <f>D192</f>
        <v>100000</v>
      </c>
      <c r="E189" s="77">
        <f t="shared" ref="E189:X189" si="75">E192</f>
        <v>100000</v>
      </c>
      <c r="F189" s="77">
        <f t="shared" si="75"/>
        <v>0</v>
      </c>
      <c r="G189" s="77">
        <f t="shared" si="75"/>
        <v>0</v>
      </c>
      <c r="H189" s="77">
        <f t="shared" si="75"/>
        <v>0</v>
      </c>
      <c r="I189" s="77">
        <f t="shared" si="75"/>
        <v>100000</v>
      </c>
      <c r="J189" s="77">
        <f t="shared" si="75"/>
        <v>0</v>
      </c>
      <c r="K189" s="77">
        <f t="shared" si="75"/>
        <v>0</v>
      </c>
      <c r="L189" s="136">
        <f t="shared" si="70"/>
        <v>100</v>
      </c>
      <c r="M189" s="77">
        <f t="shared" si="75"/>
        <v>0</v>
      </c>
      <c r="N189" s="77">
        <f t="shared" si="75"/>
        <v>0</v>
      </c>
      <c r="O189" s="77">
        <f t="shared" si="75"/>
        <v>0</v>
      </c>
      <c r="P189" s="77">
        <f t="shared" si="75"/>
        <v>0</v>
      </c>
      <c r="Q189" s="77">
        <f t="shared" si="75"/>
        <v>0</v>
      </c>
      <c r="R189" s="77">
        <f t="shared" si="75"/>
        <v>0</v>
      </c>
      <c r="S189" s="77">
        <f t="shared" si="75"/>
        <v>0</v>
      </c>
      <c r="T189" s="77">
        <f t="shared" si="75"/>
        <v>0</v>
      </c>
      <c r="U189" s="77">
        <f t="shared" si="75"/>
        <v>0</v>
      </c>
      <c r="V189" s="77">
        <f t="shared" si="75"/>
        <v>0</v>
      </c>
      <c r="W189" s="77">
        <f t="shared" si="75"/>
        <v>0</v>
      </c>
      <c r="X189" s="77">
        <f t="shared" si="75"/>
        <v>0</v>
      </c>
      <c r="Y189" s="136"/>
      <c r="Z189" s="77">
        <f t="shared" si="71"/>
        <v>100000</v>
      </c>
      <c r="AA189" s="77">
        <f t="shared" ref="AA189" si="76">AA192</f>
        <v>100000</v>
      </c>
      <c r="AB189" s="221"/>
    </row>
    <row r="190" spans="1:32" ht="22.5" customHeight="1" x14ac:dyDescent="0.25">
      <c r="A190" s="45" t="s">
        <v>69</v>
      </c>
      <c r="B190" s="45" t="s">
        <v>70</v>
      </c>
      <c r="C190" s="33" t="s">
        <v>15</v>
      </c>
      <c r="D190" s="79">
        <f>'дод 2'!E287</f>
        <v>25859900</v>
      </c>
      <c r="E190" s="79">
        <f>'дод 2'!F287</f>
        <v>25859900</v>
      </c>
      <c r="F190" s="79">
        <f>'дод 2'!G287</f>
        <v>18096500</v>
      </c>
      <c r="G190" s="79">
        <f>'дод 2'!H287</f>
        <v>2729700</v>
      </c>
      <c r="H190" s="79">
        <f>'дод 2'!I287</f>
        <v>0</v>
      </c>
      <c r="I190" s="79">
        <f>'дод 2'!J287</f>
        <v>25033582.649999999</v>
      </c>
      <c r="J190" s="79">
        <f>'дод 2'!K287</f>
        <v>17674866.120000001</v>
      </c>
      <c r="K190" s="79">
        <f>'дод 2'!L287</f>
        <v>2576888.77</v>
      </c>
      <c r="L190" s="179">
        <f t="shared" si="70"/>
        <v>96.804638262328922</v>
      </c>
      <c r="M190" s="79">
        <f>'дод 2'!N287</f>
        <v>4865300</v>
      </c>
      <c r="N190" s="79">
        <f>'дод 2'!O287</f>
        <v>4860300</v>
      </c>
      <c r="O190" s="79">
        <f>'дод 2'!P287</f>
        <v>5000</v>
      </c>
      <c r="P190" s="79">
        <f>'дод 2'!Q287</f>
        <v>0</v>
      </c>
      <c r="Q190" s="79">
        <f>'дод 2'!R287</f>
        <v>0</v>
      </c>
      <c r="R190" s="79">
        <f>'дод 2'!S287</f>
        <v>4860300</v>
      </c>
      <c r="S190" s="79">
        <f>'дод 2'!T287</f>
        <v>5104488.18</v>
      </c>
      <c r="T190" s="79">
        <f>'дод 2'!U287</f>
        <v>4560506.6500000004</v>
      </c>
      <c r="U190" s="79">
        <f>'дод 2'!V287</f>
        <v>68726.38</v>
      </c>
      <c r="V190" s="79">
        <f>'дод 2'!W287</f>
        <v>0</v>
      </c>
      <c r="W190" s="79">
        <f>'дод 2'!X287</f>
        <v>0</v>
      </c>
      <c r="X190" s="79">
        <f>'дод 2'!Y287</f>
        <v>5035761.8</v>
      </c>
      <c r="Y190" s="179" t="s">
        <v>771</v>
      </c>
      <c r="Z190" s="79">
        <f t="shared" si="71"/>
        <v>30138070.829999998</v>
      </c>
      <c r="AA190" s="79">
        <f>'дод 2'!AB287</f>
        <v>30725200</v>
      </c>
      <c r="AB190" s="221"/>
    </row>
    <row r="191" spans="1:32" ht="33.75" customHeight="1" x14ac:dyDescent="0.25">
      <c r="A191" s="45" t="s">
        <v>306</v>
      </c>
      <c r="B191" s="45" t="s">
        <v>307</v>
      </c>
      <c r="C191" s="33" t="s">
        <v>712</v>
      </c>
      <c r="D191" s="79">
        <f>'дод 2'!E39+'дод 2'!E288</f>
        <v>5864200</v>
      </c>
      <c r="E191" s="79">
        <f>'дод 2'!F39+'дод 2'!F288</f>
        <v>5864200</v>
      </c>
      <c r="F191" s="79">
        <f>'дод 2'!G39+'дод 2'!G288</f>
        <v>3632000</v>
      </c>
      <c r="G191" s="79">
        <f>'дод 2'!H39+'дод 2'!H288</f>
        <v>360500</v>
      </c>
      <c r="H191" s="79">
        <f>'дод 2'!I39+'дод 2'!I288</f>
        <v>0</v>
      </c>
      <c r="I191" s="79">
        <f>'дод 2'!J39+'дод 2'!J288</f>
        <v>5121414.9400000004</v>
      </c>
      <c r="J191" s="79">
        <f>'дод 2'!K39+'дод 2'!K288</f>
        <v>3112359.82</v>
      </c>
      <c r="K191" s="79">
        <f>'дод 2'!L39+'дод 2'!L288</f>
        <v>327982.15000000002</v>
      </c>
      <c r="L191" s="179">
        <f t="shared" si="70"/>
        <v>87.333565362709336</v>
      </c>
      <c r="M191" s="79">
        <f>'дод 2'!N39+'дод 2'!N288</f>
        <v>0</v>
      </c>
      <c r="N191" s="79">
        <f>'дод 2'!O39+'дод 2'!O288</f>
        <v>0</v>
      </c>
      <c r="O191" s="79">
        <f>'дод 2'!P39+'дод 2'!P288</f>
        <v>0</v>
      </c>
      <c r="P191" s="79">
        <f>'дод 2'!Q39+'дод 2'!Q288</f>
        <v>0</v>
      </c>
      <c r="Q191" s="79">
        <f>'дод 2'!R39+'дод 2'!R288</f>
        <v>0</v>
      </c>
      <c r="R191" s="79">
        <f>'дод 2'!S39+'дод 2'!S288</f>
        <v>0</v>
      </c>
      <c r="S191" s="79">
        <f>'дод 2'!T39+'дод 2'!T288</f>
        <v>530853</v>
      </c>
      <c r="T191" s="79">
        <f>'дод 2'!U39+'дод 2'!U288</f>
        <v>0</v>
      </c>
      <c r="U191" s="79">
        <f>'дод 2'!V39+'дод 2'!V288</f>
        <v>430825</v>
      </c>
      <c r="V191" s="79">
        <f>'дод 2'!W39+'дод 2'!W288</f>
        <v>0</v>
      </c>
      <c r="W191" s="79">
        <f>'дод 2'!X39+'дод 2'!X288</f>
        <v>0</v>
      </c>
      <c r="X191" s="79">
        <f>'дод 2'!Y39+'дод 2'!Y288</f>
        <v>100028</v>
      </c>
      <c r="Y191" s="179"/>
      <c r="Z191" s="79">
        <f t="shared" si="71"/>
        <v>5652267.9400000004</v>
      </c>
      <c r="AA191" s="79">
        <f>'дод 2'!AB39+'дод 2'!AB288</f>
        <v>5864200</v>
      </c>
      <c r="AB191" s="221"/>
    </row>
    <row r="192" spans="1:32" ht="94.5" x14ac:dyDescent="0.25">
      <c r="A192" s="45"/>
      <c r="B192" s="45"/>
      <c r="C192" s="48" t="s">
        <v>618</v>
      </c>
      <c r="D192" s="79">
        <f>'дод 2'!E289</f>
        <v>100000</v>
      </c>
      <c r="E192" s="79">
        <f>'дод 2'!F289</f>
        <v>100000</v>
      </c>
      <c r="F192" s="79">
        <f>'дод 2'!G289</f>
        <v>0</v>
      </c>
      <c r="G192" s="79">
        <f>'дод 2'!H289</f>
        <v>0</v>
      </c>
      <c r="H192" s="79">
        <f>'дод 2'!I289</f>
        <v>0</v>
      </c>
      <c r="I192" s="79">
        <f>'дод 2'!J289</f>
        <v>100000</v>
      </c>
      <c r="J192" s="79">
        <f>'дод 2'!K289</f>
        <v>0</v>
      </c>
      <c r="K192" s="79">
        <f>'дод 2'!L289</f>
        <v>0</v>
      </c>
      <c r="L192" s="179">
        <f t="shared" si="70"/>
        <v>100</v>
      </c>
      <c r="M192" s="79">
        <f>'дод 2'!N289</f>
        <v>0</v>
      </c>
      <c r="N192" s="79">
        <f>'дод 2'!O289</f>
        <v>0</v>
      </c>
      <c r="O192" s="79">
        <f>'дод 2'!P289</f>
        <v>0</v>
      </c>
      <c r="P192" s="79">
        <f>'дод 2'!Q289</f>
        <v>0</v>
      </c>
      <c r="Q192" s="79">
        <f>'дод 2'!R289</f>
        <v>0</v>
      </c>
      <c r="R192" s="79">
        <f>'дод 2'!S289</f>
        <v>0</v>
      </c>
      <c r="S192" s="79">
        <f>'дод 2'!T289</f>
        <v>0</v>
      </c>
      <c r="T192" s="79">
        <f>'дод 2'!U289</f>
        <v>0</v>
      </c>
      <c r="U192" s="79">
        <f>'дод 2'!V289</f>
        <v>0</v>
      </c>
      <c r="V192" s="79">
        <f>'дод 2'!W289</f>
        <v>0</v>
      </c>
      <c r="W192" s="79">
        <f>'дод 2'!X289</f>
        <v>0</v>
      </c>
      <c r="X192" s="79">
        <f>'дод 2'!Y289</f>
        <v>0</v>
      </c>
      <c r="Y192" s="179"/>
      <c r="Z192" s="79">
        <f t="shared" si="71"/>
        <v>100000</v>
      </c>
      <c r="AA192" s="79">
        <f>'дод 2'!AB289</f>
        <v>100000</v>
      </c>
      <c r="AB192" s="221"/>
    </row>
    <row r="193" spans="1:32" s="82" customFormat="1" ht="37.5" customHeight="1" x14ac:dyDescent="0.25">
      <c r="A193" s="45" t="s">
        <v>281</v>
      </c>
      <c r="B193" s="45" t="s">
        <v>71</v>
      </c>
      <c r="C193" s="33" t="s">
        <v>329</v>
      </c>
      <c r="D193" s="79">
        <f>'дод 2'!E40+'дод 2'!E290</f>
        <v>5892800</v>
      </c>
      <c r="E193" s="79">
        <f>'дод 2'!F40+'дод 2'!F290</f>
        <v>5892800</v>
      </c>
      <c r="F193" s="79">
        <f>'дод 2'!G40+'дод 2'!G290</f>
        <v>4142410</v>
      </c>
      <c r="G193" s="79">
        <f>'дод 2'!H40+'дод 2'!H290</f>
        <v>354400</v>
      </c>
      <c r="H193" s="79">
        <f>'дод 2'!I40+'дод 2'!I290</f>
        <v>0</v>
      </c>
      <c r="I193" s="79">
        <f>'дод 2'!J40+'дод 2'!J290</f>
        <v>5820114.9199999999</v>
      </c>
      <c r="J193" s="79">
        <f>'дод 2'!K40+'дод 2'!K290</f>
        <v>4142397.24</v>
      </c>
      <c r="K193" s="79">
        <f>'дод 2'!L40+'дод 2'!L290</f>
        <v>333744.73</v>
      </c>
      <c r="L193" s="179">
        <f t="shared" si="70"/>
        <v>98.766544257398863</v>
      </c>
      <c r="M193" s="79">
        <f>'дод 2'!N40+'дод 2'!N290</f>
        <v>0</v>
      </c>
      <c r="N193" s="79">
        <f>'дод 2'!O40+'дод 2'!O290</f>
        <v>0</v>
      </c>
      <c r="O193" s="79">
        <f>'дод 2'!P40+'дод 2'!P290</f>
        <v>0</v>
      </c>
      <c r="P193" s="79">
        <f>'дод 2'!Q40+'дод 2'!Q290</f>
        <v>0</v>
      </c>
      <c r="Q193" s="79">
        <f>'дод 2'!R40+'дод 2'!R290</f>
        <v>0</v>
      </c>
      <c r="R193" s="79">
        <f>'дод 2'!S40+'дод 2'!S290</f>
        <v>0</v>
      </c>
      <c r="S193" s="79">
        <f>'дод 2'!T40+'дод 2'!T290</f>
        <v>0</v>
      </c>
      <c r="T193" s="79">
        <f>'дод 2'!U40+'дод 2'!U290</f>
        <v>0</v>
      </c>
      <c r="U193" s="79">
        <f>'дод 2'!V40+'дод 2'!V290</f>
        <v>0</v>
      </c>
      <c r="V193" s="79">
        <f>'дод 2'!W40+'дод 2'!W290</f>
        <v>0</v>
      </c>
      <c r="W193" s="79">
        <f>'дод 2'!X40+'дод 2'!X290</f>
        <v>0</v>
      </c>
      <c r="X193" s="79">
        <f>'дод 2'!Y40+'дод 2'!Y290</f>
        <v>0</v>
      </c>
      <c r="Y193" s="179"/>
      <c r="Z193" s="79">
        <f t="shared" si="71"/>
        <v>5820114.9199999999</v>
      </c>
      <c r="AA193" s="79">
        <f>'дод 2'!AB40+'дод 2'!AB290</f>
        <v>5892800</v>
      </c>
      <c r="AB193" s="221"/>
    </row>
    <row r="194" spans="1:32" s="82" customFormat="1" ht="22.5" customHeight="1" x14ac:dyDescent="0.25">
      <c r="A194" s="45" t="s">
        <v>282</v>
      </c>
      <c r="B194" s="45" t="s">
        <v>71</v>
      </c>
      <c r="C194" s="33" t="s">
        <v>283</v>
      </c>
      <c r="D194" s="79">
        <f>'дод 2'!E41+'дод 2'!E291</f>
        <v>460000</v>
      </c>
      <c r="E194" s="79">
        <f>'дод 2'!F41+'дод 2'!F291</f>
        <v>460000</v>
      </c>
      <c r="F194" s="79">
        <f>'дод 2'!G41+'дод 2'!G291</f>
        <v>0</v>
      </c>
      <c r="G194" s="79">
        <f>'дод 2'!H41+'дод 2'!H291</f>
        <v>0</v>
      </c>
      <c r="H194" s="79">
        <f>'дод 2'!I41+'дод 2'!I291</f>
        <v>0</v>
      </c>
      <c r="I194" s="79">
        <f>'дод 2'!J41+'дод 2'!J291</f>
        <v>369796.15</v>
      </c>
      <c r="J194" s="79">
        <f>'дод 2'!K41+'дод 2'!K291</f>
        <v>0</v>
      </c>
      <c r="K194" s="79">
        <f>'дод 2'!L41+'дод 2'!L291</f>
        <v>0</v>
      </c>
      <c r="L194" s="179">
        <f t="shared" si="70"/>
        <v>80.390467391304355</v>
      </c>
      <c r="M194" s="79">
        <f>'дод 2'!N41+'дод 2'!N291</f>
        <v>0</v>
      </c>
      <c r="N194" s="79">
        <f>'дод 2'!O41+'дод 2'!O291</f>
        <v>0</v>
      </c>
      <c r="O194" s="79">
        <f>'дод 2'!P41+'дод 2'!P291</f>
        <v>0</v>
      </c>
      <c r="P194" s="79">
        <f>'дод 2'!Q41+'дод 2'!Q291</f>
        <v>0</v>
      </c>
      <c r="Q194" s="79">
        <f>'дод 2'!R41+'дод 2'!R291</f>
        <v>0</v>
      </c>
      <c r="R194" s="79">
        <f>'дод 2'!S41+'дод 2'!S291</f>
        <v>0</v>
      </c>
      <c r="S194" s="79">
        <f>'дод 2'!T41+'дод 2'!T291</f>
        <v>0</v>
      </c>
      <c r="T194" s="79">
        <f>'дод 2'!U41+'дод 2'!U291</f>
        <v>0</v>
      </c>
      <c r="U194" s="79">
        <f>'дод 2'!V41+'дод 2'!V291</f>
        <v>0</v>
      </c>
      <c r="V194" s="79">
        <f>'дод 2'!W41+'дод 2'!W291</f>
        <v>0</v>
      </c>
      <c r="W194" s="79">
        <f>'дод 2'!X41+'дод 2'!X291</f>
        <v>0</v>
      </c>
      <c r="X194" s="79">
        <f>'дод 2'!Y41+'дод 2'!Y291</f>
        <v>0</v>
      </c>
      <c r="Y194" s="179"/>
      <c r="Z194" s="79">
        <f t="shared" si="71"/>
        <v>369796.15</v>
      </c>
      <c r="AA194" s="79">
        <f>'дод 2'!AB41+'дод 2'!AB291</f>
        <v>460000</v>
      </c>
      <c r="AB194" s="221"/>
    </row>
    <row r="195" spans="1:32" s="73" customFormat="1" ht="26.65" customHeight="1" x14ac:dyDescent="0.25">
      <c r="A195" s="83" t="s">
        <v>74</v>
      </c>
      <c r="B195" s="87"/>
      <c r="C195" s="88" t="s">
        <v>730</v>
      </c>
      <c r="D195" s="77">
        <f t="shared" ref="D195:AA195" si="77">D198+D199+D200+D203+D204+D205</f>
        <v>86679304</v>
      </c>
      <c r="E195" s="77">
        <f t="shared" ref="E195:X195" si="78">E198+E199+E200+E203+E204+E205</f>
        <v>86679304</v>
      </c>
      <c r="F195" s="77">
        <f t="shared" si="78"/>
        <v>32766800</v>
      </c>
      <c r="G195" s="77">
        <f t="shared" si="78"/>
        <v>3201000</v>
      </c>
      <c r="H195" s="77">
        <f t="shared" si="78"/>
        <v>0</v>
      </c>
      <c r="I195" s="77">
        <f t="shared" si="78"/>
        <v>83636442.100000009</v>
      </c>
      <c r="J195" s="77">
        <f t="shared" si="78"/>
        <v>32732856.719999999</v>
      </c>
      <c r="K195" s="77">
        <f t="shared" si="78"/>
        <v>2780728.83</v>
      </c>
      <c r="L195" s="136">
        <f t="shared" si="70"/>
        <v>96.48951738237308</v>
      </c>
      <c r="M195" s="77">
        <f t="shared" si="78"/>
        <v>1140790</v>
      </c>
      <c r="N195" s="77">
        <f t="shared" si="78"/>
        <v>600350</v>
      </c>
      <c r="O195" s="77">
        <f t="shared" si="78"/>
        <v>540440</v>
      </c>
      <c r="P195" s="77">
        <f t="shared" si="78"/>
        <v>345344</v>
      </c>
      <c r="Q195" s="77">
        <f t="shared" si="78"/>
        <v>98012</v>
      </c>
      <c r="R195" s="77">
        <f t="shared" si="78"/>
        <v>600350</v>
      </c>
      <c r="S195" s="77">
        <f t="shared" si="78"/>
        <v>755038.52</v>
      </c>
      <c r="T195" s="77">
        <f t="shared" si="78"/>
        <v>600350</v>
      </c>
      <c r="U195" s="77">
        <f t="shared" si="78"/>
        <v>154688.51999999999</v>
      </c>
      <c r="V195" s="77">
        <f t="shared" si="78"/>
        <v>40290.61</v>
      </c>
      <c r="W195" s="77">
        <f t="shared" si="78"/>
        <v>17864.990000000002</v>
      </c>
      <c r="X195" s="77">
        <f t="shared" si="78"/>
        <v>600350</v>
      </c>
      <c r="Y195" s="136">
        <f t="shared" si="72"/>
        <v>66.185583674471204</v>
      </c>
      <c r="Z195" s="77">
        <f t="shared" si="71"/>
        <v>84391480.620000005</v>
      </c>
      <c r="AA195" s="77">
        <f t="shared" si="77"/>
        <v>87820094</v>
      </c>
      <c r="AB195" s="221"/>
      <c r="AD195" s="196">
        <f>D195+M195</f>
        <v>87820094</v>
      </c>
      <c r="AF195" s="73">
        <f>Z195/AD195*100</f>
        <v>96.095866875296224</v>
      </c>
    </row>
    <row r="196" spans="1:32" s="73" customFormat="1" ht="21.75" hidden="1" customHeight="1" x14ac:dyDescent="0.25">
      <c r="A196" s="83"/>
      <c r="B196" s="87"/>
      <c r="C196" s="19" t="s">
        <v>380</v>
      </c>
      <c r="D196" s="78">
        <f>D202</f>
        <v>0</v>
      </c>
      <c r="E196" s="78">
        <f t="shared" ref="E196:X196" si="79">E202</f>
        <v>0</v>
      </c>
      <c r="F196" s="78">
        <f t="shared" si="79"/>
        <v>0</v>
      </c>
      <c r="G196" s="78">
        <f t="shared" si="79"/>
        <v>0</v>
      </c>
      <c r="H196" s="78">
        <f t="shared" si="79"/>
        <v>0</v>
      </c>
      <c r="I196" s="78">
        <f t="shared" si="79"/>
        <v>0</v>
      </c>
      <c r="J196" s="78">
        <f t="shared" si="79"/>
        <v>0</v>
      </c>
      <c r="K196" s="78">
        <f t="shared" si="79"/>
        <v>0</v>
      </c>
      <c r="L196" s="178" t="e">
        <f t="shared" si="70"/>
        <v>#DIV/0!</v>
      </c>
      <c r="M196" s="78">
        <f t="shared" si="79"/>
        <v>0</v>
      </c>
      <c r="N196" s="78">
        <f t="shared" si="79"/>
        <v>0</v>
      </c>
      <c r="O196" s="78">
        <f t="shared" si="79"/>
        <v>0</v>
      </c>
      <c r="P196" s="78">
        <f t="shared" si="79"/>
        <v>0</v>
      </c>
      <c r="Q196" s="78">
        <f t="shared" si="79"/>
        <v>0</v>
      </c>
      <c r="R196" s="78">
        <f t="shared" si="79"/>
        <v>0</v>
      </c>
      <c r="S196" s="78">
        <f t="shared" si="79"/>
        <v>0</v>
      </c>
      <c r="T196" s="78">
        <f t="shared" si="79"/>
        <v>0</v>
      </c>
      <c r="U196" s="78">
        <f t="shared" si="79"/>
        <v>0</v>
      </c>
      <c r="V196" s="78">
        <f t="shared" si="79"/>
        <v>0</v>
      </c>
      <c r="W196" s="78">
        <f t="shared" si="79"/>
        <v>0</v>
      </c>
      <c r="X196" s="78">
        <f t="shared" si="79"/>
        <v>0</v>
      </c>
      <c r="Y196" s="178" t="e">
        <f t="shared" si="72"/>
        <v>#DIV/0!</v>
      </c>
      <c r="Z196" s="78">
        <f t="shared" si="71"/>
        <v>0</v>
      </c>
      <c r="AA196" s="78">
        <f t="shared" ref="AA196" si="80">AA202</f>
        <v>0</v>
      </c>
      <c r="AB196" s="221"/>
    </row>
    <row r="197" spans="1:32" s="85" customFormat="1" ht="86.25" customHeight="1" x14ac:dyDescent="0.25">
      <c r="A197" s="84"/>
      <c r="B197" s="89"/>
      <c r="C197" s="54" t="s">
        <v>618</v>
      </c>
      <c r="D197" s="78">
        <f>D201</f>
        <v>0</v>
      </c>
      <c r="E197" s="78">
        <f t="shared" ref="E197:X197" si="81">E201</f>
        <v>0</v>
      </c>
      <c r="F197" s="78">
        <f t="shared" si="81"/>
        <v>0</v>
      </c>
      <c r="G197" s="78">
        <f t="shared" si="81"/>
        <v>0</v>
      </c>
      <c r="H197" s="78">
        <f t="shared" si="81"/>
        <v>0</v>
      </c>
      <c r="I197" s="78">
        <f t="shared" si="81"/>
        <v>0</v>
      </c>
      <c r="J197" s="78">
        <f t="shared" si="81"/>
        <v>0</v>
      </c>
      <c r="K197" s="78">
        <f t="shared" si="81"/>
        <v>0</v>
      </c>
      <c r="L197" s="178"/>
      <c r="M197" s="78">
        <f t="shared" si="81"/>
        <v>20350</v>
      </c>
      <c r="N197" s="78">
        <f t="shared" si="81"/>
        <v>20350</v>
      </c>
      <c r="O197" s="78">
        <f t="shared" si="81"/>
        <v>0</v>
      </c>
      <c r="P197" s="78">
        <f t="shared" si="81"/>
        <v>0</v>
      </c>
      <c r="Q197" s="78">
        <f t="shared" si="81"/>
        <v>0</v>
      </c>
      <c r="R197" s="78">
        <f t="shared" si="81"/>
        <v>20350</v>
      </c>
      <c r="S197" s="78">
        <f t="shared" si="81"/>
        <v>20350</v>
      </c>
      <c r="T197" s="78">
        <f t="shared" si="81"/>
        <v>20350</v>
      </c>
      <c r="U197" s="78">
        <f t="shared" si="81"/>
        <v>0</v>
      </c>
      <c r="V197" s="78">
        <f t="shared" si="81"/>
        <v>0</v>
      </c>
      <c r="W197" s="78">
        <f t="shared" si="81"/>
        <v>0</v>
      </c>
      <c r="X197" s="78">
        <f t="shared" si="81"/>
        <v>20350</v>
      </c>
      <c r="Y197" s="178">
        <f t="shared" si="72"/>
        <v>100</v>
      </c>
      <c r="Z197" s="78">
        <f t="shared" si="71"/>
        <v>20350</v>
      </c>
      <c r="AA197" s="78">
        <f t="shared" ref="AA197" si="82">AA201</f>
        <v>20350</v>
      </c>
      <c r="AB197" s="221"/>
    </row>
    <row r="198" spans="1:32" s="82" customFormat="1" ht="37.5" customHeight="1" x14ac:dyDescent="0.25">
      <c r="A198" s="45" t="s">
        <v>75</v>
      </c>
      <c r="B198" s="45" t="s">
        <v>76</v>
      </c>
      <c r="C198" s="33" t="s">
        <v>21</v>
      </c>
      <c r="D198" s="79">
        <f>'дод 2'!E42</f>
        <v>1237920</v>
      </c>
      <c r="E198" s="79">
        <f>'дод 2'!F42</f>
        <v>1237920</v>
      </c>
      <c r="F198" s="79">
        <f>'дод 2'!G42</f>
        <v>0</v>
      </c>
      <c r="G198" s="79">
        <f>'дод 2'!H42</f>
        <v>0</v>
      </c>
      <c r="H198" s="79">
        <f>'дод 2'!I42</f>
        <v>0</v>
      </c>
      <c r="I198" s="79">
        <f>'дод 2'!J42</f>
        <v>875900.1</v>
      </c>
      <c r="J198" s="79">
        <f>'дод 2'!K42</f>
        <v>0</v>
      </c>
      <c r="K198" s="79">
        <f>'дод 2'!L42</f>
        <v>0</v>
      </c>
      <c r="L198" s="179">
        <f t="shared" si="70"/>
        <v>70.75579197363318</v>
      </c>
      <c r="M198" s="79">
        <f>'дод 2'!N42</f>
        <v>0</v>
      </c>
      <c r="N198" s="79">
        <f>'дод 2'!O42</f>
        <v>0</v>
      </c>
      <c r="O198" s="79">
        <f>'дод 2'!P42</f>
        <v>0</v>
      </c>
      <c r="P198" s="79">
        <f>'дод 2'!Q42</f>
        <v>0</v>
      </c>
      <c r="Q198" s="79">
        <f>'дод 2'!R42</f>
        <v>0</v>
      </c>
      <c r="R198" s="79">
        <f>'дод 2'!S42</f>
        <v>0</v>
      </c>
      <c r="S198" s="79">
        <f>'дод 2'!T42</f>
        <v>0</v>
      </c>
      <c r="T198" s="79">
        <f>'дод 2'!U42</f>
        <v>0</v>
      </c>
      <c r="U198" s="79">
        <f>'дод 2'!V42</f>
        <v>0</v>
      </c>
      <c r="V198" s="79">
        <f>'дод 2'!W42</f>
        <v>0</v>
      </c>
      <c r="W198" s="79">
        <f>'дод 2'!X42</f>
        <v>0</v>
      </c>
      <c r="X198" s="79">
        <f>'дод 2'!Y42</f>
        <v>0</v>
      </c>
      <c r="Y198" s="179"/>
      <c r="Z198" s="79">
        <f t="shared" si="71"/>
        <v>875900.1</v>
      </c>
      <c r="AA198" s="79">
        <f>'дод 2'!AB42</f>
        <v>1237920</v>
      </c>
      <c r="AB198" s="221"/>
    </row>
    <row r="199" spans="1:32" s="82" customFormat="1" ht="34.5" customHeight="1" x14ac:dyDescent="0.25">
      <c r="A199" s="45" t="s">
        <v>77</v>
      </c>
      <c r="B199" s="45" t="s">
        <v>76</v>
      </c>
      <c r="C199" s="33" t="s">
        <v>16</v>
      </c>
      <c r="D199" s="79">
        <f>'дод 2'!E43</f>
        <v>1540000</v>
      </c>
      <c r="E199" s="79">
        <f>'дод 2'!F43</f>
        <v>1540000</v>
      </c>
      <c r="F199" s="79">
        <f>'дод 2'!G43</f>
        <v>0</v>
      </c>
      <c r="G199" s="79">
        <f>'дод 2'!H43</f>
        <v>0</v>
      </c>
      <c r="H199" s="79">
        <f>'дод 2'!I43</f>
        <v>0</v>
      </c>
      <c r="I199" s="79">
        <f>'дод 2'!J43</f>
        <v>755400.02</v>
      </c>
      <c r="J199" s="79">
        <f>'дод 2'!K43</f>
        <v>0</v>
      </c>
      <c r="K199" s="79">
        <f>'дод 2'!L43</f>
        <v>0</v>
      </c>
      <c r="L199" s="179">
        <f t="shared" si="70"/>
        <v>49.051949350649352</v>
      </c>
      <c r="M199" s="79">
        <f>'дод 2'!N43</f>
        <v>0</v>
      </c>
      <c r="N199" s="79">
        <f>'дод 2'!O43</f>
        <v>0</v>
      </c>
      <c r="O199" s="79">
        <f>'дод 2'!P43</f>
        <v>0</v>
      </c>
      <c r="P199" s="79">
        <f>'дод 2'!Q43</f>
        <v>0</v>
      </c>
      <c r="Q199" s="79">
        <f>'дод 2'!R43</f>
        <v>0</v>
      </c>
      <c r="R199" s="79">
        <f>'дод 2'!S43</f>
        <v>0</v>
      </c>
      <c r="S199" s="79">
        <f>'дод 2'!T43</f>
        <v>0</v>
      </c>
      <c r="T199" s="79">
        <f>'дод 2'!U43</f>
        <v>0</v>
      </c>
      <c r="U199" s="79">
        <f>'дод 2'!V43</f>
        <v>0</v>
      </c>
      <c r="V199" s="79">
        <f>'дод 2'!W43</f>
        <v>0</v>
      </c>
      <c r="W199" s="79">
        <f>'дод 2'!X43</f>
        <v>0</v>
      </c>
      <c r="X199" s="79">
        <f>'дод 2'!Y43</f>
        <v>0</v>
      </c>
      <c r="Y199" s="179"/>
      <c r="Z199" s="79">
        <f t="shared" si="71"/>
        <v>755400.02</v>
      </c>
      <c r="AA199" s="79">
        <f>'дод 2'!AB43</f>
        <v>1540000</v>
      </c>
      <c r="AB199" s="221"/>
    </row>
    <row r="200" spans="1:32" s="82" customFormat="1" ht="36.75" customHeight="1" x14ac:dyDescent="0.25">
      <c r="A200" s="45" t="s">
        <v>111</v>
      </c>
      <c r="B200" s="45" t="s">
        <v>76</v>
      </c>
      <c r="C200" s="33" t="s">
        <v>729</v>
      </c>
      <c r="D200" s="79">
        <f>'дод 2'!E44+'дод 2'!E155</f>
        <v>40458070</v>
      </c>
      <c r="E200" s="79">
        <f>'дод 2'!F44+'дод 2'!F155</f>
        <v>40458070</v>
      </c>
      <c r="F200" s="79">
        <f>'дод 2'!G44+'дод 2'!G155</f>
        <v>28618800</v>
      </c>
      <c r="G200" s="79">
        <f>'дод 2'!H44+'дод 2'!H155</f>
        <v>2361600</v>
      </c>
      <c r="H200" s="79">
        <f>'дод 2'!I44+'дод 2'!I155</f>
        <v>0</v>
      </c>
      <c r="I200" s="79">
        <f>'дод 2'!J44+'дод 2'!J155</f>
        <v>39396223.369999997</v>
      </c>
      <c r="J200" s="79">
        <f>'дод 2'!K44+'дод 2'!K155</f>
        <v>28618094.23</v>
      </c>
      <c r="K200" s="79">
        <f>'дод 2'!L44+'дод 2'!L155</f>
        <v>2038064.9100000001</v>
      </c>
      <c r="L200" s="179">
        <f t="shared" si="70"/>
        <v>97.375439238698235</v>
      </c>
      <c r="M200" s="79">
        <f>'дод 2'!N44+'дод 2'!N155</f>
        <v>150350</v>
      </c>
      <c r="N200" s="79">
        <f>'дод 2'!O44+'дод 2'!O155</f>
        <v>150350</v>
      </c>
      <c r="O200" s="79">
        <f>'дод 2'!P44+'дод 2'!P155</f>
        <v>0</v>
      </c>
      <c r="P200" s="79">
        <f>'дод 2'!Q44+'дод 2'!Q155</f>
        <v>0</v>
      </c>
      <c r="Q200" s="79">
        <f>'дод 2'!R44+'дод 2'!R155</f>
        <v>0</v>
      </c>
      <c r="R200" s="79">
        <f>'дод 2'!S44+'дод 2'!S155</f>
        <v>150350</v>
      </c>
      <c r="S200" s="79">
        <f>'дод 2'!T44+'дод 2'!T155</f>
        <v>157212.79999999999</v>
      </c>
      <c r="T200" s="79">
        <f>'дод 2'!U44+'дод 2'!U155</f>
        <v>150350</v>
      </c>
      <c r="U200" s="79">
        <f>'дод 2'!V44+'дод 2'!V155</f>
        <v>6862.8</v>
      </c>
      <c r="V200" s="79">
        <f>'дод 2'!W44+'дод 2'!W155</f>
        <v>0</v>
      </c>
      <c r="W200" s="79">
        <f>'дод 2'!X44+'дод 2'!X155</f>
        <v>0</v>
      </c>
      <c r="X200" s="79">
        <f>'дод 2'!Y44+'дод 2'!Y155</f>
        <v>150350</v>
      </c>
      <c r="Y200" s="179" t="s">
        <v>771</v>
      </c>
      <c r="Z200" s="79">
        <f t="shared" si="71"/>
        <v>39553436.169999994</v>
      </c>
      <c r="AA200" s="79">
        <f>'дод 2'!AB44+'дод 2'!AB155</f>
        <v>40608420</v>
      </c>
      <c r="AB200" s="221"/>
    </row>
    <row r="201" spans="1:32" s="82" customFormat="1" ht="97.5" customHeight="1" x14ac:dyDescent="0.25">
      <c r="A201" s="45"/>
      <c r="B201" s="45"/>
      <c r="C201" s="48" t="s">
        <v>618</v>
      </c>
      <c r="D201" s="80">
        <f>'дод 2'!E45</f>
        <v>0</v>
      </c>
      <c r="E201" s="80">
        <f>'дод 2'!F45</f>
        <v>0</v>
      </c>
      <c r="F201" s="80">
        <f>'дод 2'!G45</f>
        <v>0</v>
      </c>
      <c r="G201" s="80">
        <f>'дод 2'!H45</f>
        <v>0</v>
      </c>
      <c r="H201" s="80">
        <f>'дод 2'!I45</f>
        <v>0</v>
      </c>
      <c r="I201" s="80">
        <f>'дод 2'!J45</f>
        <v>0</v>
      </c>
      <c r="J201" s="80">
        <f>'дод 2'!K45</f>
        <v>0</v>
      </c>
      <c r="K201" s="80">
        <f>'дод 2'!L45</f>
        <v>0</v>
      </c>
      <c r="L201" s="180"/>
      <c r="M201" s="80">
        <f>'дод 2'!N45</f>
        <v>20350</v>
      </c>
      <c r="N201" s="80">
        <f>'дод 2'!O45</f>
        <v>20350</v>
      </c>
      <c r="O201" s="80">
        <f>'дод 2'!P45</f>
        <v>0</v>
      </c>
      <c r="P201" s="80">
        <f>'дод 2'!Q45</f>
        <v>0</v>
      </c>
      <c r="Q201" s="80">
        <f>'дод 2'!R45</f>
        <v>0</v>
      </c>
      <c r="R201" s="80">
        <f>'дод 2'!S45</f>
        <v>20350</v>
      </c>
      <c r="S201" s="80">
        <f>'дод 2'!T45</f>
        <v>20350</v>
      </c>
      <c r="T201" s="80">
        <f>'дод 2'!U45</f>
        <v>20350</v>
      </c>
      <c r="U201" s="80">
        <f>'дод 2'!V45</f>
        <v>0</v>
      </c>
      <c r="V201" s="80">
        <f>'дод 2'!W45</f>
        <v>0</v>
      </c>
      <c r="W201" s="80">
        <f>'дод 2'!X45</f>
        <v>0</v>
      </c>
      <c r="X201" s="80">
        <f>'дод 2'!Y45</f>
        <v>20350</v>
      </c>
      <c r="Y201" s="180">
        <f t="shared" si="72"/>
        <v>100</v>
      </c>
      <c r="Z201" s="80">
        <f t="shared" si="71"/>
        <v>20350</v>
      </c>
      <c r="AA201" s="80">
        <f>'дод 2'!AB45</f>
        <v>20350</v>
      </c>
      <c r="AB201" s="221"/>
    </row>
    <row r="202" spans="1:32" s="82" customFormat="1" ht="25.5" hidden="1" customHeight="1" x14ac:dyDescent="0.25">
      <c r="A202" s="45"/>
      <c r="B202" s="45"/>
      <c r="C202" s="29" t="s">
        <v>380</v>
      </c>
      <c r="D202" s="80">
        <f>'дод 2'!E156</f>
        <v>0</v>
      </c>
      <c r="E202" s="80">
        <f>'дод 2'!F156</f>
        <v>0</v>
      </c>
      <c r="F202" s="80">
        <f>'дод 2'!G156</f>
        <v>0</v>
      </c>
      <c r="G202" s="80">
        <f>'дод 2'!H156</f>
        <v>0</v>
      </c>
      <c r="H202" s="80">
        <f>'дод 2'!I156</f>
        <v>0</v>
      </c>
      <c r="I202" s="80">
        <f>'дод 2'!J156</f>
        <v>0</v>
      </c>
      <c r="J202" s="80">
        <f>'дод 2'!K156</f>
        <v>0</v>
      </c>
      <c r="K202" s="80">
        <f>'дод 2'!L156</f>
        <v>0</v>
      </c>
      <c r="L202" s="180" t="e">
        <f t="shared" si="70"/>
        <v>#DIV/0!</v>
      </c>
      <c r="M202" s="80">
        <f>'дод 2'!N156</f>
        <v>0</v>
      </c>
      <c r="N202" s="80">
        <f>'дод 2'!O156</f>
        <v>0</v>
      </c>
      <c r="O202" s="80">
        <f>'дод 2'!P156</f>
        <v>0</v>
      </c>
      <c r="P202" s="80">
        <f>'дод 2'!Q156</f>
        <v>0</v>
      </c>
      <c r="Q202" s="80">
        <f>'дод 2'!R156</f>
        <v>0</v>
      </c>
      <c r="R202" s="80">
        <f>'дод 2'!S156</f>
        <v>0</v>
      </c>
      <c r="S202" s="80">
        <f>'дод 2'!T156</f>
        <v>0</v>
      </c>
      <c r="T202" s="80">
        <f>'дод 2'!U156</f>
        <v>0</v>
      </c>
      <c r="U202" s="80">
        <f>'дод 2'!V156</f>
        <v>0</v>
      </c>
      <c r="V202" s="80">
        <f>'дод 2'!W156</f>
        <v>0</v>
      </c>
      <c r="W202" s="80">
        <f>'дод 2'!X156</f>
        <v>0</v>
      </c>
      <c r="X202" s="80">
        <f>'дод 2'!Y156</f>
        <v>0</v>
      </c>
      <c r="Y202" s="180" t="e">
        <f t="shared" si="72"/>
        <v>#DIV/0!</v>
      </c>
      <c r="Z202" s="80">
        <f t="shared" si="71"/>
        <v>0</v>
      </c>
      <c r="AA202" s="80">
        <f>'дод 2'!AB156</f>
        <v>0</v>
      </c>
      <c r="AB202" s="221"/>
    </row>
    <row r="203" spans="1:32" s="82" customFormat="1" ht="38.25" customHeight="1" x14ac:dyDescent="0.25">
      <c r="A203" s="45" t="s">
        <v>112</v>
      </c>
      <c r="B203" s="45" t="s">
        <v>76</v>
      </c>
      <c r="C203" s="33" t="s">
        <v>22</v>
      </c>
      <c r="D203" s="79">
        <f>'дод 2'!E46</f>
        <v>21067610</v>
      </c>
      <c r="E203" s="79">
        <f>'дод 2'!F46</f>
        <v>21067610</v>
      </c>
      <c r="F203" s="79">
        <f>'дод 2'!G46</f>
        <v>0</v>
      </c>
      <c r="G203" s="79">
        <f>'дод 2'!H46</f>
        <v>0</v>
      </c>
      <c r="H203" s="79">
        <f>'дод 2'!I46</f>
        <v>0</v>
      </c>
      <c r="I203" s="79">
        <f>'дод 2'!J46</f>
        <v>20916389.100000001</v>
      </c>
      <c r="J203" s="79">
        <f>'дод 2'!K46</f>
        <v>0</v>
      </c>
      <c r="K203" s="79">
        <f>'дод 2'!L46</f>
        <v>0</v>
      </c>
      <c r="L203" s="179">
        <f t="shared" si="70"/>
        <v>99.282211413634485</v>
      </c>
      <c r="M203" s="79">
        <f>'дод 2'!N46</f>
        <v>0</v>
      </c>
      <c r="N203" s="79">
        <f>'дод 2'!O46</f>
        <v>0</v>
      </c>
      <c r="O203" s="79">
        <f>'дод 2'!P46</f>
        <v>0</v>
      </c>
      <c r="P203" s="79">
        <f>'дод 2'!Q46</f>
        <v>0</v>
      </c>
      <c r="Q203" s="79">
        <f>'дод 2'!R46</f>
        <v>0</v>
      </c>
      <c r="R203" s="79">
        <f>'дод 2'!S46</f>
        <v>0</v>
      </c>
      <c r="S203" s="79">
        <f>'дод 2'!T46</f>
        <v>0</v>
      </c>
      <c r="T203" s="79">
        <f>'дод 2'!U46</f>
        <v>0</v>
      </c>
      <c r="U203" s="79">
        <f>'дод 2'!V46</f>
        <v>0</v>
      </c>
      <c r="V203" s="79">
        <f>'дод 2'!W46</f>
        <v>0</v>
      </c>
      <c r="W203" s="79">
        <f>'дод 2'!X46</f>
        <v>0</v>
      </c>
      <c r="X203" s="79">
        <f>'дод 2'!Y46</f>
        <v>0</v>
      </c>
      <c r="Y203" s="179"/>
      <c r="Z203" s="79">
        <f t="shared" si="71"/>
        <v>20916389.100000001</v>
      </c>
      <c r="AA203" s="79">
        <f>'дод 2'!AB46</f>
        <v>21067610</v>
      </c>
      <c r="AB203" s="221"/>
    </row>
    <row r="204" spans="1:32" s="82" customFormat="1" ht="54" customHeight="1" x14ac:dyDescent="0.25">
      <c r="A204" s="45" t="s">
        <v>108</v>
      </c>
      <c r="B204" s="45" t="s">
        <v>76</v>
      </c>
      <c r="C204" s="33" t="s">
        <v>546</v>
      </c>
      <c r="D204" s="79">
        <f>'дод 2'!E47</f>
        <v>6952500</v>
      </c>
      <c r="E204" s="79">
        <f>'дод 2'!F47</f>
        <v>6952500</v>
      </c>
      <c r="F204" s="79">
        <f>'дод 2'!G47</f>
        <v>4148000</v>
      </c>
      <c r="G204" s="79">
        <f>'дод 2'!H47</f>
        <v>839400</v>
      </c>
      <c r="H204" s="79">
        <f>'дод 2'!I47</f>
        <v>0</v>
      </c>
      <c r="I204" s="79">
        <f>'дод 2'!J47</f>
        <v>6712472</v>
      </c>
      <c r="J204" s="79">
        <f>'дод 2'!K47</f>
        <v>4114762.49</v>
      </c>
      <c r="K204" s="79">
        <f>'дод 2'!L47</f>
        <v>742663.92</v>
      </c>
      <c r="L204" s="179">
        <f t="shared" si="70"/>
        <v>96.547601582164688</v>
      </c>
      <c r="M204" s="79">
        <f>'дод 2'!N47</f>
        <v>990440</v>
      </c>
      <c r="N204" s="79">
        <f>'дод 2'!O47</f>
        <v>450000</v>
      </c>
      <c r="O204" s="79">
        <f>'дод 2'!P47</f>
        <v>540440</v>
      </c>
      <c r="P204" s="79">
        <f>'дод 2'!Q47</f>
        <v>345344</v>
      </c>
      <c r="Q204" s="79">
        <f>'дод 2'!R47</f>
        <v>98012</v>
      </c>
      <c r="R204" s="79">
        <f>'дод 2'!S47</f>
        <v>450000</v>
      </c>
      <c r="S204" s="79">
        <f>'дод 2'!T47</f>
        <v>597825.72</v>
      </c>
      <c r="T204" s="79">
        <f>'дод 2'!U47</f>
        <v>450000</v>
      </c>
      <c r="U204" s="79">
        <f>'дод 2'!V47</f>
        <v>147825.72</v>
      </c>
      <c r="V204" s="79">
        <f>'дод 2'!W47</f>
        <v>40290.61</v>
      </c>
      <c r="W204" s="79">
        <f>'дод 2'!X47</f>
        <v>17864.990000000002</v>
      </c>
      <c r="X204" s="79">
        <f>'дод 2'!Y47</f>
        <v>450000</v>
      </c>
      <c r="Y204" s="179">
        <f t="shared" si="72"/>
        <v>60.359609870360643</v>
      </c>
      <c r="Z204" s="79">
        <f t="shared" si="71"/>
        <v>7310297.7199999997</v>
      </c>
      <c r="AA204" s="79">
        <f>'дод 2'!AB47</f>
        <v>7942940</v>
      </c>
      <c r="AB204" s="221"/>
    </row>
    <row r="205" spans="1:32" s="82" customFormat="1" ht="46.5" customHeight="1" x14ac:dyDescent="0.25">
      <c r="A205" s="45" t="s">
        <v>110</v>
      </c>
      <c r="B205" s="45" t="s">
        <v>76</v>
      </c>
      <c r="C205" s="33" t="s">
        <v>109</v>
      </c>
      <c r="D205" s="79">
        <f>'дод 2'!E48</f>
        <v>15423204</v>
      </c>
      <c r="E205" s="79">
        <f>'дод 2'!F48</f>
        <v>15423204</v>
      </c>
      <c r="F205" s="79">
        <f>'дод 2'!G48</f>
        <v>0</v>
      </c>
      <c r="G205" s="79">
        <f>'дод 2'!H48</f>
        <v>0</v>
      </c>
      <c r="H205" s="79">
        <f>'дод 2'!I48</f>
        <v>0</v>
      </c>
      <c r="I205" s="79">
        <f>'дод 2'!J48</f>
        <v>14980057.51</v>
      </c>
      <c r="J205" s="79">
        <f>'дод 2'!K48</f>
        <v>0</v>
      </c>
      <c r="K205" s="79">
        <f>'дод 2'!L48</f>
        <v>0</v>
      </c>
      <c r="L205" s="179">
        <f t="shared" si="70"/>
        <v>97.126754661353104</v>
      </c>
      <c r="M205" s="79">
        <f>'дод 2'!N48</f>
        <v>0</v>
      </c>
      <c r="N205" s="79">
        <f>'дод 2'!O48</f>
        <v>0</v>
      </c>
      <c r="O205" s="79">
        <f>'дод 2'!P48</f>
        <v>0</v>
      </c>
      <c r="P205" s="79">
        <f>'дод 2'!Q48</f>
        <v>0</v>
      </c>
      <c r="Q205" s="79">
        <f>'дод 2'!R48</f>
        <v>0</v>
      </c>
      <c r="R205" s="79">
        <f>'дод 2'!S48</f>
        <v>0</v>
      </c>
      <c r="S205" s="79">
        <f>'дод 2'!T48</f>
        <v>0</v>
      </c>
      <c r="T205" s="79">
        <f>'дод 2'!U48</f>
        <v>0</v>
      </c>
      <c r="U205" s="79">
        <f>'дод 2'!V48</f>
        <v>0</v>
      </c>
      <c r="V205" s="79">
        <f>'дод 2'!W48</f>
        <v>0</v>
      </c>
      <c r="W205" s="79">
        <f>'дод 2'!X48</f>
        <v>0</v>
      </c>
      <c r="X205" s="79">
        <f>'дод 2'!Y48</f>
        <v>0</v>
      </c>
      <c r="Y205" s="179"/>
      <c r="Z205" s="79">
        <f t="shared" si="71"/>
        <v>14980057.51</v>
      </c>
      <c r="AA205" s="79">
        <f>'дод 2'!AB48</f>
        <v>15423204</v>
      </c>
      <c r="AB205" s="221"/>
    </row>
    <row r="206" spans="1:32" s="73" customFormat="1" ht="26.25" customHeight="1" x14ac:dyDescent="0.25">
      <c r="A206" s="83" t="s">
        <v>64</v>
      </c>
      <c r="B206" s="87"/>
      <c r="C206" s="88" t="s">
        <v>715</v>
      </c>
      <c r="D206" s="77">
        <f>D209+D210+D213+D214+D215+D217+D219+D221+D222+D218+D212</f>
        <v>360312046</v>
      </c>
      <c r="E206" s="77">
        <f t="shared" ref="E206:X206" si="83">E209+E210+E213+E214+E215+E217+E219+E221+E222+E218+E212</f>
        <v>240107641.18000001</v>
      </c>
      <c r="F206" s="77">
        <f t="shared" si="83"/>
        <v>0</v>
      </c>
      <c r="G206" s="77">
        <f t="shared" si="83"/>
        <v>25417173</v>
      </c>
      <c r="H206" s="77">
        <f t="shared" si="83"/>
        <v>120204404.82000001</v>
      </c>
      <c r="I206" s="77">
        <f t="shared" si="83"/>
        <v>347798958.73000002</v>
      </c>
      <c r="J206" s="77">
        <f t="shared" si="83"/>
        <v>0</v>
      </c>
      <c r="K206" s="77">
        <f t="shared" si="83"/>
        <v>20197222.379999999</v>
      </c>
      <c r="L206" s="136">
        <f t="shared" si="70"/>
        <v>96.527152669772249</v>
      </c>
      <c r="M206" s="77">
        <f t="shared" si="83"/>
        <v>6484893.4900000002</v>
      </c>
      <c r="N206" s="77">
        <f t="shared" si="83"/>
        <v>6038630</v>
      </c>
      <c r="O206" s="77">
        <f t="shared" si="83"/>
        <v>0</v>
      </c>
      <c r="P206" s="77">
        <f t="shared" si="83"/>
        <v>0</v>
      </c>
      <c r="Q206" s="77">
        <f t="shared" si="83"/>
        <v>0</v>
      </c>
      <c r="R206" s="77">
        <f t="shared" si="83"/>
        <v>6484893.4900000002</v>
      </c>
      <c r="S206" s="77">
        <f t="shared" si="83"/>
        <v>11904509.640000001</v>
      </c>
      <c r="T206" s="77">
        <f t="shared" si="83"/>
        <v>2438123.2800000003</v>
      </c>
      <c r="U206" s="77">
        <f t="shared" si="83"/>
        <v>1663791.78</v>
      </c>
      <c r="V206" s="77">
        <f t="shared" si="83"/>
        <v>0</v>
      </c>
      <c r="W206" s="77">
        <f t="shared" si="83"/>
        <v>0</v>
      </c>
      <c r="X206" s="77">
        <f t="shared" si="83"/>
        <v>10240717.859999999</v>
      </c>
      <c r="Y206" s="136" t="s">
        <v>777</v>
      </c>
      <c r="Z206" s="77">
        <f t="shared" si="71"/>
        <v>359703468.37</v>
      </c>
      <c r="AA206" s="77">
        <f t="shared" ref="AA206" si="84">AA209+AA210+AA213+AA214+AA215+AA217+AA219+AA221+AA222+AA218+AA212</f>
        <v>366796939.49000001</v>
      </c>
      <c r="AB206" s="221"/>
      <c r="AD206" s="196">
        <f>D206+M206</f>
        <v>366796939.49000001</v>
      </c>
      <c r="AF206" s="73">
        <f>Z206/AD206*100</f>
        <v>98.066104060229378</v>
      </c>
    </row>
    <row r="207" spans="1:32" s="73" customFormat="1" ht="94.5" x14ac:dyDescent="0.25">
      <c r="A207" s="83"/>
      <c r="B207" s="87"/>
      <c r="C207" s="54" t="s">
        <v>618</v>
      </c>
      <c r="D207" s="78">
        <f>D211+D216</f>
        <v>12104027</v>
      </c>
      <c r="E207" s="78">
        <f t="shared" ref="E207:X207" si="85">E211+E216</f>
        <v>0</v>
      </c>
      <c r="F207" s="78">
        <f t="shared" si="85"/>
        <v>0</v>
      </c>
      <c r="G207" s="78">
        <f t="shared" si="85"/>
        <v>0</v>
      </c>
      <c r="H207" s="78">
        <f t="shared" si="85"/>
        <v>12104027</v>
      </c>
      <c r="I207" s="78">
        <f t="shared" si="85"/>
        <v>12057797.050000001</v>
      </c>
      <c r="J207" s="78">
        <f t="shared" si="85"/>
        <v>0</v>
      </c>
      <c r="K207" s="78">
        <f t="shared" si="85"/>
        <v>0</v>
      </c>
      <c r="L207" s="178">
        <f t="shared" si="70"/>
        <v>99.618061410471086</v>
      </c>
      <c r="M207" s="78">
        <f t="shared" si="85"/>
        <v>1290870</v>
      </c>
      <c r="N207" s="78">
        <f t="shared" si="85"/>
        <v>1290870</v>
      </c>
      <c r="O207" s="78">
        <f t="shared" si="85"/>
        <v>0</v>
      </c>
      <c r="P207" s="78">
        <f t="shared" si="85"/>
        <v>0</v>
      </c>
      <c r="Q207" s="78">
        <f t="shared" si="85"/>
        <v>0</v>
      </c>
      <c r="R207" s="78">
        <f t="shared" si="85"/>
        <v>1290870</v>
      </c>
      <c r="S207" s="78">
        <f t="shared" si="85"/>
        <v>1290869.96</v>
      </c>
      <c r="T207" s="78">
        <f>T211+T216</f>
        <v>1290869.96</v>
      </c>
      <c r="U207" s="78">
        <f t="shared" si="85"/>
        <v>0</v>
      </c>
      <c r="V207" s="78">
        <f t="shared" si="85"/>
        <v>0</v>
      </c>
      <c r="W207" s="78">
        <f t="shared" si="85"/>
        <v>0</v>
      </c>
      <c r="X207" s="78">
        <f t="shared" si="85"/>
        <v>1290869.96</v>
      </c>
      <c r="Y207" s="178">
        <f t="shared" si="72"/>
        <v>99.999996901314617</v>
      </c>
      <c r="Z207" s="78">
        <f t="shared" si="71"/>
        <v>13348667.010000002</v>
      </c>
      <c r="AA207" s="78">
        <f t="shared" ref="AA207" si="86">AA211+AA216</f>
        <v>13394897</v>
      </c>
      <c r="AB207" s="221"/>
    </row>
    <row r="208" spans="1:32" s="85" customFormat="1" ht="113.25" hidden="1" customHeight="1" x14ac:dyDescent="0.25">
      <c r="A208" s="84"/>
      <c r="B208" s="89"/>
      <c r="C208" s="52" t="s">
        <v>530</v>
      </c>
      <c r="D208" s="78">
        <f>D220</f>
        <v>0</v>
      </c>
      <c r="E208" s="78">
        <f t="shared" ref="E208:X208" si="87">E220</f>
        <v>0</v>
      </c>
      <c r="F208" s="78">
        <f t="shared" si="87"/>
        <v>0</v>
      </c>
      <c r="G208" s="78">
        <f t="shared" si="87"/>
        <v>0</v>
      </c>
      <c r="H208" s="78">
        <f t="shared" si="87"/>
        <v>0</v>
      </c>
      <c r="I208" s="78">
        <f t="shared" si="87"/>
        <v>0</v>
      </c>
      <c r="J208" s="78">
        <f t="shared" si="87"/>
        <v>0</v>
      </c>
      <c r="K208" s="78">
        <f t="shared" si="87"/>
        <v>0</v>
      </c>
      <c r="L208" s="178" t="e">
        <f t="shared" si="70"/>
        <v>#DIV/0!</v>
      </c>
      <c r="M208" s="78">
        <f t="shared" si="87"/>
        <v>0</v>
      </c>
      <c r="N208" s="78">
        <f t="shared" si="87"/>
        <v>0</v>
      </c>
      <c r="O208" s="78">
        <f t="shared" si="87"/>
        <v>0</v>
      </c>
      <c r="P208" s="78">
        <f t="shared" si="87"/>
        <v>0</v>
      </c>
      <c r="Q208" s="78">
        <f t="shared" si="87"/>
        <v>0</v>
      </c>
      <c r="R208" s="78">
        <f t="shared" si="87"/>
        <v>0</v>
      </c>
      <c r="S208" s="78">
        <f t="shared" si="87"/>
        <v>0</v>
      </c>
      <c r="T208" s="78">
        <f t="shared" si="87"/>
        <v>0</v>
      </c>
      <c r="U208" s="78">
        <f t="shared" si="87"/>
        <v>0</v>
      </c>
      <c r="V208" s="78">
        <f t="shared" si="87"/>
        <v>0</v>
      </c>
      <c r="W208" s="78">
        <f t="shared" si="87"/>
        <v>0</v>
      </c>
      <c r="X208" s="78">
        <f t="shared" si="87"/>
        <v>0</v>
      </c>
      <c r="Y208" s="178" t="e">
        <f t="shared" si="72"/>
        <v>#DIV/0!</v>
      </c>
      <c r="Z208" s="78">
        <f t="shared" si="71"/>
        <v>0</v>
      </c>
      <c r="AA208" s="78">
        <f t="shared" ref="AA208" si="88">AA220</f>
        <v>0</v>
      </c>
      <c r="AB208" s="221"/>
    </row>
    <row r="209" spans="1:32" s="82" customFormat="1" ht="27.75" hidden="1" customHeight="1" x14ac:dyDescent="0.25">
      <c r="A209" s="45" t="s">
        <v>122</v>
      </c>
      <c r="B209" s="45" t="s">
        <v>65</v>
      </c>
      <c r="C209" s="33" t="s">
        <v>123</v>
      </c>
      <c r="D209" s="79">
        <f>'дод 2'!E314</f>
        <v>0</v>
      </c>
      <c r="E209" s="79">
        <f>'дод 2'!F314</f>
        <v>0</v>
      </c>
      <c r="F209" s="79">
        <f>'дод 2'!G314</f>
        <v>0</v>
      </c>
      <c r="G209" s="79">
        <f>'дод 2'!H314</f>
        <v>0</v>
      </c>
      <c r="H209" s="79">
        <f>'дод 2'!I314</f>
        <v>0</v>
      </c>
      <c r="I209" s="79">
        <f>'дод 2'!J314</f>
        <v>0</v>
      </c>
      <c r="J209" s="79">
        <f>'дод 2'!K314</f>
        <v>0</v>
      </c>
      <c r="K209" s="79">
        <f>'дод 2'!L314</f>
        <v>0</v>
      </c>
      <c r="L209" s="179" t="e">
        <f t="shared" si="70"/>
        <v>#DIV/0!</v>
      </c>
      <c r="M209" s="79">
        <f>'дод 2'!N314</f>
        <v>0</v>
      </c>
      <c r="N209" s="79">
        <f>'дод 2'!O314</f>
        <v>0</v>
      </c>
      <c r="O209" s="79">
        <f>'дод 2'!P314</f>
        <v>0</v>
      </c>
      <c r="P209" s="79">
        <f>'дод 2'!Q314</f>
        <v>0</v>
      </c>
      <c r="Q209" s="79">
        <f>'дод 2'!R314</f>
        <v>0</v>
      </c>
      <c r="R209" s="79">
        <f>'дод 2'!S314</f>
        <v>0</v>
      </c>
      <c r="S209" s="79">
        <f>'дод 2'!T314</f>
        <v>0</v>
      </c>
      <c r="T209" s="79">
        <f>'дод 2'!U314</f>
        <v>0</v>
      </c>
      <c r="U209" s="79">
        <f>'дод 2'!V314</f>
        <v>0</v>
      </c>
      <c r="V209" s="79">
        <f>'дод 2'!W314</f>
        <v>0</v>
      </c>
      <c r="W209" s="79">
        <f>'дод 2'!X314</f>
        <v>0</v>
      </c>
      <c r="X209" s="79">
        <f>'дод 2'!Y314</f>
        <v>0</v>
      </c>
      <c r="Y209" s="179" t="e">
        <f t="shared" si="72"/>
        <v>#DIV/0!</v>
      </c>
      <c r="Z209" s="79">
        <f t="shared" si="71"/>
        <v>0</v>
      </c>
      <c r="AA209" s="79">
        <f>'дод 2'!AB314</f>
        <v>0</v>
      </c>
      <c r="AB209" s="221"/>
    </row>
    <row r="210" spans="1:32" s="82" customFormat="1" ht="32.25" customHeight="1" x14ac:dyDescent="0.25">
      <c r="A210" s="45" t="s">
        <v>124</v>
      </c>
      <c r="B210" s="45" t="s">
        <v>67</v>
      </c>
      <c r="C210" s="33" t="s">
        <v>716</v>
      </c>
      <c r="D210" s="79">
        <f>'дод 2'!E315</f>
        <v>110757168</v>
      </c>
      <c r="E210" s="79">
        <f>'дод 2'!F315</f>
        <v>882000</v>
      </c>
      <c r="F210" s="79">
        <f>'дод 2'!G315</f>
        <v>0</v>
      </c>
      <c r="G210" s="79">
        <f>'дод 2'!H315</f>
        <v>0</v>
      </c>
      <c r="H210" s="79">
        <f>'дод 2'!I315</f>
        <v>109875168</v>
      </c>
      <c r="I210" s="79">
        <f>'дод 2'!J315</f>
        <v>110622938.93000001</v>
      </c>
      <c r="J210" s="79">
        <f>'дод 2'!K315</f>
        <v>0</v>
      </c>
      <c r="K210" s="79">
        <f>'дод 2'!L315</f>
        <v>0</v>
      </c>
      <c r="L210" s="179">
        <f t="shared" si="70"/>
        <v>99.878807780639548</v>
      </c>
      <c r="M210" s="79">
        <f>'дод 2'!N315</f>
        <v>1290870</v>
      </c>
      <c r="N210" s="79">
        <f>'дод 2'!O315</f>
        <v>1290870</v>
      </c>
      <c r="O210" s="79">
        <f>'дод 2'!P315</f>
        <v>0</v>
      </c>
      <c r="P210" s="79">
        <f>'дод 2'!Q315</f>
        <v>0</v>
      </c>
      <c r="Q210" s="79">
        <f>'дод 2'!R315</f>
        <v>0</v>
      </c>
      <c r="R210" s="79">
        <f>'дод 2'!S315</f>
        <v>1290870</v>
      </c>
      <c r="S210" s="79">
        <f>'дод 2'!T315</f>
        <v>1290869.96</v>
      </c>
      <c r="T210" s="79">
        <f>'дод 2'!U315</f>
        <v>1290869.96</v>
      </c>
      <c r="U210" s="79">
        <f>'дод 2'!V315</f>
        <v>0</v>
      </c>
      <c r="V210" s="79">
        <f>'дод 2'!W315</f>
        <v>0</v>
      </c>
      <c r="W210" s="79">
        <f>'дод 2'!X315</f>
        <v>0</v>
      </c>
      <c r="X210" s="79">
        <f>'дод 2'!Y315</f>
        <v>1290869.96</v>
      </c>
      <c r="Y210" s="179">
        <f t="shared" si="72"/>
        <v>99.999996901314617</v>
      </c>
      <c r="Z210" s="79">
        <f t="shared" si="71"/>
        <v>111913808.89</v>
      </c>
      <c r="AA210" s="79">
        <f>'дод 2'!AB315</f>
        <v>112048038</v>
      </c>
      <c r="AB210" s="221"/>
    </row>
    <row r="211" spans="1:32" s="82" customFormat="1" ht="94.5" x14ac:dyDescent="0.25">
      <c r="A211" s="81"/>
      <c r="B211" s="81"/>
      <c r="C211" s="48" t="s">
        <v>618</v>
      </c>
      <c r="D211" s="80">
        <f>'дод 2'!E316</f>
        <v>11562545</v>
      </c>
      <c r="E211" s="80">
        <f>'дод 2'!F316</f>
        <v>0</v>
      </c>
      <c r="F211" s="80">
        <f>'дод 2'!G316</f>
        <v>0</v>
      </c>
      <c r="G211" s="80">
        <f>'дод 2'!H316</f>
        <v>0</v>
      </c>
      <c r="H211" s="80">
        <f>'дод 2'!I316</f>
        <v>11562545</v>
      </c>
      <c r="I211" s="80">
        <f>'дод 2'!J316</f>
        <v>11562018.640000001</v>
      </c>
      <c r="J211" s="80">
        <f>'дод 2'!K316</f>
        <v>0</v>
      </c>
      <c r="K211" s="80">
        <f>'дод 2'!L316</f>
        <v>0</v>
      </c>
      <c r="L211" s="180">
        <f t="shared" si="70"/>
        <v>99.995447715014308</v>
      </c>
      <c r="M211" s="80">
        <f>'дод 2'!N316</f>
        <v>1290870</v>
      </c>
      <c r="N211" s="80">
        <f>'дод 2'!O316</f>
        <v>1290870</v>
      </c>
      <c r="O211" s="80">
        <f>'дод 2'!P316</f>
        <v>0</v>
      </c>
      <c r="P211" s="80">
        <f>'дод 2'!Q316</f>
        <v>0</v>
      </c>
      <c r="Q211" s="80">
        <f>'дод 2'!R316</f>
        <v>0</v>
      </c>
      <c r="R211" s="80">
        <f>'дод 2'!S316</f>
        <v>1290870</v>
      </c>
      <c r="S211" s="80">
        <f>'дод 2'!T316</f>
        <v>1290869.96</v>
      </c>
      <c r="T211" s="80">
        <f>'дод 2'!U316</f>
        <v>1290869.96</v>
      </c>
      <c r="U211" s="80">
        <f>'дод 2'!V316</f>
        <v>0</v>
      </c>
      <c r="V211" s="80">
        <f>'дод 2'!W316</f>
        <v>0</v>
      </c>
      <c r="W211" s="80">
        <f>'дод 2'!X316</f>
        <v>0</v>
      </c>
      <c r="X211" s="80">
        <f>'дод 2'!Y316</f>
        <v>1290869.96</v>
      </c>
      <c r="Y211" s="180">
        <f t="shared" si="72"/>
        <v>99.999996901314617</v>
      </c>
      <c r="Z211" s="80">
        <f t="shared" si="71"/>
        <v>12852888.600000001</v>
      </c>
      <c r="AA211" s="80">
        <f>'дод 2'!AB316</f>
        <v>12853415</v>
      </c>
      <c r="AB211" s="221">
        <v>10</v>
      </c>
    </row>
    <row r="212" spans="1:32" s="82" customFormat="1" ht="32.25" hidden="1" customHeight="1" x14ac:dyDescent="0.25">
      <c r="A212" s="45">
        <v>6014</v>
      </c>
      <c r="B212" s="45" t="s">
        <v>67</v>
      </c>
      <c r="C212" s="33" t="s">
        <v>568</v>
      </c>
      <c r="D212" s="79">
        <f>'дод 2'!E317</f>
        <v>0</v>
      </c>
      <c r="E212" s="79">
        <f>'дод 2'!F317</f>
        <v>0</v>
      </c>
      <c r="F212" s="79">
        <f>'дод 2'!G317</f>
        <v>0</v>
      </c>
      <c r="G212" s="79">
        <f>'дод 2'!H317</f>
        <v>0</v>
      </c>
      <c r="H212" s="79">
        <f>'дод 2'!I317</f>
        <v>0</v>
      </c>
      <c r="I212" s="79">
        <f>'дод 2'!J317</f>
        <v>0</v>
      </c>
      <c r="J212" s="79">
        <f>'дод 2'!K317</f>
        <v>0</v>
      </c>
      <c r="K212" s="79">
        <f>'дод 2'!L317</f>
        <v>0</v>
      </c>
      <c r="L212" s="179" t="e">
        <f t="shared" ref="L212:L275" si="89">I212/D212*100</f>
        <v>#DIV/0!</v>
      </c>
      <c r="M212" s="79">
        <f>'дод 2'!N317</f>
        <v>0</v>
      </c>
      <c r="N212" s="79">
        <f>'дод 2'!O317</f>
        <v>0</v>
      </c>
      <c r="O212" s="79">
        <f>'дод 2'!P317</f>
        <v>0</v>
      </c>
      <c r="P212" s="79">
        <f>'дод 2'!Q317</f>
        <v>0</v>
      </c>
      <c r="Q212" s="79">
        <f>'дод 2'!R317</f>
        <v>0</v>
      </c>
      <c r="R212" s="79">
        <f>'дод 2'!S317</f>
        <v>0</v>
      </c>
      <c r="S212" s="79">
        <f>'дод 2'!T317</f>
        <v>0</v>
      </c>
      <c r="T212" s="79">
        <f>'дод 2'!U317</f>
        <v>0</v>
      </c>
      <c r="U212" s="79">
        <f>'дод 2'!V317</f>
        <v>0</v>
      </c>
      <c r="V212" s="79">
        <f>'дод 2'!W317</f>
        <v>0</v>
      </c>
      <c r="W212" s="79">
        <f>'дод 2'!X317</f>
        <v>0</v>
      </c>
      <c r="X212" s="79">
        <f>'дод 2'!Y317</f>
        <v>0</v>
      </c>
      <c r="Y212" s="179" t="e">
        <f t="shared" ref="Y212:Y274" si="90">S212/M212*100</f>
        <v>#DIV/0!</v>
      </c>
      <c r="Z212" s="79">
        <f t="shared" ref="Z212:Z275" si="91">S212+I212</f>
        <v>0</v>
      </c>
      <c r="AA212" s="79">
        <f>'дод 2'!AB317</f>
        <v>0</v>
      </c>
      <c r="AB212" s="221"/>
    </row>
    <row r="213" spans="1:32" s="82" customFormat="1" ht="32.25" customHeight="1" x14ac:dyDescent="0.25">
      <c r="A213" s="45" t="s">
        <v>251</v>
      </c>
      <c r="B213" s="45" t="s">
        <v>67</v>
      </c>
      <c r="C213" s="33" t="s">
        <v>252</v>
      </c>
      <c r="D213" s="79">
        <f>'дод 2'!E318</f>
        <v>0</v>
      </c>
      <c r="E213" s="79">
        <f>'дод 2'!F318</f>
        <v>0</v>
      </c>
      <c r="F213" s="79">
        <f>'дод 2'!G318</f>
        <v>0</v>
      </c>
      <c r="G213" s="79">
        <f>'дод 2'!H318</f>
        <v>0</v>
      </c>
      <c r="H213" s="79">
        <f>'дод 2'!I318</f>
        <v>0</v>
      </c>
      <c r="I213" s="79">
        <f>'дод 2'!J318</f>
        <v>0</v>
      </c>
      <c r="J213" s="79">
        <f>'дод 2'!K318</f>
        <v>0</v>
      </c>
      <c r="K213" s="79">
        <f>'дод 2'!L318</f>
        <v>0</v>
      </c>
      <c r="L213" s="179"/>
      <c r="M213" s="79">
        <f>'дод 2'!N318</f>
        <v>90000</v>
      </c>
      <c r="N213" s="79">
        <f>'дод 2'!O318</f>
        <v>90000</v>
      </c>
      <c r="O213" s="79">
        <f>'дод 2'!P318</f>
        <v>0</v>
      </c>
      <c r="P213" s="79">
        <f>'дод 2'!Q318</f>
        <v>0</v>
      </c>
      <c r="Q213" s="79">
        <f>'дод 2'!R318</f>
        <v>0</v>
      </c>
      <c r="R213" s="79">
        <f>'дод 2'!S318</f>
        <v>90000</v>
      </c>
      <c r="S213" s="79">
        <f>'дод 2'!T318</f>
        <v>88278.080000000002</v>
      </c>
      <c r="T213" s="79">
        <f>'дод 2'!U318</f>
        <v>88278.080000000002</v>
      </c>
      <c r="U213" s="79">
        <f>'дод 2'!V318</f>
        <v>0</v>
      </c>
      <c r="V213" s="79">
        <f>'дод 2'!W318</f>
        <v>0</v>
      </c>
      <c r="W213" s="79">
        <f>'дод 2'!X318</f>
        <v>0</v>
      </c>
      <c r="X213" s="79">
        <f>'дод 2'!Y318</f>
        <v>88278.080000000002</v>
      </c>
      <c r="Y213" s="179">
        <f t="shared" si="90"/>
        <v>98.086755555555555</v>
      </c>
      <c r="Z213" s="79">
        <f t="shared" si="91"/>
        <v>88278.080000000002</v>
      </c>
      <c r="AA213" s="79">
        <f>'дод 2'!AB318</f>
        <v>90000</v>
      </c>
      <c r="AB213" s="221"/>
    </row>
    <row r="214" spans="1:32" s="82" customFormat="1" ht="33" customHeight="1" x14ac:dyDescent="0.25">
      <c r="A214" s="45" t="s">
        <v>254</v>
      </c>
      <c r="B214" s="45" t="s">
        <v>67</v>
      </c>
      <c r="C214" s="33" t="s">
        <v>330</v>
      </c>
      <c r="D214" s="79">
        <f>'дод 2'!E319</f>
        <v>400000</v>
      </c>
      <c r="E214" s="79">
        <f>'дод 2'!F319</f>
        <v>400000</v>
      </c>
      <c r="F214" s="79">
        <f>'дод 2'!G319</f>
        <v>0</v>
      </c>
      <c r="G214" s="79">
        <f>'дод 2'!H319</f>
        <v>0</v>
      </c>
      <c r="H214" s="79">
        <f>'дод 2'!I319</f>
        <v>0</v>
      </c>
      <c r="I214" s="79">
        <f>'дод 2'!J319</f>
        <v>398868.71</v>
      </c>
      <c r="J214" s="79">
        <f>'дод 2'!K319</f>
        <v>0</v>
      </c>
      <c r="K214" s="79">
        <f>'дод 2'!L319</f>
        <v>0</v>
      </c>
      <c r="L214" s="179">
        <f t="shared" si="89"/>
        <v>99.717177500000005</v>
      </c>
      <c r="M214" s="79">
        <f>'дод 2'!N319</f>
        <v>0</v>
      </c>
      <c r="N214" s="79">
        <f>'дод 2'!O319</f>
        <v>0</v>
      </c>
      <c r="O214" s="79">
        <f>'дод 2'!P319</f>
        <v>0</v>
      </c>
      <c r="P214" s="79">
        <f>'дод 2'!Q319</f>
        <v>0</v>
      </c>
      <c r="Q214" s="79">
        <f>'дод 2'!R319</f>
        <v>0</v>
      </c>
      <c r="R214" s="79">
        <f>'дод 2'!S319</f>
        <v>0</v>
      </c>
      <c r="S214" s="79">
        <f>'дод 2'!T319</f>
        <v>0</v>
      </c>
      <c r="T214" s="79">
        <f>'дод 2'!U319</f>
        <v>0</v>
      </c>
      <c r="U214" s="79">
        <f>'дод 2'!V319</f>
        <v>0</v>
      </c>
      <c r="V214" s="79">
        <f>'дод 2'!W319</f>
        <v>0</v>
      </c>
      <c r="W214" s="79">
        <f>'дод 2'!X319</f>
        <v>0</v>
      </c>
      <c r="X214" s="79">
        <f>'дод 2'!Y319</f>
        <v>0</v>
      </c>
      <c r="Y214" s="179"/>
      <c r="Z214" s="79">
        <f t="shared" si="91"/>
        <v>398868.71</v>
      </c>
      <c r="AA214" s="79">
        <f>'дод 2'!AB319</f>
        <v>400000</v>
      </c>
      <c r="AB214" s="221"/>
    </row>
    <row r="215" spans="1:32" s="82" customFormat="1" ht="57.75" customHeight="1" x14ac:dyDescent="0.25">
      <c r="A215" s="45" t="s">
        <v>66</v>
      </c>
      <c r="B215" s="45" t="s">
        <v>67</v>
      </c>
      <c r="C215" s="33" t="s">
        <v>717</v>
      </c>
      <c r="D215" s="79">
        <f>'дод 2'!E320</f>
        <v>9099186.620000001</v>
      </c>
      <c r="E215" s="79">
        <f>'дод 2'!F320</f>
        <v>0</v>
      </c>
      <c r="F215" s="79">
        <f>'дод 2'!G320</f>
        <v>0</v>
      </c>
      <c r="G215" s="79">
        <f>'дод 2'!H320</f>
        <v>0</v>
      </c>
      <c r="H215" s="79">
        <f>'дод 2'!I320</f>
        <v>9099186.620000001</v>
      </c>
      <c r="I215" s="79">
        <f>'дод 2'!J320</f>
        <v>8627421.5199999996</v>
      </c>
      <c r="J215" s="79">
        <f>'дод 2'!K320</f>
        <v>0</v>
      </c>
      <c r="K215" s="79">
        <f>'дод 2'!L320</f>
        <v>0</v>
      </c>
      <c r="L215" s="179">
        <f t="shared" si="89"/>
        <v>94.81530471126878</v>
      </c>
      <c r="M215" s="79">
        <f>'дод 2'!N320</f>
        <v>4295760</v>
      </c>
      <c r="N215" s="79">
        <f>'дод 2'!O320</f>
        <v>4295760</v>
      </c>
      <c r="O215" s="79">
        <f>'дод 2'!P320</f>
        <v>0</v>
      </c>
      <c r="P215" s="79">
        <f>'дод 2'!Q320</f>
        <v>0</v>
      </c>
      <c r="Q215" s="79">
        <f>'дод 2'!R320</f>
        <v>0</v>
      </c>
      <c r="R215" s="79">
        <f>'дод 2'!S320</f>
        <v>4295760</v>
      </c>
      <c r="S215" s="79">
        <f>'дод 2'!T320</f>
        <v>790858.68</v>
      </c>
      <c r="T215" s="79">
        <f>'дод 2'!U320</f>
        <v>790858.68</v>
      </c>
      <c r="U215" s="79">
        <f>'дод 2'!V320</f>
        <v>0</v>
      </c>
      <c r="V215" s="79">
        <f>'дод 2'!W320</f>
        <v>0</v>
      </c>
      <c r="W215" s="79">
        <f>'дод 2'!X320</f>
        <v>0</v>
      </c>
      <c r="X215" s="79">
        <f>'дод 2'!Y320</f>
        <v>790858.68</v>
      </c>
      <c r="Y215" s="179">
        <f t="shared" si="90"/>
        <v>18.410215654505841</v>
      </c>
      <c r="Z215" s="79">
        <f t="shared" si="91"/>
        <v>9418280.1999999993</v>
      </c>
      <c r="AA215" s="79">
        <f>'дод 2'!AB320</f>
        <v>13394946.620000001</v>
      </c>
      <c r="AB215" s="221"/>
    </row>
    <row r="216" spans="1:32" s="82" customFormat="1" ht="94.5" x14ac:dyDescent="0.25">
      <c r="A216" s="81"/>
      <c r="B216" s="81"/>
      <c r="C216" s="48" t="s">
        <v>618</v>
      </c>
      <c r="D216" s="80">
        <f>'дод 2'!E321</f>
        <v>541482</v>
      </c>
      <c r="E216" s="80">
        <f>'дод 2'!F321</f>
        <v>0</v>
      </c>
      <c r="F216" s="80">
        <f>'дод 2'!G321</f>
        <v>0</v>
      </c>
      <c r="G216" s="80">
        <f>'дод 2'!H321</f>
        <v>0</v>
      </c>
      <c r="H216" s="80">
        <f>'дод 2'!I321</f>
        <v>541482</v>
      </c>
      <c r="I216" s="80">
        <f>'дод 2'!J321</f>
        <v>495778.41</v>
      </c>
      <c r="J216" s="80">
        <f>'дод 2'!K321</f>
        <v>0</v>
      </c>
      <c r="K216" s="80">
        <f>'дод 2'!L321</f>
        <v>0</v>
      </c>
      <c r="L216" s="180">
        <f t="shared" si="89"/>
        <v>91.559536605094905</v>
      </c>
      <c r="M216" s="80">
        <f>'дод 2'!N321</f>
        <v>0</v>
      </c>
      <c r="N216" s="80">
        <f>'дод 2'!O321</f>
        <v>0</v>
      </c>
      <c r="O216" s="80">
        <f>'дод 2'!P321</f>
        <v>0</v>
      </c>
      <c r="P216" s="80">
        <f>'дод 2'!Q321</f>
        <v>0</v>
      </c>
      <c r="Q216" s="80">
        <f>'дод 2'!R321</f>
        <v>0</v>
      </c>
      <c r="R216" s="80">
        <f>'дод 2'!S321</f>
        <v>0</v>
      </c>
      <c r="S216" s="80">
        <f>'дод 2'!T321</f>
        <v>0</v>
      </c>
      <c r="T216" s="80">
        <f>'дод 2'!U321</f>
        <v>0</v>
      </c>
      <c r="U216" s="80">
        <f>'дод 2'!V321</f>
        <v>0</v>
      </c>
      <c r="V216" s="80">
        <f>'дод 2'!W321</f>
        <v>0</v>
      </c>
      <c r="W216" s="80">
        <f>'дод 2'!X321</f>
        <v>0</v>
      </c>
      <c r="X216" s="80">
        <f>'дод 2'!Y321</f>
        <v>0</v>
      </c>
      <c r="Y216" s="180"/>
      <c r="Z216" s="80">
        <f t="shared" si="91"/>
        <v>495778.41</v>
      </c>
      <c r="AA216" s="80">
        <f>'дод 2'!AB321</f>
        <v>541482</v>
      </c>
      <c r="AB216" s="221"/>
    </row>
    <row r="217" spans="1:32" ht="24" customHeight="1" x14ac:dyDescent="0.25">
      <c r="A217" s="45" t="s">
        <v>125</v>
      </c>
      <c r="B217" s="45" t="s">
        <v>67</v>
      </c>
      <c r="C217" s="33" t="s">
        <v>126</v>
      </c>
      <c r="D217" s="79">
        <f>'дод 2'!E322+'дод 2'!E393</f>
        <v>234363493.19999999</v>
      </c>
      <c r="E217" s="79">
        <f>'дод 2'!F322+'дод 2'!F393</f>
        <v>234263493</v>
      </c>
      <c r="F217" s="79">
        <f>'дод 2'!G322+'дод 2'!G393</f>
        <v>0</v>
      </c>
      <c r="G217" s="79">
        <f>'дод 2'!H322+'дод 2'!H393</f>
        <v>25416663</v>
      </c>
      <c r="H217" s="79">
        <f>'дод 2'!I322+'дод 2'!I393</f>
        <v>100000.19999999995</v>
      </c>
      <c r="I217" s="79">
        <f>'дод 2'!J322+'дод 2'!J393</f>
        <v>224342178.05000001</v>
      </c>
      <c r="J217" s="79">
        <f>'дод 2'!K322+'дод 2'!K393</f>
        <v>0</v>
      </c>
      <c r="K217" s="79">
        <f>'дод 2'!L322+'дод 2'!L393</f>
        <v>20196717.5</v>
      </c>
      <c r="L217" s="179">
        <f t="shared" si="89"/>
        <v>95.724028937626372</v>
      </c>
      <c r="M217" s="79">
        <f>'дод 2'!N322+'дод 2'!N393</f>
        <v>362000</v>
      </c>
      <c r="N217" s="79">
        <f>'дод 2'!O322+'дод 2'!O393</f>
        <v>362000</v>
      </c>
      <c r="O217" s="79">
        <f>'дод 2'!P322+'дод 2'!P393</f>
        <v>0</v>
      </c>
      <c r="P217" s="79">
        <f>'дод 2'!Q322+'дод 2'!Q393</f>
        <v>0</v>
      </c>
      <c r="Q217" s="79">
        <f>'дод 2'!R322+'дод 2'!R393</f>
        <v>0</v>
      </c>
      <c r="R217" s="79">
        <f>'дод 2'!S322+'дод 2'!S393</f>
        <v>362000</v>
      </c>
      <c r="S217" s="79">
        <f>'дод 2'!T322+'дод 2'!T393</f>
        <v>268116.56</v>
      </c>
      <c r="T217" s="79">
        <f>'дод 2'!U322+'дод 2'!U393</f>
        <v>268116.56</v>
      </c>
      <c r="U217" s="79">
        <f>'дод 2'!V322+'дод 2'!V393</f>
        <v>0</v>
      </c>
      <c r="V217" s="79">
        <f>'дод 2'!W322+'дод 2'!W393</f>
        <v>0</v>
      </c>
      <c r="W217" s="79">
        <f>'дод 2'!X322+'дод 2'!X393</f>
        <v>0</v>
      </c>
      <c r="X217" s="79">
        <f>'дод 2'!Y322+'дод 2'!Y393</f>
        <v>268116.56</v>
      </c>
      <c r="Y217" s="179">
        <f t="shared" si="90"/>
        <v>74.065348066298341</v>
      </c>
      <c r="Z217" s="79">
        <f t="shared" si="91"/>
        <v>224610294.61000001</v>
      </c>
      <c r="AA217" s="79">
        <f>'дод 2'!AB322+'дод 2'!AB393</f>
        <v>234725493.19999999</v>
      </c>
      <c r="AB217" s="221"/>
    </row>
    <row r="218" spans="1:32" ht="94.5" hidden="1" customHeight="1" x14ac:dyDescent="0.25">
      <c r="A218" s="45">
        <v>6071</v>
      </c>
      <c r="B218" s="22" t="s">
        <v>299</v>
      </c>
      <c r="C218" s="42" t="s">
        <v>538</v>
      </c>
      <c r="D218" s="79">
        <f>'дод 2'!E325</f>
        <v>0</v>
      </c>
      <c r="E218" s="79">
        <f>'дод 2'!F325</f>
        <v>0</v>
      </c>
      <c r="F218" s="79">
        <f>'дод 2'!G325</f>
        <v>0</v>
      </c>
      <c r="G218" s="79">
        <f>'дод 2'!H325</f>
        <v>0</v>
      </c>
      <c r="H218" s="79">
        <f>'дод 2'!I325</f>
        <v>0</v>
      </c>
      <c r="I218" s="79">
        <f>'дод 2'!J325</f>
        <v>0</v>
      </c>
      <c r="J218" s="79">
        <f>'дод 2'!K325</f>
        <v>0</v>
      </c>
      <c r="K218" s="79">
        <f>'дод 2'!L325</f>
        <v>0</v>
      </c>
      <c r="L218" s="179" t="e">
        <f t="shared" si="89"/>
        <v>#DIV/0!</v>
      </c>
      <c r="M218" s="79">
        <f>'дод 2'!N325</f>
        <v>0</v>
      </c>
      <c r="N218" s="79">
        <f>'дод 2'!O325</f>
        <v>0</v>
      </c>
      <c r="O218" s="79">
        <f>'дод 2'!P325</f>
        <v>0</v>
      </c>
      <c r="P218" s="79">
        <f>'дод 2'!Q325</f>
        <v>0</v>
      </c>
      <c r="Q218" s="79">
        <f>'дод 2'!R325</f>
        <v>0</v>
      </c>
      <c r="R218" s="79">
        <f>'дод 2'!S325</f>
        <v>0</v>
      </c>
      <c r="S218" s="79">
        <f>'дод 2'!T325</f>
        <v>0</v>
      </c>
      <c r="T218" s="79">
        <f>'дод 2'!U325</f>
        <v>0</v>
      </c>
      <c r="U218" s="79">
        <f>'дод 2'!V325</f>
        <v>0</v>
      </c>
      <c r="V218" s="79">
        <f>'дод 2'!W325</f>
        <v>0</v>
      </c>
      <c r="W218" s="79">
        <f>'дод 2'!X325</f>
        <v>0</v>
      </c>
      <c r="X218" s="79">
        <f>'дод 2'!Y325</f>
        <v>0</v>
      </c>
      <c r="Y218" s="179" t="e">
        <f t="shared" si="90"/>
        <v>#DIV/0!</v>
      </c>
      <c r="Z218" s="79">
        <f t="shared" si="91"/>
        <v>0</v>
      </c>
      <c r="AA218" s="79">
        <f>'дод 2'!AB325</f>
        <v>0</v>
      </c>
      <c r="AB218" s="221"/>
    </row>
    <row r="219" spans="1:32" ht="83.25" hidden="1" customHeight="1" x14ac:dyDescent="0.25">
      <c r="A219" s="45">
        <v>6083</v>
      </c>
      <c r="B219" s="34" t="s">
        <v>65</v>
      </c>
      <c r="C219" s="42" t="s">
        <v>414</v>
      </c>
      <c r="D219" s="79">
        <f>'дод 2'!E280+'дод 2'!E323</f>
        <v>0</v>
      </c>
      <c r="E219" s="79">
        <f>'дод 2'!F280+'дод 2'!F323</f>
        <v>0</v>
      </c>
      <c r="F219" s="79">
        <f>'дод 2'!G280+'дод 2'!G323</f>
        <v>0</v>
      </c>
      <c r="G219" s="79">
        <f>'дод 2'!H280+'дод 2'!H323</f>
        <v>0</v>
      </c>
      <c r="H219" s="79">
        <f>'дод 2'!I280+'дод 2'!I323</f>
        <v>0</v>
      </c>
      <c r="I219" s="79">
        <f>'дод 2'!J280+'дод 2'!J323</f>
        <v>0</v>
      </c>
      <c r="J219" s="79">
        <f>'дод 2'!K280+'дод 2'!K323</f>
        <v>0</v>
      </c>
      <c r="K219" s="79">
        <f>'дод 2'!L280+'дод 2'!L323</f>
        <v>0</v>
      </c>
      <c r="L219" s="179" t="e">
        <f t="shared" si="89"/>
        <v>#DIV/0!</v>
      </c>
      <c r="M219" s="79">
        <f>'дод 2'!N280+'дод 2'!N323</f>
        <v>0</v>
      </c>
      <c r="N219" s="79">
        <f>'дод 2'!O280+'дод 2'!O323</f>
        <v>0</v>
      </c>
      <c r="O219" s="79">
        <f>'дод 2'!P280+'дод 2'!P323</f>
        <v>0</v>
      </c>
      <c r="P219" s="79">
        <f>'дод 2'!Q280+'дод 2'!Q323</f>
        <v>0</v>
      </c>
      <c r="Q219" s="79">
        <f>'дод 2'!R280+'дод 2'!R323</f>
        <v>0</v>
      </c>
      <c r="R219" s="79">
        <f>'дод 2'!S280+'дод 2'!S323</f>
        <v>0</v>
      </c>
      <c r="S219" s="79">
        <f>'дод 2'!T280+'дод 2'!T323</f>
        <v>0</v>
      </c>
      <c r="T219" s="79">
        <f>'дод 2'!U280+'дод 2'!U323</f>
        <v>0</v>
      </c>
      <c r="U219" s="79">
        <f>'дод 2'!V280+'дод 2'!V323</f>
        <v>0</v>
      </c>
      <c r="V219" s="79">
        <f>'дод 2'!W280+'дод 2'!W323</f>
        <v>0</v>
      </c>
      <c r="W219" s="79">
        <f>'дод 2'!X280+'дод 2'!X323</f>
        <v>0</v>
      </c>
      <c r="X219" s="79">
        <f>'дод 2'!Y280+'дод 2'!Y323</f>
        <v>0</v>
      </c>
      <c r="Y219" s="179" t="e">
        <f t="shared" si="90"/>
        <v>#DIV/0!</v>
      </c>
      <c r="Z219" s="79">
        <f t="shared" si="91"/>
        <v>0</v>
      </c>
      <c r="AA219" s="79">
        <f>'дод 2'!AB280+'дод 2'!AB323</f>
        <v>0</v>
      </c>
      <c r="AB219" s="221"/>
    </row>
    <row r="220" spans="1:32" s="82" customFormat="1" ht="126" hidden="1" customHeight="1" x14ac:dyDescent="0.25">
      <c r="A220" s="81"/>
      <c r="B220" s="91"/>
      <c r="C220" s="53" t="s">
        <v>530</v>
      </c>
      <c r="D220" s="80">
        <f>'дод 2'!E281+'дод 2'!E324</f>
        <v>0</v>
      </c>
      <c r="E220" s="80">
        <f>'дод 2'!F281+'дод 2'!F324</f>
        <v>0</v>
      </c>
      <c r="F220" s="80">
        <f>'дод 2'!G281+'дод 2'!G324</f>
        <v>0</v>
      </c>
      <c r="G220" s="80">
        <f>'дод 2'!H281+'дод 2'!H324</f>
        <v>0</v>
      </c>
      <c r="H220" s="80">
        <f>'дод 2'!I281+'дод 2'!I324</f>
        <v>0</v>
      </c>
      <c r="I220" s="80">
        <f>'дод 2'!J281+'дод 2'!J324</f>
        <v>0</v>
      </c>
      <c r="J220" s="80">
        <f>'дод 2'!K281+'дод 2'!K324</f>
        <v>0</v>
      </c>
      <c r="K220" s="80">
        <f>'дод 2'!L281+'дод 2'!L324</f>
        <v>0</v>
      </c>
      <c r="L220" s="180" t="e">
        <f t="shared" si="89"/>
        <v>#DIV/0!</v>
      </c>
      <c r="M220" s="80">
        <f>'дод 2'!N281+'дод 2'!N324</f>
        <v>0</v>
      </c>
      <c r="N220" s="80">
        <f>'дод 2'!O281+'дод 2'!O324</f>
        <v>0</v>
      </c>
      <c r="O220" s="80">
        <f>'дод 2'!P281+'дод 2'!P324</f>
        <v>0</v>
      </c>
      <c r="P220" s="80">
        <f>'дод 2'!Q281+'дод 2'!Q324</f>
        <v>0</v>
      </c>
      <c r="Q220" s="80">
        <f>'дод 2'!R281+'дод 2'!R324</f>
        <v>0</v>
      </c>
      <c r="R220" s="80">
        <f>'дод 2'!S281+'дод 2'!S324</f>
        <v>0</v>
      </c>
      <c r="S220" s="80">
        <f>'дод 2'!T281+'дод 2'!T324</f>
        <v>0</v>
      </c>
      <c r="T220" s="80">
        <f>'дод 2'!U281+'дод 2'!U324</f>
        <v>0</v>
      </c>
      <c r="U220" s="80">
        <f>'дод 2'!V281+'дод 2'!V324</f>
        <v>0</v>
      </c>
      <c r="V220" s="80">
        <f>'дод 2'!W281+'дод 2'!W324</f>
        <v>0</v>
      </c>
      <c r="W220" s="80">
        <f>'дод 2'!X281+'дод 2'!X324</f>
        <v>0</v>
      </c>
      <c r="X220" s="80">
        <f>'дод 2'!Y281+'дод 2'!Y324</f>
        <v>0</v>
      </c>
      <c r="Y220" s="180" t="e">
        <f t="shared" si="90"/>
        <v>#DIV/0!</v>
      </c>
      <c r="Z220" s="80">
        <f t="shared" si="91"/>
        <v>0</v>
      </c>
      <c r="AA220" s="80">
        <f>'дод 2'!AB281+'дод 2'!AB324</f>
        <v>0</v>
      </c>
      <c r="AB220" s="221"/>
    </row>
    <row r="221" spans="1:32" s="82" customFormat="1" ht="54.75" customHeight="1" x14ac:dyDescent="0.25">
      <c r="A221" s="45" t="s">
        <v>128</v>
      </c>
      <c r="B221" s="23" t="s">
        <v>65</v>
      </c>
      <c r="C221" s="33" t="s">
        <v>547</v>
      </c>
      <c r="D221" s="79">
        <f>'дод 2'!E397</f>
        <v>0</v>
      </c>
      <c r="E221" s="79">
        <f>'дод 2'!F397</f>
        <v>0</v>
      </c>
      <c r="F221" s="79">
        <f>'дод 2'!G397</f>
        <v>0</v>
      </c>
      <c r="G221" s="79">
        <f>'дод 2'!H397</f>
        <v>0</v>
      </c>
      <c r="H221" s="79">
        <f>'дод 2'!I397</f>
        <v>0</v>
      </c>
      <c r="I221" s="79">
        <f>'дод 2'!J397</f>
        <v>0</v>
      </c>
      <c r="J221" s="79">
        <f>'дод 2'!K397</f>
        <v>0</v>
      </c>
      <c r="K221" s="79">
        <f>'дод 2'!L397</f>
        <v>0</v>
      </c>
      <c r="L221" s="179"/>
      <c r="M221" s="79">
        <f>'дод 2'!N397</f>
        <v>446263.49</v>
      </c>
      <c r="N221" s="79">
        <f>'дод 2'!O397</f>
        <v>0</v>
      </c>
      <c r="O221" s="79">
        <f>'дод 2'!P397</f>
        <v>0</v>
      </c>
      <c r="P221" s="79">
        <f>'дод 2'!Q397</f>
        <v>0</v>
      </c>
      <c r="Q221" s="79">
        <f>'дод 2'!R397</f>
        <v>0</v>
      </c>
      <c r="R221" s="79">
        <f>'дод 2'!S397</f>
        <v>446263.49</v>
      </c>
      <c r="S221" s="79">
        <f>'дод 2'!T397</f>
        <v>262038.01</v>
      </c>
      <c r="T221" s="79">
        <f>'дод 2'!U397</f>
        <v>0</v>
      </c>
      <c r="U221" s="79">
        <f>'дод 2'!V397</f>
        <v>0</v>
      </c>
      <c r="V221" s="79">
        <f>'дод 2'!W397</f>
        <v>0</v>
      </c>
      <c r="W221" s="79">
        <f>'дод 2'!X397</f>
        <v>0</v>
      </c>
      <c r="X221" s="79">
        <f>'дод 2'!Y397</f>
        <v>262038.01</v>
      </c>
      <c r="Y221" s="179">
        <f t="shared" si="90"/>
        <v>58.718227206980345</v>
      </c>
      <c r="Z221" s="79">
        <f t="shared" si="91"/>
        <v>262038.01</v>
      </c>
      <c r="AA221" s="79">
        <f>'дод 2'!AB397</f>
        <v>446263.49</v>
      </c>
      <c r="AB221" s="221"/>
    </row>
    <row r="222" spans="1:32" ht="32.25" customHeight="1" x14ac:dyDescent="0.25">
      <c r="A222" s="45" t="s">
        <v>134</v>
      </c>
      <c r="B222" s="23" t="s">
        <v>299</v>
      </c>
      <c r="C222" s="33" t="s">
        <v>135</v>
      </c>
      <c r="D222" s="79">
        <f>'дод 2'!E326+'дод 2'!E420+'дод 2'!E453</f>
        <v>5692198.1799999997</v>
      </c>
      <c r="E222" s="79">
        <f>'дод 2'!F326+'дод 2'!F420+'дод 2'!F453</f>
        <v>4562148.18</v>
      </c>
      <c r="F222" s="79">
        <f>'дод 2'!G326+'дод 2'!G420+'дод 2'!G453</f>
        <v>0</v>
      </c>
      <c r="G222" s="79">
        <f>'дод 2'!H326+'дод 2'!H420+'дод 2'!H453</f>
        <v>510</v>
      </c>
      <c r="H222" s="79">
        <f>'дод 2'!I326+'дод 2'!I420+'дод 2'!I453</f>
        <v>1130050</v>
      </c>
      <c r="I222" s="79">
        <f>'дод 2'!J326+'дод 2'!J420+'дод 2'!J453</f>
        <v>3807551.52</v>
      </c>
      <c r="J222" s="79">
        <f>'дод 2'!K326+'дод 2'!K420+'дод 2'!K453</f>
        <v>0</v>
      </c>
      <c r="K222" s="79">
        <f>'дод 2'!L326+'дод 2'!L420+'дод 2'!L453</f>
        <v>504.88</v>
      </c>
      <c r="L222" s="179">
        <f t="shared" si="89"/>
        <v>66.890705481375207</v>
      </c>
      <c r="M222" s="79">
        <f>'дод 2'!N326+'дод 2'!N420+'дод 2'!N453</f>
        <v>0</v>
      </c>
      <c r="N222" s="79">
        <f>'дод 2'!O326+'дод 2'!O420+'дод 2'!O453</f>
        <v>0</v>
      </c>
      <c r="O222" s="79">
        <f>'дод 2'!P326+'дод 2'!P420+'дод 2'!P453</f>
        <v>0</v>
      </c>
      <c r="P222" s="79">
        <f>'дод 2'!Q326+'дод 2'!Q420+'дод 2'!Q453</f>
        <v>0</v>
      </c>
      <c r="Q222" s="79">
        <f>'дод 2'!R326+'дод 2'!R420+'дод 2'!R453</f>
        <v>0</v>
      </c>
      <c r="R222" s="79">
        <f>'дод 2'!S326+'дод 2'!S420+'дод 2'!S453</f>
        <v>0</v>
      </c>
      <c r="S222" s="79">
        <f>'дод 2'!T326+'дод 2'!T420+'дод 2'!T453</f>
        <v>9204348.3499999996</v>
      </c>
      <c r="T222" s="79">
        <f>'дод 2'!U326+'дод 2'!U420+'дод 2'!U453</f>
        <v>0</v>
      </c>
      <c r="U222" s="79">
        <f>'дод 2'!V326+'дод 2'!V420+'дод 2'!V453</f>
        <v>1663791.78</v>
      </c>
      <c r="V222" s="79">
        <f>'дод 2'!W326+'дод 2'!W420+'дод 2'!W453</f>
        <v>0</v>
      </c>
      <c r="W222" s="79">
        <f>'дод 2'!X326+'дод 2'!X420+'дод 2'!X453</f>
        <v>0</v>
      </c>
      <c r="X222" s="79">
        <f>'дод 2'!Y326+'дод 2'!Y420+'дод 2'!Y453</f>
        <v>7540556.5700000003</v>
      </c>
      <c r="Y222" s="179"/>
      <c r="Z222" s="79">
        <f t="shared" si="91"/>
        <v>13011899.869999999</v>
      </c>
      <c r="AA222" s="79">
        <f>'дод 2'!AB326+'дод 2'!AB420+'дод 2'!AB453</f>
        <v>5692198.1799999997</v>
      </c>
      <c r="AB222" s="221"/>
    </row>
    <row r="223" spans="1:32" s="73" customFormat="1" ht="21.75" customHeight="1" x14ac:dyDescent="0.25">
      <c r="A223" s="83" t="s">
        <v>129</v>
      </c>
      <c r="B223" s="87"/>
      <c r="C223" s="88" t="s">
        <v>598</v>
      </c>
      <c r="D223" s="77">
        <f>D234+D236+D269+D282+D284+D303</f>
        <v>105899258.34999999</v>
      </c>
      <c r="E223" s="77">
        <f t="shared" ref="E223:X223" si="92">E234+E236+E269+E282+E284+E303</f>
        <v>13173469</v>
      </c>
      <c r="F223" s="77">
        <f t="shared" si="92"/>
        <v>0</v>
      </c>
      <c r="G223" s="77">
        <f t="shared" si="92"/>
        <v>0</v>
      </c>
      <c r="H223" s="77">
        <f t="shared" si="92"/>
        <v>92725789.349999994</v>
      </c>
      <c r="I223" s="77">
        <f t="shared" si="92"/>
        <v>98417255.709999993</v>
      </c>
      <c r="J223" s="77">
        <f t="shared" si="92"/>
        <v>0</v>
      </c>
      <c r="K223" s="77">
        <f t="shared" si="92"/>
        <v>0</v>
      </c>
      <c r="L223" s="136">
        <f t="shared" si="89"/>
        <v>92.934792219911714</v>
      </c>
      <c r="M223" s="77">
        <f t="shared" si="92"/>
        <v>404941153.65999997</v>
      </c>
      <c r="N223" s="77">
        <f t="shared" si="92"/>
        <v>331775939</v>
      </c>
      <c r="O223" s="77">
        <f t="shared" si="92"/>
        <v>557641</v>
      </c>
      <c r="P223" s="77">
        <f t="shared" si="92"/>
        <v>0</v>
      </c>
      <c r="Q223" s="77">
        <f t="shared" si="92"/>
        <v>0</v>
      </c>
      <c r="R223" s="77">
        <f t="shared" si="92"/>
        <v>404383512.65999997</v>
      </c>
      <c r="S223" s="77">
        <f t="shared" si="92"/>
        <v>258067689.91</v>
      </c>
      <c r="T223" s="77">
        <f t="shared" si="92"/>
        <v>191755540.05000001</v>
      </c>
      <c r="U223" s="77">
        <f t="shared" si="92"/>
        <v>425601.1</v>
      </c>
      <c r="V223" s="77">
        <f t="shared" si="92"/>
        <v>0</v>
      </c>
      <c r="W223" s="77">
        <f t="shared" si="92"/>
        <v>0</v>
      </c>
      <c r="X223" s="77">
        <f t="shared" si="92"/>
        <v>257642088.81</v>
      </c>
      <c r="Y223" s="136">
        <f t="shared" si="90"/>
        <v>63.729677158642396</v>
      </c>
      <c r="Z223" s="77">
        <f t="shared" si="91"/>
        <v>356484945.62</v>
      </c>
      <c r="AA223" s="77">
        <f t="shared" ref="AA223" si="93">AA234+AA236+AA269+AA282+AA284+AA303</f>
        <v>510840412.00999999</v>
      </c>
      <c r="AB223" s="221"/>
      <c r="AD223" s="196">
        <f>D223+M223</f>
        <v>510840412.00999999</v>
      </c>
      <c r="AF223" s="73">
        <f>Z223/AD223*100</f>
        <v>69.784014192875105</v>
      </c>
    </row>
    <row r="224" spans="1:32" s="85" customFormat="1" ht="47.25" hidden="1" customHeight="1" x14ac:dyDescent="0.25">
      <c r="A224" s="84"/>
      <c r="B224" s="89"/>
      <c r="C224" s="54" t="s">
        <v>374</v>
      </c>
      <c r="D224" s="78">
        <f>D237</f>
        <v>0</v>
      </c>
      <c r="E224" s="78">
        <f t="shared" ref="E224:X224" si="94">E237</f>
        <v>0</v>
      </c>
      <c r="F224" s="78">
        <f t="shared" si="94"/>
        <v>0</v>
      </c>
      <c r="G224" s="78">
        <f t="shared" si="94"/>
        <v>0</v>
      </c>
      <c r="H224" s="78">
        <f t="shared" si="94"/>
        <v>0</v>
      </c>
      <c r="I224" s="78">
        <f t="shared" si="94"/>
        <v>0</v>
      </c>
      <c r="J224" s="78">
        <f t="shared" si="94"/>
        <v>0</v>
      </c>
      <c r="K224" s="78">
        <f t="shared" si="94"/>
        <v>0</v>
      </c>
      <c r="L224" s="178" t="e">
        <f t="shared" si="89"/>
        <v>#DIV/0!</v>
      </c>
      <c r="M224" s="78">
        <f t="shared" si="94"/>
        <v>0</v>
      </c>
      <c r="N224" s="78">
        <f t="shared" si="94"/>
        <v>0</v>
      </c>
      <c r="O224" s="78">
        <f t="shared" si="94"/>
        <v>0</v>
      </c>
      <c r="P224" s="78">
        <f t="shared" si="94"/>
        <v>0</v>
      </c>
      <c r="Q224" s="78">
        <f t="shared" si="94"/>
        <v>0</v>
      </c>
      <c r="R224" s="78">
        <f t="shared" si="94"/>
        <v>0</v>
      </c>
      <c r="S224" s="78">
        <f t="shared" si="94"/>
        <v>0</v>
      </c>
      <c r="T224" s="78">
        <f t="shared" si="94"/>
        <v>0</v>
      </c>
      <c r="U224" s="78">
        <f t="shared" si="94"/>
        <v>0</v>
      </c>
      <c r="V224" s="78">
        <f t="shared" si="94"/>
        <v>0</v>
      </c>
      <c r="W224" s="78">
        <f t="shared" si="94"/>
        <v>0</v>
      </c>
      <c r="X224" s="78">
        <f t="shared" si="94"/>
        <v>0</v>
      </c>
      <c r="Y224" s="178" t="e">
        <f t="shared" si="90"/>
        <v>#DIV/0!</v>
      </c>
      <c r="Z224" s="78">
        <f t="shared" si="91"/>
        <v>0</v>
      </c>
      <c r="AA224" s="78">
        <f t="shared" ref="AA224" si="95">AA237</f>
        <v>0</v>
      </c>
      <c r="AB224" s="221"/>
    </row>
    <row r="225" spans="1:28" s="85" customFormat="1" ht="15.75" hidden="1" customHeight="1" x14ac:dyDescent="0.25">
      <c r="A225" s="84"/>
      <c r="B225" s="89"/>
      <c r="C225" s="19" t="s">
        <v>380</v>
      </c>
      <c r="D225" s="78">
        <f>D238</f>
        <v>0</v>
      </c>
      <c r="E225" s="78">
        <f t="shared" ref="E225:X225" si="96">E238</f>
        <v>0</v>
      </c>
      <c r="F225" s="78">
        <f t="shared" si="96"/>
        <v>0</v>
      </c>
      <c r="G225" s="78">
        <f t="shared" si="96"/>
        <v>0</v>
      </c>
      <c r="H225" s="78">
        <f t="shared" si="96"/>
        <v>0</v>
      </c>
      <c r="I225" s="78">
        <f t="shared" si="96"/>
        <v>0</v>
      </c>
      <c r="J225" s="78">
        <f t="shared" si="96"/>
        <v>0</v>
      </c>
      <c r="K225" s="78">
        <f t="shared" si="96"/>
        <v>0</v>
      </c>
      <c r="L225" s="178" t="e">
        <f t="shared" si="89"/>
        <v>#DIV/0!</v>
      </c>
      <c r="M225" s="78">
        <f t="shared" si="96"/>
        <v>0</v>
      </c>
      <c r="N225" s="78">
        <f t="shared" si="96"/>
        <v>0</v>
      </c>
      <c r="O225" s="78">
        <f t="shared" si="96"/>
        <v>0</v>
      </c>
      <c r="P225" s="78">
        <f t="shared" si="96"/>
        <v>0</v>
      </c>
      <c r="Q225" s="78">
        <f t="shared" si="96"/>
        <v>0</v>
      </c>
      <c r="R225" s="78">
        <f t="shared" si="96"/>
        <v>0</v>
      </c>
      <c r="S225" s="78">
        <f t="shared" si="96"/>
        <v>0</v>
      </c>
      <c r="T225" s="78">
        <f t="shared" si="96"/>
        <v>0</v>
      </c>
      <c r="U225" s="78">
        <f t="shared" si="96"/>
        <v>0</v>
      </c>
      <c r="V225" s="78">
        <f t="shared" si="96"/>
        <v>0</v>
      </c>
      <c r="W225" s="78">
        <f t="shared" si="96"/>
        <v>0</v>
      </c>
      <c r="X225" s="78">
        <f t="shared" si="96"/>
        <v>0</v>
      </c>
      <c r="Y225" s="178" t="e">
        <f t="shared" si="90"/>
        <v>#DIV/0!</v>
      </c>
      <c r="Z225" s="78">
        <f t="shared" si="91"/>
        <v>0</v>
      </c>
      <c r="AA225" s="78">
        <f t="shared" ref="AA225" si="97">AA238</f>
        <v>0</v>
      </c>
      <c r="AB225" s="221"/>
    </row>
    <row r="226" spans="1:28" s="85" customFormat="1" ht="101.25" hidden="1" customHeight="1" x14ac:dyDescent="0.25">
      <c r="A226" s="84"/>
      <c r="B226" s="89"/>
      <c r="C226" s="19" t="str">
        <f>'дод 2'!D304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26" s="19">
        <f>'дод 2'!E304</f>
        <v>0</v>
      </c>
      <c r="E226" s="19">
        <f>'дод 2'!F304</f>
        <v>0</v>
      </c>
      <c r="F226" s="19">
        <f>'дод 2'!G304</f>
        <v>0</v>
      </c>
      <c r="G226" s="19">
        <f>'дод 2'!H304</f>
        <v>0</v>
      </c>
      <c r="H226" s="19">
        <f>'дод 2'!I304</f>
        <v>0</v>
      </c>
      <c r="I226" s="19">
        <f>'дод 2'!J304</f>
        <v>0</v>
      </c>
      <c r="J226" s="19">
        <f>'дод 2'!K304</f>
        <v>0</v>
      </c>
      <c r="K226" s="19">
        <f>'дод 2'!L304</f>
        <v>0</v>
      </c>
      <c r="L226" s="183" t="e">
        <f t="shared" si="89"/>
        <v>#DIV/0!</v>
      </c>
      <c r="M226" s="19">
        <f>'дод 2'!N304</f>
        <v>0</v>
      </c>
      <c r="N226" s="19">
        <f>'дод 2'!O304</f>
        <v>0</v>
      </c>
      <c r="O226" s="19">
        <f>'дод 2'!P304</f>
        <v>0</v>
      </c>
      <c r="P226" s="19">
        <f>'дод 2'!Q304</f>
        <v>0</v>
      </c>
      <c r="Q226" s="19">
        <f>'дод 2'!R304</f>
        <v>0</v>
      </c>
      <c r="R226" s="19">
        <f>'дод 2'!S304</f>
        <v>0</v>
      </c>
      <c r="S226" s="19">
        <f>'дод 2'!T304</f>
        <v>0</v>
      </c>
      <c r="T226" s="19">
        <f>'дод 2'!U304</f>
        <v>0</v>
      </c>
      <c r="U226" s="19">
        <f>'дод 2'!V304</f>
        <v>0</v>
      </c>
      <c r="V226" s="19">
        <f>'дод 2'!W304</f>
        <v>0</v>
      </c>
      <c r="W226" s="19">
        <f>'дод 2'!X304</f>
        <v>0</v>
      </c>
      <c r="X226" s="19">
        <f>'дод 2'!Y304</f>
        <v>0</v>
      </c>
      <c r="Y226" s="183" t="e">
        <f t="shared" si="90"/>
        <v>#DIV/0!</v>
      </c>
      <c r="Z226" s="19">
        <f t="shared" si="91"/>
        <v>0</v>
      </c>
      <c r="AA226" s="92">
        <f>'дод 2'!AB304</f>
        <v>0</v>
      </c>
      <c r="AB226" s="221"/>
    </row>
    <row r="227" spans="1:28" s="85" customFormat="1" ht="56.25" hidden="1" customHeight="1" x14ac:dyDescent="0.25">
      <c r="A227" s="84"/>
      <c r="B227" s="89"/>
      <c r="C227" s="19" t="str">
        <f>C266</f>
        <v>субвенції з державного бюджету місцевим бюджетам на реалізацію проектів (об'єктів, заходів), спрямованих на ліквідацію наслідків збройної агресії</v>
      </c>
      <c r="D227" s="19">
        <f>D266</f>
        <v>0</v>
      </c>
      <c r="E227" s="19">
        <f t="shared" ref="E227:X227" si="98">E266</f>
        <v>0</v>
      </c>
      <c r="F227" s="19">
        <f t="shared" si="98"/>
        <v>0</v>
      </c>
      <c r="G227" s="19">
        <f t="shared" si="98"/>
        <v>0</v>
      </c>
      <c r="H227" s="19">
        <f t="shared" si="98"/>
        <v>0</v>
      </c>
      <c r="I227" s="19">
        <f t="shared" si="98"/>
        <v>0</v>
      </c>
      <c r="J227" s="19">
        <f t="shared" si="98"/>
        <v>0</v>
      </c>
      <c r="K227" s="19">
        <f t="shared" si="98"/>
        <v>0</v>
      </c>
      <c r="L227" s="183" t="e">
        <f t="shared" si="89"/>
        <v>#DIV/0!</v>
      </c>
      <c r="M227" s="19">
        <f t="shared" si="98"/>
        <v>0</v>
      </c>
      <c r="N227" s="19">
        <f t="shared" si="98"/>
        <v>0</v>
      </c>
      <c r="O227" s="19">
        <f t="shared" si="98"/>
        <v>0</v>
      </c>
      <c r="P227" s="19">
        <f t="shared" si="98"/>
        <v>0</v>
      </c>
      <c r="Q227" s="19">
        <f t="shared" si="98"/>
        <v>0</v>
      </c>
      <c r="R227" s="19">
        <f t="shared" si="98"/>
        <v>0</v>
      </c>
      <c r="S227" s="19">
        <f t="shared" si="98"/>
        <v>0</v>
      </c>
      <c r="T227" s="19">
        <f t="shared" si="98"/>
        <v>0</v>
      </c>
      <c r="U227" s="19">
        <f t="shared" si="98"/>
        <v>0</v>
      </c>
      <c r="V227" s="19">
        <f t="shared" si="98"/>
        <v>0</v>
      </c>
      <c r="W227" s="19">
        <f t="shared" si="98"/>
        <v>0</v>
      </c>
      <c r="X227" s="19">
        <f t="shared" si="98"/>
        <v>0</v>
      </c>
      <c r="Y227" s="183" t="e">
        <f t="shared" si="90"/>
        <v>#DIV/0!</v>
      </c>
      <c r="Z227" s="19">
        <f t="shared" si="91"/>
        <v>0</v>
      </c>
      <c r="AA227" s="18">
        <f t="shared" ref="AA227" si="99">AA266</f>
        <v>0</v>
      </c>
      <c r="AB227" s="221"/>
    </row>
    <row r="228" spans="1:28" s="85" customFormat="1" ht="92.25" customHeight="1" x14ac:dyDescent="0.25">
      <c r="A228" s="84"/>
      <c r="B228" s="89"/>
      <c r="C228" s="93" t="s">
        <v>660</v>
      </c>
      <c r="D228" s="78">
        <f>D239</f>
        <v>0</v>
      </c>
      <c r="E228" s="78">
        <f t="shared" ref="E228:X228" si="100">E239</f>
        <v>0</v>
      </c>
      <c r="F228" s="78">
        <f t="shared" si="100"/>
        <v>0</v>
      </c>
      <c r="G228" s="78">
        <f t="shared" si="100"/>
        <v>0</v>
      </c>
      <c r="H228" s="78">
        <f t="shared" si="100"/>
        <v>0</v>
      </c>
      <c r="I228" s="78">
        <f t="shared" si="100"/>
        <v>0</v>
      </c>
      <c r="J228" s="78">
        <f t="shared" si="100"/>
        <v>0</v>
      </c>
      <c r="K228" s="78">
        <f t="shared" si="100"/>
        <v>0</v>
      </c>
      <c r="L228" s="178"/>
      <c r="M228" s="78">
        <f t="shared" si="100"/>
        <v>67150626.659999996</v>
      </c>
      <c r="N228" s="78">
        <f t="shared" si="100"/>
        <v>0</v>
      </c>
      <c r="O228" s="78">
        <f t="shared" si="100"/>
        <v>0</v>
      </c>
      <c r="P228" s="78">
        <f t="shared" si="100"/>
        <v>0</v>
      </c>
      <c r="Q228" s="78">
        <f t="shared" si="100"/>
        <v>0</v>
      </c>
      <c r="R228" s="78">
        <f t="shared" si="100"/>
        <v>67150626.659999996</v>
      </c>
      <c r="S228" s="78">
        <f t="shared" si="100"/>
        <v>60586556.759999998</v>
      </c>
      <c r="T228" s="78">
        <f t="shared" si="100"/>
        <v>0</v>
      </c>
      <c r="U228" s="78">
        <f t="shared" si="100"/>
        <v>0</v>
      </c>
      <c r="V228" s="78">
        <f t="shared" si="100"/>
        <v>0</v>
      </c>
      <c r="W228" s="78">
        <f t="shared" si="100"/>
        <v>0</v>
      </c>
      <c r="X228" s="78">
        <f t="shared" si="100"/>
        <v>60586556.759999998</v>
      </c>
      <c r="Y228" s="178">
        <f t="shared" si="90"/>
        <v>90.224856823398696</v>
      </c>
      <c r="Z228" s="78">
        <f t="shared" si="91"/>
        <v>60586556.759999998</v>
      </c>
      <c r="AA228" s="78">
        <f t="shared" ref="AA228" si="101">AA239</f>
        <v>67150626.659999996</v>
      </c>
      <c r="AB228" s="221"/>
    </row>
    <row r="229" spans="1:28" s="85" customFormat="1" ht="92.25" customHeight="1" x14ac:dyDescent="0.25">
      <c r="A229" s="84"/>
      <c r="B229" s="89"/>
      <c r="C229" s="54" t="s">
        <v>618</v>
      </c>
      <c r="D229" s="78">
        <f>D240+D285</f>
        <v>163600</v>
      </c>
      <c r="E229" s="78">
        <f t="shared" ref="E229:X229" si="102">E240+E285</f>
        <v>163600</v>
      </c>
      <c r="F229" s="78">
        <f t="shared" si="102"/>
        <v>0</v>
      </c>
      <c r="G229" s="78">
        <f t="shared" si="102"/>
        <v>0</v>
      </c>
      <c r="H229" s="78">
        <f t="shared" si="102"/>
        <v>0</v>
      </c>
      <c r="I229" s="78">
        <f t="shared" si="102"/>
        <v>163600</v>
      </c>
      <c r="J229" s="78">
        <f t="shared" si="102"/>
        <v>0</v>
      </c>
      <c r="K229" s="78">
        <f t="shared" si="102"/>
        <v>0</v>
      </c>
      <c r="L229" s="178">
        <f t="shared" si="89"/>
        <v>100</v>
      </c>
      <c r="M229" s="78">
        <f t="shared" si="102"/>
        <v>5971900</v>
      </c>
      <c r="N229" s="78">
        <f t="shared" si="102"/>
        <v>5971900</v>
      </c>
      <c r="O229" s="78">
        <f t="shared" si="102"/>
        <v>0</v>
      </c>
      <c r="P229" s="78">
        <f t="shared" si="102"/>
        <v>0</v>
      </c>
      <c r="Q229" s="78">
        <f t="shared" si="102"/>
        <v>0</v>
      </c>
      <c r="R229" s="78">
        <f t="shared" si="102"/>
        <v>5971900</v>
      </c>
      <c r="S229" s="78">
        <f t="shared" si="102"/>
        <v>3985948.2199999997</v>
      </c>
      <c r="T229" s="78">
        <f t="shared" si="102"/>
        <v>3985948.2199999997</v>
      </c>
      <c r="U229" s="78">
        <f t="shared" si="102"/>
        <v>0</v>
      </c>
      <c r="V229" s="78">
        <f t="shared" si="102"/>
        <v>0</v>
      </c>
      <c r="W229" s="78">
        <f t="shared" si="102"/>
        <v>0</v>
      </c>
      <c r="X229" s="78">
        <f t="shared" si="102"/>
        <v>3985948.2199999997</v>
      </c>
      <c r="Y229" s="178">
        <f t="shared" si="90"/>
        <v>66.74505969624407</v>
      </c>
      <c r="Z229" s="78">
        <f t="shared" si="91"/>
        <v>4149548.2199999997</v>
      </c>
      <c r="AA229" s="78">
        <f t="shared" ref="AA229" si="103">AA240+AA285</f>
        <v>6135500</v>
      </c>
      <c r="AB229" s="221"/>
    </row>
    <row r="230" spans="1:28" s="85" customFormat="1" ht="26.25" customHeight="1" x14ac:dyDescent="0.25">
      <c r="A230" s="84"/>
      <c r="B230" s="89"/>
      <c r="C230" s="89" t="s">
        <v>379</v>
      </c>
      <c r="D230" s="78">
        <f>D241</f>
        <v>0</v>
      </c>
      <c r="E230" s="78">
        <f t="shared" ref="E230:X230" si="104">E241</f>
        <v>0</v>
      </c>
      <c r="F230" s="78">
        <f t="shared" si="104"/>
        <v>0</v>
      </c>
      <c r="G230" s="78">
        <f t="shared" si="104"/>
        <v>0</v>
      </c>
      <c r="H230" s="78">
        <f t="shared" si="104"/>
        <v>0</v>
      </c>
      <c r="I230" s="78">
        <f t="shared" si="104"/>
        <v>0</v>
      </c>
      <c r="J230" s="78">
        <f t="shared" si="104"/>
        <v>0</v>
      </c>
      <c r="K230" s="78">
        <f t="shared" si="104"/>
        <v>0</v>
      </c>
      <c r="L230" s="178"/>
      <c r="M230" s="78">
        <f t="shared" si="104"/>
        <v>0</v>
      </c>
      <c r="N230" s="78">
        <f t="shared" si="104"/>
        <v>0</v>
      </c>
      <c r="O230" s="78">
        <f t="shared" si="104"/>
        <v>0</v>
      </c>
      <c r="P230" s="78">
        <f t="shared" si="104"/>
        <v>0</v>
      </c>
      <c r="Q230" s="78">
        <f t="shared" si="104"/>
        <v>0</v>
      </c>
      <c r="R230" s="78">
        <f t="shared" si="104"/>
        <v>0</v>
      </c>
      <c r="S230" s="78">
        <f t="shared" si="104"/>
        <v>0</v>
      </c>
      <c r="T230" s="78">
        <f t="shared" si="104"/>
        <v>0</v>
      </c>
      <c r="U230" s="78">
        <f t="shared" si="104"/>
        <v>0</v>
      </c>
      <c r="V230" s="78">
        <f t="shared" si="104"/>
        <v>0</v>
      </c>
      <c r="W230" s="78">
        <f t="shared" si="104"/>
        <v>0</v>
      </c>
      <c r="X230" s="78">
        <f t="shared" si="104"/>
        <v>0</v>
      </c>
      <c r="Y230" s="178"/>
      <c r="Z230" s="78">
        <f t="shared" si="91"/>
        <v>0</v>
      </c>
      <c r="AA230" s="78">
        <f t="shared" ref="AA230" si="105">AA241</f>
        <v>0</v>
      </c>
      <c r="AB230" s="221"/>
    </row>
    <row r="231" spans="1:28" s="85" customFormat="1" ht="18" customHeight="1" x14ac:dyDescent="0.25">
      <c r="A231" s="84"/>
      <c r="B231" s="84"/>
      <c r="C231" s="19" t="s">
        <v>399</v>
      </c>
      <c r="D231" s="78">
        <f>D286</f>
        <v>0</v>
      </c>
      <c r="E231" s="78">
        <f t="shared" ref="E231:X231" si="106">E286</f>
        <v>0</v>
      </c>
      <c r="F231" s="78">
        <f t="shared" si="106"/>
        <v>0</v>
      </c>
      <c r="G231" s="78">
        <f t="shared" si="106"/>
        <v>0</v>
      </c>
      <c r="H231" s="78">
        <f t="shared" si="106"/>
        <v>0</v>
      </c>
      <c r="I231" s="78">
        <f t="shared" si="106"/>
        <v>0</v>
      </c>
      <c r="J231" s="78">
        <f t="shared" si="106"/>
        <v>0</v>
      </c>
      <c r="K231" s="78">
        <f t="shared" si="106"/>
        <v>0</v>
      </c>
      <c r="L231" s="178"/>
      <c r="M231" s="78">
        <f t="shared" si="106"/>
        <v>61868709</v>
      </c>
      <c r="N231" s="78">
        <f t="shared" si="106"/>
        <v>61868709</v>
      </c>
      <c r="O231" s="78">
        <f t="shared" si="106"/>
        <v>0</v>
      </c>
      <c r="P231" s="78">
        <f t="shared" si="106"/>
        <v>0</v>
      </c>
      <c r="Q231" s="78">
        <f t="shared" si="106"/>
        <v>0</v>
      </c>
      <c r="R231" s="78">
        <f t="shared" si="106"/>
        <v>61868709</v>
      </c>
      <c r="S231" s="78">
        <f t="shared" si="106"/>
        <v>0</v>
      </c>
      <c r="T231" s="78">
        <f t="shared" si="106"/>
        <v>0</v>
      </c>
      <c r="U231" s="78">
        <f t="shared" si="106"/>
        <v>0</v>
      </c>
      <c r="V231" s="78">
        <f t="shared" si="106"/>
        <v>0</v>
      </c>
      <c r="W231" s="78">
        <f t="shared" si="106"/>
        <v>0</v>
      </c>
      <c r="X231" s="78">
        <f t="shared" si="106"/>
        <v>0</v>
      </c>
      <c r="Y231" s="178">
        <f t="shared" si="90"/>
        <v>0</v>
      </c>
      <c r="Z231" s="78">
        <f t="shared" si="91"/>
        <v>0</v>
      </c>
      <c r="AA231" s="78">
        <f t="shared" ref="AA231" si="107">AA286</f>
        <v>61868709</v>
      </c>
      <c r="AB231" s="221"/>
    </row>
    <row r="232" spans="1:28" s="85" customFormat="1" ht="18" customHeight="1" x14ac:dyDescent="0.25">
      <c r="A232" s="84"/>
      <c r="B232" s="84"/>
      <c r="C232" s="19" t="str">
        <f>C288</f>
        <v>грантів (дарунків)</v>
      </c>
      <c r="D232" s="78">
        <f>D288+D304</f>
        <v>0</v>
      </c>
      <c r="E232" s="78">
        <f t="shared" ref="E232:X232" si="108">E288+E304</f>
        <v>0</v>
      </c>
      <c r="F232" s="78">
        <f t="shared" si="108"/>
        <v>0</v>
      </c>
      <c r="G232" s="78">
        <f t="shared" si="108"/>
        <v>0</v>
      </c>
      <c r="H232" s="78">
        <f t="shared" si="108"/>
        <v>0</v>
      </c>
      <c r="I232" s="78">
        <f t="shared" si="108"/>
        <v>0</v>
      </c>
      <c r="J232" s="78">
        <f t="shared" si="108"/>
        <v>0</v>
      </c>
      <c r="K232" s="78">
        <f t="shared" si="108"/>
        <v>0</v>
      </c>
      <c r="L232" s="178"/>
      <c r="M232" s="78">
        <f t="shared" si="108"/>
        <v>5904588</v>
      </c>
      <c r="N232" s="78">
        <f t="shared" si="108"/>
        <v>0</v>
      </c>
      <c r="O232" s="78">
        <f t="shared" si="108"/>
        <v>447641</v>
      </c>
      <c r="P232" s="78">
        <f t="shared" si="108"/>
        <v>0</v>
      </c>
      <c r="Q232" s="78">
        <f t="shared" si="108"/>
        <v>0</v>
      </c>
      <c r="R232" s="78">
        <f t="shared" si="108"/>
        <v>5456947</v>
      </c>
      <c r="S232" s="78">
        <f t="shared" si="108"/>
        <v>5715593.0999999996</v>
      </c>
      <c r="T232" s="78">
        <f t="shared" si="108"/>
        <v>0</v>
      </c>
      <c r="U232" s="78">
        <f t="shared" si="108"/>
        <v>415601.1</v>
      </c>
      <c r="V232" s="78">
        <f t="shared" si="108"/>
        <v>0</v>
      </c>
      <c r="W232" s="78">
        <f t="shared" si="108"/>
        <v>0</v>
      </c>
      <c r="X232" s="78">
        <f t="shared" si="108"/>
        <v>5299992</v>
      </c>
      <c r="Y232" s="178">
        <f t="shared" si="90"/>
        <v>96.799185650209623</v>
      </c>
      <c r="Z232" s="78">
        <f t="shared" si="91"/>
        <v>5715593.0999999996</v>
      </c>
      <c r="AA232" s="78">
        <f t="shared" ref="AA232" si="109">AA288+AA304</f>
        <v>5904588</v>
      </c>
      <c r="AB232" s="221"/>
    </row>
    <row r="233" spans="1:28" s="85" customFormat="1" ht="47.25" x14ac:dyDescent="0.25">
      <c r="A233" s="84"/>
      <c r="B233" s="84"/>
      <c r="C233" s="19" t="str">
        <f>C287</f>
        <v xml:space="preserve">залишку коштів по запозиченню від ЄІБ «Підвищення енергоефективності в дошкільних закладах м. Суми», що склався станом на 01.01.2024 року </v>
      </c>
      <c r="D233" s="78">
        <f>D287</f>
        <v>0</v>
      </c>
      <c r="E233" s="78">
        <f t="shared" ref="E233:X233" si="110">E287</f>
        <v>0</v>
      </c>
      <c r="F233" s="78">
        <f t="shared" si="110"/>
        <v>0</v>
      </c>
      <c r="G233" s="78">
        <f t="shared" si="110"/>
        <v>0</v>
      </c>
      <c r="H233" s="78">
        <f t="shared" si="110"/>
        <v>0</v>
      </c>
      <c r="I233" s="78">
        <f t="shared" si="110"/>
        <v>0</v>
      </c>
      <c r="J233" s="78">
        <f t="shared" si="110"/>
        <v>0</v>
      </c>
      <c r="K233" s="78">
        <f t="shared" si="110"/>
        <v>0</v>
      </c>
      <c r="L233" s="178"/>
      <c r="M233" s="78">
        <f t="shared" si="110"/>
        <v>42207900</v>
      </c>
      <c r="N233" s="78">
        <f t="shared" si="110"/>
        <v>42207900</v>
      </c>
      <c r="O233" s="78">
        <f t="shared" si="110"/>
        <v>0</v>
      </c>
      <c r="P233" s="78">
        <f t="shared" si="110"/>
        <v>0</v>
      </c>
      <c r="Q233" s="78">
        <f t="shared" si="110"/>
        <v>0</v>
      </c>
      <c r="R233" s="78">
        <f t="shared" si="110"/>
        <v>42207900</v>
      </c>
      <c r="S233" s="78">
        <f t="shared" si="110"/>
        <v>1136625.77</v>
      </c>
      <c r="T233" s="78">
        <f t="shared" si="110"/>
        <v>1136625.77</v>
      </c>
      <c r="U233" s="78">
        <f t="shared" si="110"/>
        <v>0</v>
      </c>
      <c r="V233" s="78">
        <f t="shared" si="110"/>
        <v>0</v>
      </c>
      <c r="W233" s="78">
        <f t="shared" si="110"/>
        <v>0</v>
      </c>
      <c r="X233" s="78">
        <f t="shared" si="110"/>
        <v>1136625.77</v>
      </c>
      <c r="Y233" s="178">
        <f t="shared" si="90"/>
        <v>2.692921870076455</v>
      </c>
      <c r="Z233" s="78">
        <f t="shared" si="91"/>
        <v>1136625.77</v>
      </c>
      <c r="AA233" s="78">
        <f t="shared" ref="AA233" si="111">AA287</f>
        <v>42207900</v>
      </c>
      <c r="AB233" s="221"/>
    </row>
    <row r="234" spans="1:28" s="73" customFormat="1" x14ac:dyDescent="0.25">
      <c r="A234" s="83" t="s">
        <v>136</v>
      </c>
      <c r="B234" s="87"/>
      <c r="C234" s="88" t="s">
        <v>137</v>
      </c>
      <c r="D234" s="77">
        <f t="shared" ref="D234:AA234" si="112">D235</f>
        <v>600000</v>
      </c>
      <c r="E234" s="77">
        <f t="shared" si="112"/>
        <v>600000</v>
      </c>
      <c r="F234" s="77">
        <f t="shared" si="112"/>
        <v>0</v>
      </c>
      <c r="G234" s="77">
        <f t="shared" si="112"/>
        <v>0</v>
      </c>
      <c r="H234" s="77">
        <f t="shared" si="112"/>
        <v>0</v>
      </c>
      <c r="I234" s="77">
        <f t="shared" si="112"/>
        <v>506070</v>
      </c>
      <c r="J234" s="77">
        <f t="shared" si="112"/>
        <v>0</v>
      </c>
      <c r="K234" s="77">
        <f t="shared" si="112"/>
        <v>0</v>
      </c>
      <c r="L234" s="136">
        <f t="shared" si="89"/>
        <v>84.344999999999999</v>
      </c>
      <c r="M234" s="77">
        <f t="shared" si="112"/>
        <v>0</v>
      </c>
      <c r="N234" s="77">
        <f t="shared" si="112"/>
        <v>0</v>
      </c>
      <c r="O234" s="77">
        <f t="shared" si="112"/>
        <v>0</v>
      </c>
      <c r="P234" s="77">
        <f t="shared" si="112"/>
        <v>0</v>
      </c>
      <c r="Q234" s="77">
        <f t="shared" si="112"/>
        <v>0</v>
      </c>
      <c r="R234" s="77">
        <f t="shared" si="112"/>
        <v>0</v>
      </c>
      <c r="S234" s="77">
        <f t="shared" si="112"/>
        <v>0</v>
      </c>
      <c r="T234" s="77">
        <f t="shared" si="112"/>
        <v>0</v>
      </c>
      <c r="U234" s="77">
        <f t="shared" si="112"/>
        <v>0</v>
      </c>
      <c r="V234" s="77">
        <f t="shared" si="112"/>
        <v>0</v>
      </c>
      <c r="W234" s="77">
        <f t="shared" si="112"/>
        <v>0</v>
      </c>
      <c r="X234" s="77">
        <f t="shared" si="112"/>
        <v>0</v>
      </c>
      <c r="Y234" s="136"/>
      <c r="Z234" s="77">
        <f t="shared" si="91"/>
        <v>506070</v>
      </c>
      <c r="AA234" s="77">
        <f t="shared" si="112"/>
        <v>600000</v>
      </c>
      <c r="AB234" s="221"/>
    </row>
    <row r="235" spans="1:28" ht="24" customHeight="1" x14ac:dyDescent="0.25">
      <c r="A235" s="45" t="s">
        <v>130</v>
      </c>
      <c r="B235" s="45" t="s">
        <v>79</v>
      </c>
      <c r="C235" s="33" t="s">
        <v>331</v>
      </c>
      <c r="D235" s="79">
        <f>'дод 2'!E435+'дод 2'!E444+'дод 2'!E454+'дод 2'!E327</f>
        <v>600000</v>
      </c>
      <c r="E235" s="79">
        <f>'дод 2'!F435+'дод 2'!F444+'дод 2'!F454+'дод 2'!F327</f>
        <v>600000</v>
      </c>
      <c r="F235" s="79">
        <f>'дод 2'!G435+'дод 2'!G444+'дод 2'!G454+'дод 2'!G327</f>
        <v>0</v>
      </c>
      <c r="G235" s="79">
        <f>'дод 2'!H435+'дод 2'!H444+'дод 2'!H454+'дод 2'!H327</f>
        <v>0</v>
      </c>
      <c r="H235" s="79">
        <f>'дод 2'!I435+'дод 2'!I444+'дод 2'!I454+'дод 2'!I327</f>
        <v>0</v>
      </c>
      <c r="I235" s="79">
        <f>'дод 2'!J435+'дод 2'!J444+'дод 2'!J454+'дод 2'!J327</f>
        <v>506070</v>
      </c>
      <c r="J235" s="79">
        <f>'дод 2'!K435+'дод 2'!K444+'дод 2'!K454+'дод 2'!K327</f>
        <v>0</v>
      </c>
      <c r="K235" s="79">
        <f>'дод 2'!L435+'дод 2'!L444+'дод 2'!L454+'дод 2'!L327</f>
        <v>0</v>
      </c>
      <c r="L235" s="179">
        <f t="shared" si="89"/>
        <v>84.344999999999999</v>
      </c>
      <c r="M235" s="79">
        <f>'дод 2'!N435+'дод 2'!N444+'дод 2'!N454+'дод 2'!N327</f>
        <v>0</v>
      </c>
      <c r="N235" s="79">
        <f>'дод 2'!O435+'дод 2'!O444+'дод 2'!O454+'дод 2'!O327</f>
        <v>0</v>
      </c>
      <c r="O235" s="79">
        <f>'дод 2'!P435+'дод 2'!P444+'дод 2'!P454+'дод 2'!P327</f>
        <v>0</v>
      </c>
      <c r="P235" s="79">
        <f>'дод 2'!Q435+'дод 2'!Q444+'дод 2'!Q454+'дод 2'!Q327</f>
        <v>0</v>
      </c>
      <c r="Q235" s="79">
        <f>'дод 2'!R435+'дод 2'!R444+'дод 2'!R454+'дод 2'!R327</f>
        <v>0</v>
      </c>
      <c r="R235" s="79">
        <f>'дод 2'!S435+'дод 2'!S444+'дод 2'!S454+'дод 2'!S327</f>
        <v>0</v>
      </c>
      <c r="S235" s="79">
        <f>'дод 2'!T435+'дод 2'!T444+'дод 2'!T454+'дод 2'!T327</f>
        <v>0</v>
      </c>
      <c r="T235" s="79">
        <f>'дод 2'!U435+'дод 2'!U444+'дод 2'!U454+'дод 2'!U327</f>
        <v>0</v>
      </c>
      <c r="U235" s="79">
        <f>'дод 2'!V435+'дод 2'!V444+'дод 2'!V454+'дод 2'!V327</f>
        <v>0</v>
      </c>
      <c r="V235" s="79">
        <f>'дод 2'!W435+'дод 2'!W444+'дод 2'!W454+'дод 2'!W327</f>
        <v>0</v>
      </c>
      <c r="W235" s="79">
        <f>'дод 2'!X435+'дод 2'!X444+'дод 2'!X454+'дод 2'!X327</f>
        <v>0</v>
      </c>
      <c r="X235" s="79">
        <f>'дод 2'!Y435+'дод 2'!Y444+'дод 2'!Y454+'дод 2'!Y327</f>
        <v>0</v>
      </c>
      <c r="Y235" s="179"/>
      <c r="Z235" s="79">
        <f t="shared" si="91"/>
        <v>506070</v>
      </c>
      <c r="AA235" s="79">
        <f>'дод 2'!AB435+'дод 2'!AB444+'дод 2'!AB454+'дод 2'!AB327</f>
        <v>600000</v>
      </c>
      <c r="AB235" s="221"/>
    </row>
    <row r="236" spans="1:28" s="73" customFormat="1" ht="32.25" customHeight="1" x14ac:dyDescent="0.25">
      <c r="A236" s="83" t="s">
        <v>93</v>
      </c>
      <c r="B236" s="83"/>
      <c r="C236" s="94" t="s">
        <v>659</v>
      </c>
      <c r="D236" s="77">
        <f t="shared" ref="D236:AA236" si="113">D242+D244+D247+D249+D250+D251+D252+D254+D255+D256+D258+D260+D262+D265+D263+D267</f>
        <v>2045000</v>
      </c>
      <c r="E236" s="77">
        <f t="shared" ref="E236:X236" si="114">E242+E244+E247+E249+E250+E251+E252+E254+E255+E256+E258+E260+E262+E265+E263+E267</f>
        <v>2045000</v>
      </c>
      <c r="F236" s="77">
        <f t="shared" si="114"/>
        <v>0</v>
      </c>
      <c r="G236" s="77">
        <f t="shared" si="114"/>
        <v>0</v>
      </c>
      <c r="H236" s="77">
        <f t="shared" si="114"/>
        <v>0</v>
      </c>
      <c r="I236" s="77">
        <f t="shared" si="114"/>
        <v>532007.93999999994</v>
      </c>
      <c r="J236" s="77">
        <f t="shared" si="114"/>
        <v>0</v>
      </c>
      <c r="K236" s="77">
        <f t="shared" si="114"/>
        <v>0</v>
      </c>
      <c r="L236" s="136">
        <f t="shared" si="89"/>
        <v>26.015058190709045</v>
      </c>
      <c r="M236" s="77">
        <f t="shared" si="114"/>
        <v>149506486.66</v>
      </c>
      <c r="N236" s="77">
        <f t="shared" si="114"/>
        <v>82355860</v>
      </c>
      <c r="O236" s="77">
        <f t="shared" si="114"/>
        <v>0</v>
      </c>
      <c r="P236" s="77">
        <f t="shared" si="114"/>
        <v>0</v>
      </c>
      <c r="Q236" s="77">
        <f t="shared" si="114"/>
        <v>0</v>
      </c>
      <c r="R236" s="77">
        <f t="shared" si="114"/>
        <v>149506486.66</v>
      </c>
      <c r="S236" s="77">
        <f t="shared" si="114"/>
        <v>125757177.04000001</v>
      </c>
      <c r="T236" s="77">
        <f t="shared" si="114"/>
        <v>65170620.280000009</v>
      </c>
      <c r="U236" s="77">
        <f t="shared" si="114"/>
        <v>0</v>
      </c>
      <c r="V236" s="77">
        <f t="shared" si="114"/>
        <v>0</v>
      </c>
      <c r="W236" s="77">
        <f t="shared" si="114"/>
        <v>0</v>
      </c>
      <c r="X236" s="77">
        <f t="shared" si="114"/>
        <v>125757177.04000001</v>
      </c>
      <c r="Y236" s="136">
        <f t="shared" si="90"/>
        <v>84.114863407893822</v>
      </c>
      <c r="Z236" s="77">
        <f t="shared" si="91"/>
        <v>126289184.98</v>
      </c>
      <c r="AA236" s="77">
        <f t="shared" si="113"/>
        <v>151551486.66</v>
      </c>
      <c r="AB236" s="221"/>
    </row>
    <row r="237" spans="1:28" s="85" customFormat="1" ht="63" hidden="1" customHeight="1" x14ac:dyDescent="0.25">
      <c r="A237" s="84"/>
      <c r="B237" s="84"/>
      <c r="C237" s="54" t="s">
        <v>574</v>
      </c>
      <c r="D237" s="78">
        <f>D259</f>
        <v>0</v>
      </c>
      <c r="E237" s="78">
        <f t="shared" ref="E237:X237" si="115">E259</f>
        <v>0</v>
      </c>
      <c r="F237" s="78">
        <f t="shared" si="115"/>
        <v>0</v>
      </c>
      <c r="G237" s="78">
        <f t="shared" si="115"/>
        <v>0</v>
      </c>
      <c r="H237" s="78">
        <f t="shared" si="115"/>
        <v>0</v>
      </c>
      <c r="I237" s="78">
        <f t="shared" si="115"/>
        <v>0</v>
      </c>
      <c r="J237" s="78">
        <f t="shared" si="115"/>
        <v>0</v>
      </c>
      <c r="K237" s="78">
        <f t="shared" si="115"/>
        <v>0</v>
      </c>
      <c r="L237" s="178" t="e">
        <f t="shared" si="89"/>
        <v>#DIV/0!</v>
      </c>
      <c r="M237" s="78">
        <f t="shared" si="115"/>
        <v>0</v>
      </c>
      <c r="N237" s="78">
        <f t="shared" si="115"/>
        <v>0</v>
      </c>
      <c r="O237" s="78">
        <f t="shared" si="115"/>
        <v>0</v>
      </c>
      <c r="P237" s="78">
        <f t="shared" si="115"/>
        <v>0</v>
      </c>
      <c r="Q237" s="78">
        <f t="shared" si="115"/>
        <v>0</v>
      </c>
      <c r="R237" s="78">
        <f t="shared" si="115"/>
        <v>0</v>
      </c>
      <c r="S237" s="78">
        <f t="shared" si="115"/>
        <v>0</v>
      </c>
      <c r="T237" s="78">
        <f t="shared" si="115"/>
        <v>0</v>
      </c>
      <c r="U237" s="78">
        <f t="shared" si="115"/>
        <v>0</v>
      </c>
      <c r="V237" s="78">
        <f t="shared" si="115"/>
        <v>0</v>
      </c>
      <c r="W237" s="78">
        <f t="shared" si="115"/>
        <v>0</v>
      </c>
      <c r="X237" s="78">
        <f t="shared" si="115"/>
        <v>0</v>
      </c>
      <c r="Y237" s="178" t="e">
        <f t="shared" si="90"/>
        <v>#DIV/0!</v>
      </c>
      <c r="Z237" s="78">
        <f t="shared" si="91"/>
        <v>0</v>
      </c>
      <c r="AA237" s="78">
        <f t="shared" ref="AA237" si="116">AA259</f>
        <v>0</v>
      </c>
      <c r="AB237" s="221"/>
    </row>
    <row r="238" spans="1:28" s="85" customFormat="1" ht="15.75" hidden="1" customHeight="1" x14ac:dyDescent="0.25">
      <c r="A238" s="84"/>
      <c r="B238" s="84"/>
      <c r="C238" s="19" t="s">
        <v>380</v>
      </c>
      <c r="D238" s="78">
        <f t="shared" ref="D238:AA238" si="117">D246+D261</f>
        <v>0</v>
      </c>
      <c r="E238" s="78">
        <f t="shared" ref="E238:X238" si="118">E246+E261</f>
        <v>0</v>
      </c>
      <c r="F238" s="78">
        <f t="shared" si="118"/>
        <v>0</v>
      </c>
      <c r="G238" s="78">
        <f t="shared" si="118"/>
        <v>0</v>
      </c>
      <c r="H238" s="78">
        <f t="shared" si="118"/>
        <v>0</v>
      </c>
      <c r="I238" s="78">
        <f t="shared" si="118"/>
        <v>0</v>
      </c>
      <c r="J238" s="78">
        <f t="shared" si="118"/>
        <v>0</v>
      </c>
      <c r="K238" s="78">
        <f t="shared" si="118"/>
        <v>0</v>
      </c>
      <c r="L238" s="178" t="e">
        <f t="shared" si="89"/>
        <v>#DIV/0!</v>
      </c>
      <c r="M238" s="78">
        <f t="shared" si="118"/>
        <v>0</v>
      </c>
      <c r="N238" s="78">
        <f t="shared" si="118"/>
        <v>0</v>
      </c>
      <c r="O238" s="78">
        <f t="shared" si="118"/>
        <v>0</v>
      </c>
      <c r="P238" s="78">
        <f t="shared" si="118"/>
        <v>0</v>
      </c>
      <c r="Q238" s="78">
        <f t="shared" si="118"/>
        <v>0</v>
      </c>
      <c r="R238" s="78">
        <f t="shared" si="118"/>
        <v>0</v>
      </c>
      <c r="S238" s="78">
        <f t="shared" si="118"/>
        <v>0</v>
      </c>
      <c r="T238" s="78">
        <f t="shared" si="118"/>
        <v>0</v>
      </c>
      <c r="U238" s="78">
        <f t="shared" si="118"/>
        <v>0</v>
      </c>
      <c r="V238" s="78">
        <f t="shared" si="118"/>
        <v>0</v>
      </c>
      <c r="W238" s="78">
        <f t="shared" si="118"/>
        <v>0</v>
      </c>
      <c r="X238" s="78">
        <f t="shared" si="118"/>
        <v>0</v>
      </c>
      <c r="Y238" s="178" t="e">
        <f t="shared" si="90"/>
        <v>#DIV/0!</v>
      </c>
      <c r="Z238" s="78">
        <f t="shared" si="91"/>
        <v>0</v>
      </c>
      <c r="AA238" s="78">
        <f t="shared" si="117"/>
        <v>0</v>
      </c>
      <c r="AB238" s="221"/>
    </row>
    <row r="239" spans="1:28" s="85" customFormat="1" ht="95.25" customHeight="1" x14ac:dyDescent="0.25">
      <c r="A239" s="84"/>
      <c r="B239" s="84"/>
      <c r="C239" s="93" t="s">
        <v>660</v>
      </c>
      <c r="D239" s="78">
        <f>D268</f>
        <v>0</v>
      </c>
      <c r="E239" s="78">
        <f t="shared" ref="E239:X239" si="119">E268</f>
        <v>0</v>
      </c>
      <c r="F239" s="78">
        <f t="shared" si="119"/>
        <v>0</v>
      </c>
      <c r="G239" s="78">
        <f t="shared" si="119"/>
        <v>0</v>
      </c>
      <c r="H239" s="78">
        <f t="shared" si="119"/>
        <v>0</v>
      </c>
      <c r="I239" s="78">
        <f t="shared" si="119"/>
        <v>0</v>
      </c>
      <c r="J239" s="78">
        <f t="shared" si="119"/>
        <v>0</v>
      </c>
      <c r="K239" s="78">
        <f t="shared" si="119"/>
        <v>0</v>
      </c>
      <c r="L239" s="178"/>
      <c r="M239" s="78">
        <f t="shared" si="119"/>
        <v>67150626.659999996</v>
      </c>
      <c r="N239" s="78">
        <f t="shared" si="119"/>
        <v>0</v>
      </c>
      <c r="O239" s="78">
        <f t="shared" si="119"/>
        <v>0</v>
      </c>
      <c r="P239" s="78">
        <f t="shared" si="119"/>
        <v>0</v>
      </c>
      <c r="Q239" s="78">
        <f t="shared" si="119"/>
        <v>0</v>
      </c>
      <c r="R239" s="78">
        <f t="shared" si="119"/>
        <v>67150626.659999996</v>
      </c>
      <c r="S239" s="78">
        <f t="shared" si="119"/>
        <v>60586556.759999998</v>
      </c>
      <c r="T239" s="78">
        <f t="shared" si="119"/>
        <v>0</v>
      </c>
      <c r="U239" s="78">
        <f t="shared" si="119"/>
        <v>0</v>
      </c>
      <c r="V239" s="78">
        <f t="shared" si="119"/>
        <v>0</v>
      </c>
      <c r="W239" s="78">
        <f t="shared" si="119"/>
        <v>0</v>
      </c>
      <c r="X239" s="78">
        <f t="shared" si="119"/>
        <v>60586556.759999998</v>
      </c>
      <c r="Y239" s="178">
        <f t="shared" si="90"/>
        <v>90.224856823398696</v>
      </c>
      <c r="Z239" s="78">
        <f t="shared" si="91"/>
        <v>60586556.759999998</v>
      </c>
      <c r="AA239" s="78">
        <f t="shared" ref="AA239" si="120">AA268</f>
        <v>67150626.659999996</v>
      </c>
      <c r="AB239" s="221"/>
    </row>
    <row r="240" spans="1:28" s="85" customFormat="1" ht="95.25" customHeight="1" x14ac:dyDescent="0.25">
      <c r="A240" s="84"/>
      <c r="B240" s="84"/>
      <c r="C240" s="54" t="s">
        <v>618</v>
      </c>
      <c r="D240" s="78">
        <f>D253+D245+D248</f>
        <v>0</v>
      </c>
      <c r="E240" s="78">
        <f t="shared" ref="E240:X240" si="121">E253+E245+E248</f>
        <v>0</v>
      </c>
      <c r="F240" s="78">
        <f t="shared" si="121"/>
        <v>0</v>
      </c>
      <c r="G240" s="78">
        <f t="shared" si="121"/>
        <v>0</v>
      </c>
      <c r="H240" s="78">
        <f t="shared" si="121"/>
        <v>0</v>
      </c>
      <c r="I240" s="78">
        <f t="shared" si="121"/>
        <v>0</v>
      </c>
      <c r="J240" s="78">
        <f t="shared" si="121"/>
        <v>0</v>
      </c>
      <c r="K240" s="78">
        <f t="shared" si="121"/>
        <v>0</v>
      </c>
      <c r="L240" s="178"/>
      <c r="M240" s="78">
        <f t="shared" si="121"/>
        <v>5600000</v>
      </c>
      <c r="N240" s="78">
        <f t="shared" si="121"/>
        <v>5600000</v>
      </c>
      <c r="O240" s="78">
        <f t="shared" si="121"/>
        <v>0</v>
      </c>
      <c r="P240" s="78">
        <f t="shared" si="121"/>
        <v>0</v>
      </c>
      <c r="Q240" s="78">
        <f t="shared" si="121"/>
        <v>0</v>
      </c>
      <c r="R240" s="78">
        <f t="shared" si="121"/>
        <v>5600000</v>
      </c>
      <c r="S240" s="78">
        <f t="shared" si="121"/>
        <v>3650201</v>
      </c>
      <c r="T240" s="78">
        <f t="shared" si="121"/>
        <v>3650201</v>
      </c>
      <c r="U240" s="78">
        <f t="shared" si="121"/>
        <v>0</v>
      </c>
      <c r="V240" s="78">
        <f t="shared" si="121"/>
        <v>0</v>
      </c>
      <c r="W240" s="78">
        <f t="shared" si="121"/>
        <v>0</v>
      </c>
      <c r="X240" s="78">
        <f t="shared" si="121"/>
        <v>3650201</v>
      </c>
      <c r="Y240" s="178">
        <f t="shared" si="90"/>
        <v>65.182160714285715</v>
      </c>
      <c r="Z240" s="78">
        <f t="shared" si="91"/>
        <v>3650201</v>
      </c>
      <c r="AA240" s="78">
        <f t="shared" ref="AA240" si="122">AA253+AA245+AA248</f>
        <v>5600000</v>
      </c>
      <c r="AB240" s="221"/>
    </row>
    <row r="241" spans="1:28" s="85" customFormat="1" ht="27.4" hidden="1" customHeight="1" x14ac:dyDescent="0.25">
      <c r="A241" s="84"/>
      <c r="B241" s="84"/>
      <c r="C241" s="89" t="s">
        <v>379</v>
      </c>
      <c r="D241" s="78">
        <f>D264</f>
        <v>0</v>
      </c>
      <c r="E241" s="78">
        <f t="shared" ref="E241:X241" si="123">E264</f>
        <v>0</v>
      </c>
      <c r="F241" s="78">
        <f t="shared" si="123"/>
        <v>0</v>
      </c>
      <c r="G241" s="78">
        <f t="shared" si="123"/>
        <v>0</v>
      </c>
      <c r="H241" s="78">
        <f t="shared" si="123"/>
        <v>0</v>
      </c>
      <c r="I241" s="78">
        <f t="shared" si="123"/>
        <v>0</v>
      </c>
      <c r="J241" s="78">
        <f t="shared" si="123"/>
        <v>0</v>
      </c>
      <c r="K241" s="78">
        <f t="shared" si="123"/>
        <v>0</v>
      </c>
      <c r="L241" s="178"/>
      <c r="M241" s="78">
        <f t="shared" si="123"/>
        <v>0</v>
      </c>
      <c r="N241" s="78">
        <f t="shared" si="123"/>
        <v>0</v>
      </c>
      <c r="O241" s="78">
        <f t="shared" si="123"/>
        <v>0</v>
      </c>
      <c r="P241" s="78">
        <f t="shared" si="123"/>
        <v>0</v>
      </c>
      <c r="Q241" s="78">
        <f t="shared" si="123"/>
        <v>0</v>
      </c>
      <c r="R241" s="78">
        <f t="shared" si="123"/>
        <v>0</v>
      </c>
      <c r="S241" s="78">
        <f t="shared" si="123"/>
        <v>0</v>
      </c>
      <c r="T241" s="78">
        <f t="shared" si="123"/>
        <v>0</v>
      </c>
      <c r="U241" s="78">
        <f t="shared" si="123"/>
        <v>0</v>
      </c>
      <c r="V241" s="78">
        <f t="shared" si="123"/>
        <v>0</v>
      </c>
      <c r="W241" s="78">
        <f t="shared" si="123"/>
        <v>0</v>
      </c>
      <c r="X241" s="78">
        <f t="shared" si="123"/>
        <v>0</v>
      </c>
      <c r="Y241" s="178" t="e">
        <f t="shared" si="90"/>
        <v>#DIV/0!</v>
      </c>
      <c r="Z241" s="78">
        <f t="shared" si="91"/>
        <v>0</v>
      </c>
      <c r="AA241" s="78">
        <f t="shared" ref="AA241" si="124">AA264</f>
        <v>0</v>
      </c>
      <c r="AB241" s="221"/>
    </row>
    <row r="242" spans="1:28" ht="24" customHeight="1" x14ac:dyDescent="0.25">
      <c r="A242" s="45" t="s">
        <v>263</v>
      </c>
      <c r="B242" s="45" t="s">
        <v>107</v>
      </c>
      <c r="C242" s="35" t="s">
        <v>645</v>
      </c>
      <c r="D242" s="79">
        <f>'дод 2'!E398+'дод 2'!E328</f>
        <v>0</v>
      </c>
      <c r="E242" s="79">
        <f>'дод 2'!F398+'дод 2'!F328</f>
        <v>0</v>
      </c>
      <c r="F242" s="79">
        <f>'дод 2'!G398+'дод 2'!G328</f>
        <v>0</v>
      </c>
      <c r="G242" s="79">
        <f>'дод 2'!H398+'дод 2'!H328</f>
        <v>0</v>
      </c>
      <c r="H242" s="79">
        <f>'дод 2'!I398+'дод 2'!I328</f>
        <v>0</v>
      </c>
      <c r="I242" s="79">
        <f>'дод 2'!J398+'дод 2'!J328</f>
        <v>0</v>
      </c>
      <c r="J242" s="79">
        <f>'дод 2'!K398+'дод 2'!K328</f>
        <v>0</v>
      </c>
      <c r="K242" s="79">
        <f>'дод 2'!L398+'дод 2'!L328</f>
        <v>0</v>
      </c>
      <c r="L242" s="179"/>
      <c r="M242" s="79">
        <f>'дод 2'!N398+'дод 2'!N328</f>
        <v>25827783</v>
      </c>
      <c r="N242" s="79">
        <f>'дод 2'!O398+'дод 2'!O328</f>
        <v>25827783</v>
      </c>
      <c r="O242" s="79">
        <f>'дод 2'!P398+'дод 2'!P328</f>
        <v>0</v>
      </c>
      <c r="P242" s="79">
        <f>'дод 2'!Q398+'дод 2'!Q328</f>
        <v>0</v>
      </c>
      <c r="Q242" s="79">
        <f>'дод 2'!R398+'дод 2'!R328</f>
        <v>0</v>
      </c>
      <c r="R242" s="79">
        <f>'дод 2'!S398+'дод 2'!S328</f>
        <v>25827783</v>
      </c>
      <c r="S242" s="79">
        <f>'дод 2'!T398+'дод 2'!T328</f>
        <v>21514549.32</v>
      </c>
      <c r="T242" s="79">
        <f>'дод 2'!U398+'дод 2'!U328</f>
        <v>21514549.32</v>
      </c>
      <c r="U242" s="79">
        <f>'дод 2'!V398+'дод 2'!V328</f>
        <v>0</v>
      </c>
      <c r="V242" s="79">
        <f>'дод 2'!W398+'дод 2'!W328</f>
        <v>0</v>
      </c>
      <c r="W242" s="79">
        <f>'дод 2'!X398+'дод 2'!X328</f>
        <v>0</v>
      </c>
      <c r="X242" s="79">
        <f>'дод 2'!Y398+'дод 2'!Y328</f>
        <v>21514549.32</v>
      </c>
      <c r="Y242" s="179">
        <f t="shared" si="90"/>
        <v>83.300023544413392</v>
      </c>
      <c r="Z242" s="79">
        <f t="shared" si="91"/>
        <v>21514549.32</v>
      </c>
      <c r="AA242" s="79">
        <f>'дод 2'!AB398+'дод 2'!AB328</f>
        <v>25827783</v>
      </c>
      <c r="AB242" s="221"/>
    </row>
    <row r="243" spans="1:28" ht="98.25" hidden="1" customHeight="1" x14ac:dyDescent="0.25">
      <c r="A243" s="45"/>
      <c r="B243" s="45"/>
      <c r="C243" s="48" t="str">
        <f>'дод 2'!D329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43" s="48">
        <f>'дод 2'!E329</f>
        <v>0</v>
      </c>
      <c r="E243" s="48">
        <f>'дод 2'!F329</f>
        <v>0</v>
      </c>
      <c r="F243" s="48">
        <f>'дод 2'!G329</f>
        <v>0</v>
      </c>
      <c r="G243" s="48">
        <f>'дод 2'!H329</f>
        <v>0</v>
      </c>
      <c r="H243" s="48">
        <f>'дод 2'!I329</f>
        <v>0</v>
      </c>
      <c r="I243" s="48">
        <f>'дод 2'!J329</f>
        <v>0</v>
      </c>
      <c r="J243" s="48">
        <f>'дод 2'!K329</f>
        <v>0</v>
      </c>
      <c r="K243" s="48">
        <f>'дод 2'!L329</f>
        <v>0</v>
      </c>
      <c r="L243" s="184"/>
      <c r="M243" s="48">
        <f>'дод 2'!N329</f>
        <v>0</v>
      </c>
      <c r="N243" s="48">
        <f>'дод 2'!O329</f>
        <v>0</v>
      </c>
      <c r="O243" s="48">
        <f>'дод 2'!P329</f>
        <v>0</v>
      </c>
      <c r="P243" s="48">
        <f>'дод 2'!Q329</f>
        <v>0</v>
      </c>
      <c r="Q243" s="48">
        <f>'дод 2'!R329</f>
        <v>0</v>
      </c>
      <c r="R243" s="48">
        <f>'дод 2'!S329</f>
        <v>0</v>
      </c>
      <c r="S243" s="48">
        <f>'дод 2'!T329</f>
        <v>0</v>
      </c>
      <c r="T243" s="48">
        <f>'дод 2'!U329</f>
        <v>0</v>
      </c>
      <c r="U243" s="48">
        <f>'дод 2'!V329</f>
        <v>0</v>
      </c>
      <c r="V243" s="48">
        <f>'дод 2'!W329</f>
        <v>0</v>
      </c>
      <c r="W243" s="48">
        <f>'дод 2'!X329</f>
        <v>0</v>
      </c>
      <c r="X243" s="48">
        <f>'дод 2'!Y329</f>
        <v>0</v>
      </c>
      <c r="Y243" s="184" t="e">
        <f t="shared" si="90"/>
        <v>#DIV/0!</v>
      </c>
      <c r="Z243" s="48">
        <f t="shared" si="91"/>
        <v>0</v>
      </c>
      <c r="AA243" s="95">
        <f>'дод 2'!AB329</f>
        <v>0</v>
      </c>
      <c r="AB243" s="221"/>
    </row>
    <row r="244" spans="1:28" s="82" customFormat="1" ht="18.75" x14ac:dyDescent="0.25">
      <c r="A244" s="45" t="s">
        <v>268</v>
      </c>
      <c r="B244" s="45" t="s">
        <v>107</v>
      </c>
      <c r="C244" s="35" t="s">
        <v>719</v>
      </c>
      <c r="D244" s="79">
        <f>'дод 2'!E157+'дод 2'!E399</f>
        <v>0</v>
      </c>
      <c r="E244" s="79">
        <f>'дод 2'!F157+'дод 2'!F399</f>
        <v>0</v>
      </c>
      <c r="F244" s="79">
        <f>'дод 2'!G157+'дод 2'!G399</f>
        <v>0</v>
      </c>
      <c r="G244" s="79">
        <f>'дод 2'!H157+'дод 2'!H399</f>
        <v>0</v>
      </c>
      <c r="H244" s="79">
        <f>'дод 2'!I157+'дод 2'!I399</f>
        <v>0</v>
      </c>
      <c r="I244" s="79">
        <f>'дод 2'!J157+'дод 2'!J399</f>
        <v>0</v>
      </c>
      <c r="J244" s="79">
        <f>'дод 2'!K157+'дод 2'!K399</f>
        <v>0</v>
      </c>
      <c r="K244" s="79">
        <f>'дод 2'!L157+'дод 2'!L399</f>
        <v>0</v>
      </c>
      <c r="L244" s="179"/>
      <c r="M244" s="79">
        <f>'дод 2'!N157+'дод 2'!N399</f>
        <v>10662376</v>
      </c>
      <c r="N244" s="79">
        <f>'дод 2'!O157+'дод 2'!O399</f>
        <v>10662376</v>
      </c>
      <c r="O244" s="79">
        <f>'дод 2'!P157+'дод 2'!P399</f>
        <v>0</v>
      </c>
      <c r="P244" s="79">
        <f>'дод 2'!Q157+'дод 2'!Q399</f>
        <v>0</v>
      </c>
      <c r="Q244" s="79">
        <f>'дод 2'!R157+'дод 2'!R399</f>
        <v>0</v>
      </c>
      <c r="R244" s="79">
        <f>'дод 2'!S157+'дод 2'!S399</f>
        <v>10662376</v>
      </c>
      <c r="S244" s="79">
        <f>'дод 2'!T157+'дод 2'!T399</f>
        <v>9334964</v>
      </c>
      <c r="T244" s="79">
        <f>'дод 2'!U157+'дод 2'!U399</f>
        <v>9334964</v>
      </c>
      <c r="U244" s="79">
        <f>'дод 2'!V157+'дод 2'!V399</f>
        <v>0</v>
      </c>
      <c r="V244" s="79">
        <f>'дод 2'!W157+'дод 2'!W399</f>
        <v>0</v>
      </c>
      <c r="W244" s="79">
        <f>'дод 2'!X157+'дод 2'!X399</f>
        <v>0</v>
      </c>
      <c r="X244" s="79">
        <f>'дод 2'!Y157+'дод 2'!Y399</f>
        <v>9334964</v>
      </c>
      <c r="Y244" s="179">
        <f t="shared" si="90"/>
        <v>87.550504690511758</v>
      </c>
      <c r="Z244" s="79">
        <f t="shared" si="91"/>
        <v>9334964</v>
      </c>
      <c r="AA244" s="79">
        <f>'дод 2'!AB157+'дод 2'!AB399</f>
        <v>10662376</v>
      </c>
      <c r="AB244" s="221"/>
    </row>
    <row r="245" spans="1:28" s="82" customFormat="1" ht="94.5" x14ac:dyDescent="0.25">
      <c r="A245" s="45"/>
      <c r="B245" s="45"/>
      <c r="C245" s="48" t="s">
        <v>618</v>
      </c>
      <c r="D245" s="80">
        <f>'дод 2'!E400</f>
        <v>0</v>
      </c>
      <c r="E245" s="80">
        <f>'дод 2'!F400</f>
        <v>0</v>
      </c>
      <c r="F245" s="80">
        <f>'дод 2'!G400</f>
        <v>0</v>
      </c>
      <c r="G245" s="80">
        <f>'дод 2'!H400</f>
        <v>0</v>
      </c>
      <c r="H245" s="80">
        <f>'дод 2'!I400</f>
        <v>0</v>
      </c>
      <c r="I245" s="80">
        <f>'дод 2'!J400</f>
        <v>0</v>
      </c>
      <c r="J245" s="80">
        <f>'дод 2'!K400</f>
        <v>0</v>
      </c>
      <c r="K245" s="80">
        <f>'дод 2'!L400</f>
        <v>0</v>
      </c>
      <c r="L245" s="180"/>
      <c r="M245" s="80">
        <f>'дод 2'!N400</f>
        <v>1530000</v>
      </c>
      <c r="N245" s="80">
        <f>'дод 2'!O400</f>
        <v>1530000</v>
      </c>
      <c r="O245" s="80">
        <f>'дод 2'!P400</f>
        <v>0</v>
      </c>
      <c r="P245" s="80">
        <f>'дод 2'!Q400</f>
        <v>0</v>
      </c>
      <c r="Q245" s="80">
        <f>'дод 2'!R400</f>
        <v>0</v>
      </c>
      <c r="R245" s="80">
        <f>'дод 2'!S400</f>
        <v>1530000</v>
      </c>
      <c r="S245" s="80">
        <f>'дод 2'!T400</f>
        <v>1530000</v>
      </c>
      <c r="T245" s="80">
        <f>'дод 2'!U400</f>
        <v>1530000</v>
      </c>
      <c r="U245" s="80">
        <f>'дод 2'!V400</f>
        <v>0</v>
      </c>
      <c r="V245" s="80">
        <f>'дод 2'!W400</f>
        <v>0</v>
      </c>
      <c r="W245" s="80">
        <f>'дод 2'!X400</f>
        <v>0</v>
      </c>
      <c r="X245" s="80">
        <f>'дод 2'!Y400</f>
        <v>1530000</v>
      </c>
      <c r="Y245" s="180">
        <f t="shared" si="90"/>
        <v>100</v>
      </c>
      <c r="Z245" s="80">
        <f t="shared" si="91"/>
        <v>1530000</v>
      </c>
      <c r="AA245" s="80">
        <f>'дод 2'!AB400</f>
        <v>1530000</v>
      </c>
      <c r="AB245" s="112"/>
    </row>
    <row r="246" spans="1:28" s="82" customFormat="1" ht="21.75" hidden="1" customHeight="1" x14ac:dyDescent="0.25">
      <c r="A246" s="81"/>
      <c r="B246" s="81"/>
      <c r="C246" s="29" t="s">
        <v>380</v>
      </c>
      <c r="D246" s="80">
        <f>'дод 2'!E158</f>
        <v>0</v>
      </c>
      <c r="E246" s="80">
        <f>'дод 2'!F158</f>
        <v>0</v>
      </c>
      <c r="F246" s="80">
        <f>'дод 2'!G158</f>
        <v>0</v>
      </c>
      <c r="G246" s="80">
        <f>'дод 2'!H158</f>
        <v>0</v>
      </c>
      <c r="H246" s="80">
        <f>'дод 2'!I158</f>
        <v>0</v>
      </c>
      <c r="I246" s="80">
        <f>'дод 2'!J158</f>
        <v>0</v>
      </c>
      <c r="J246" s="80">
        <f>'дод 2'!K158</f>
        <v>0</v>
      </c>
      <c r="K246" s="80">
        <f>'дод 2'!L158</f>
        <v>0</v>
      </c>
      <c r="L246" s="180"/>
      <c r="M246" s="80">
        <f>'дод 2'!N158</f>
        <v>0</v>
      </c>
      <c r="N246" s="80">
        <f>'дод 2'!O158</f>
        <v>0</v>
      </c>
      <c r="O246" s="80">
        <f>'дод 2'!P158</f>
        <v>0</v>
      </c>
      <c r="P246" s="80">
        <f>'дод 2'!Q158</f>
        <v>0</v>
      </c>
      <c r="Q246" s="80">
        <f>'дод 2'!R158</f>
        <v>0</v>
      </c>
      <c r="R246" s="80">
        <f>'дод 2'!S158</f>
        <v>0</v>
      </c>
      <c r="S246" s="80">
        <f>'дод 2'!T158</f>
        <v>0</v>
      </c>
      <c r="T246" s="80">
        <f>'дод 2'!U158</f>
        <v>0</v>
      </c>
      <c r="U246" s="80">
        <f>'дод 2'!V158</f>
        <v>0</v>
      </c>
      <c r="V246" s="80">
        <f>'дод 2'!W158</f>
        <v>0</v>
      </c>
      <c r="W246" s="80">
        <f>'дод 2'!X158</f>
        <v>0</v>
      </c>
      <c r="X246" s="80">
        <f>'дод 2'!Y158</f>
        <v>0</v>
      </c>
      <c r="Y246" s="180" t="e">
        <f t="shared" si="90"/>
        <v>#DIV/0!</v>
      </c>
      <c r="Z246" s="80">
        <f t="shared" si="91"/>
        <v>0</v>
      </c>
      <c r="AA246" s="80">
        <f>'дод 2'!AB158</f>
        <v>0</v>
      </c>
      <c r="AB246" s="112"/>
    </row>
    <row r="247" spans="1:28" s="82" customFormat="1" ht="24" customHeight="1" x14ac:dyDescent="0.25">
      <c r="A247" s="45" t="s">
        <v>270</v>
      </c>
      <c r="B247" s="45" t="s">
        <v>107</v>
      </c>
      <c r="C247" s="35" t="s">
        <v>743</v>
      </c>
      <c r="D247" s="79">
        <f>'дод 2'!E401+'дод 2'!E206</f>
        <v>0</v>
      </c>
      <c r="E247" s="79">
        <f>'дод 2'!F401+'дод 2'!F206</f>
        <v>0</v>
      </c>
      <c r="F247" s="79">
        <f>'дод 2'!G401+'дод 2'!G206</f>
        <v>0</v>
      </c>
      <c r="G247" s="79">
        <f>'дод 2'!H401+'дод 2'!H206</f>
        <v>0</v>
      </c>
      <c r="H247" s="79">
        <f>'дод 2'!I401+'дод 2'!I206</f>
        <v>0</v>
      </c>
      <c r="I247" s="79">
        <f>'дод 2'!J401+'дод 2'!J206</f>
        <v>0</v>
      </c>
      <c r="J247" s="79">
        <f>'дод 2'!K401+'дод 2'!K206</f>
        <v>0</v>
      </c>
      <c r="K247" s="79">
        <f>'дод 2'!L401+'дод 2'!L206</f>
        <v>0</v>
      </c>
      <c r="L247" s="179"/>
      <c r="M247" s="79">
        <f>'дод 2'!N401+'дод 2'!N206</f>
        <v>12128569</v>
      </c>
      <c r="N247" s="79">
        <f>'дод 2'!O401+'дод 2'!O206</f>
        <v>12128569</v>
      </c>
      <c r="O247" s="79">
        <f>'дод 2'!P401+'дод 2'!P206</f>
        <v>0</v>
      </c>
      <c r="P247" s="79">
        <f>'дод 2'!Q401+'дод 2'!Q206</f>
        <v>0</v>
      </c>
      <c r="Q247" s="79">
        <f>'дод 2'!R401+'дод 2'!R206</f>
        <v>0</v>
      </c>
      <c r="R247" s="79">
        <f>'дод 2'!S401+'дод 2'!S206</f>
        <v>12128569</v>
      </c>
      <c r="S247" s="79">
        <f>'дод 2'!T401+'дод 2'!T206</f>
        <v>11138760.800000001</v>
      </c>
      <c r="T247" s="79">
        <f>'дод 2'!U401+'дод 2'!U206</f>
        <v>11138760.800000001</v>
      </c>
      <c r="U247" s="79">
        <f>'дод 2'!V401+'дод 2'!V206</f>
        <v>0</v>
      </c>
      <c r="V247" s="79">
        <f>'дод 2'!W401+'дод 2'!W206</f>
        <v>0</v>
      </c>
      <c r="W247" s="79">
        <f>'дод 2'!X401+'дод 2'!X206</f>
        <v>0</v>
      </c>
      <c r="X247" s="79">
        <f>'дод 2'!Y401+'дод 2'!Y206</f>
        <v>11138760.800000001</v>
      </c>
      <c r="Y247" s="179">
        <f t="shared" si="90"/>
        <v>91.839035586143751</v>
      </c>
      <c r="Z247" s="79">
        <f t="shared" si="91"/>
        <v>11138760.800000001</v>
      </c>
      <c r="AA247" s="79">
        <f>'дод 2'!AB401+'дод 2'!AB206</f>
        <v>12128569</v>
      </c>
      <c r="AB247" s="221">
        <v>11</v>
      </c>
    </row>
    <row r="248" spans="1:28" s="82" customFormat="1" ht="82.9" customHeight="1" x14ac:dyDescent="0.25">
      <c r="A248" s="45"/>
      <c r="B248" s="45"/>
      <c r="C248" s="48" t="s">
        <v>618</v>
      </c>
      <c r="D248" s="80">
        <f>'дод 2'!E402</f>
        <v>0</v>
      </c>
      <c r="E248" s="80">
        <f>'дод 2'!F402</f>
        <v>0</v>
      </c>
      <c r="F248" s="80">
        <f>'дод 2'!G402</f>
        <v>0</v>
      </c>
      <c r="G248" s="80">
        <f>'дод 2'!H402</f>
        <v>0</v>
      </c>
      <c r="H248" s="80">
        <f>'дод 2'!I402</f>
        <v>0</v>
      </c>
      <c r="I248" s="80">
        <f>'дод 2'!J402</f>
        <v>0</v>
      </c>
      <c r="J248" s="80">
        <f>'дод 2'!K402</f>
        <v>0</v>
      </c>
      <c r="K248" s="80">
        <f>'дод 2'!L402</f>
        <v>0</v>
      </c>
      <c r="L248" s="180"/>
      <c r="M248" s="80">
        <f>'дод 2'!N402</f>
        <v>469595</v>
      </c>
      <c r="N248" s="80">
        <f>'дод 2'!O402</f>
        <v>469595</v>
      </c>
      <c r="O248" s="80">
        <f>'дод 2'!P402</f>
        <v>0</v>
      </c>
      <c r="P248" s="80">
        <f>'дод 2'!Q402</f>
        <v>0</v>
      </c>
      <c r="Q248" s="80">
        <f>'дод 2'!R402</f>
        <v>0</v>
      </c>
      <c r="R248" s="80">
        <f>'дод 2'!S402</f>
        <v>469595</v>
      </c>
      <c r="S248" s="80">
        <f>'дод 2'!T402</f>
        <v>0</v>
      </c>
      <c r="T248" s="80">
        <f>'дод 2'!U402</f>
        <v>0</v>
      </c>
      <c r="U248" s="80">
        <f>'дод 2'!V402</f>
        <v>0</v>
      </c>
      <c r="V248" s="80">
        <f>'дод 2'!W402</f>
        <v>0</v>
      </c>
      <c r="W248" s="80">
        <f>'дод 2'!X402</f>
        <v>0</v>
      </c>
      <c r="X248" s="80">
        <f>'дод 2'!Y402</f>
        <v>0</v>
      </c>
      <c r="Y248" s="180">
        <f t="shared" si="90"/>
        <v>0</v>
      </c>
      <c r="Z248" s="80">
        <f t="shared" si="91"/>
        <v>0</v>
      </c>
      <c r="AA248" s="80">
        <f>'дод 2'!AB402</f>
        <v>469595</v>
      </c>
      <c r="AB248" s="221"/>
    </row>
    <row r="249" spans="1:28" s="82" customFormat="1" ht="22.5" hidden="1" customHeight="1" x14ac:dyDescent="0.25">
      <c r="A249" s="45">
        <v>7323</v>
      </c>
      <c r="B249" s="34" t="s">
        <v>107</v>
      </c>
      <c r="C249" s="96" t="s">
        <v>496</v>
      </c>
      <c r="D249" s="79">
        <f>'дод 2'!E268+'дод 2'!E49</f>
        <v>0</v>
      </c>
      <c r="E249" s="79">
        <f>'дод 2'!F268+'дод 2'!F49</f>
        <v>0</v>
      </c>
      <c r="F249" s="79">
        <f>'дод 2'!G268+'дод 2'!G49</f>
        <v>0</v>
      </c>
      <c r="G249" s="79">
        <f>'дод 2'!H268+'дод 2'!H49</f>
        <v>0</v>
      </c>
      <c r="H249" s="79">
        <f>'дод 2'!I268+'дод 2'!I49</f>
        <v>0</v>
      </c>
      <c r="I249" s="79">
        <f>'дод 2'!J268+'дод 2'!J49</f>
        <v>0</v>
      </c>
      <c r="J249" s="79">
        <f>'дод 2'!K268+'дод 2'!K49</f>
        <v>0</v>
      </c>
      <c r="K249" s="79">
        <f>'дод 2'!L268+'дод 2'!L49</f>
        <v>0</v>
      </c>
      <c r="L249" s="179"/>
      <c r="M249" s="79">
        <f>'дод 2'!N268+'дод 2'!N49</f>
        <v>0</v>
      </c>
      <c r="N249" s="79">
        <f>'дод 2'!O268+'дод 2'!O49</f>
        <v>0</v>
      </c>
      <c r="O249" s="79">
        <f>'дод 2'!P268+'дод 2'!P49</f>
        <v>0</v>
      </c>
      <c r="P249" s="79">
        <f>'дод 2'!Q268+'дод 2'!Q49</f>
        <v>0</v>
      </c>
      <c r="Q249" s="79">
        <f>'дод 2'!R268+'дод 2'!R49</f>
        <v>0</v>
      </c>
      <c r="R249" s="79">
        <f>'дод 2'!S268+'дод 2'!S49</f>
        <v>0</v>
      </c>
      <c r="S249" s="79">
        <f>'дод 2'!T268+'дод 2'!T49</f>
        <v>0</v>
      </c>
      <c r="T249" s="79">
        <f>'дод 2'!U268+'дод 2'!U49</f>
        <v>0</v>
      </c>
      <c r="U249" s="79">
        <f>'дод 2'!V268+'дод 2'!V49</f>
        <v>0</v>
      </c>
      <c r="V249" s="79">
        <f>'дод 2'!W268+'дод 2'!W49</f>
        <v>0</v>
      </c>
      <c r="W249" s="79">
        <f>'дод 2'!X268+'дод 2'!X49</f>
        <v>0</v>
      </c>
      <c r="X249" s="79">
        <f>'дод 2'!Y268+'дод 2'!Y49</f>
        <v>0</v>
      </c>
      <c r="Y249" s="179" t="e">
        <f t="shared" si="90"/>
        <v>#DIV/0!</v>
      </c>
      <c r="Z249" s="79">
        <f t="shared" si="91"/>
        <v>0</v>
      </c>
      <c r="AA249" s="79">
        <f>'дод 2'!AB268+'дод 2'!AB49</f>
        <v>0</v>
      </c>
      <c r="AB249" s="221"/>
    </row>
    <row r="250" spans="1:28" s="82" customFormat="1" ht="19.5" hidden="1" customHeight="1" x14ac:dyDescent="0.25">
      <c r="A250" s="45">
        <v>7324</v>
      </c>
      <c r="B250" s="34" t="s">
        <v>107</v>
      </c>
      <c r="C250" s="35" t="s">
        <v>497</v>
      </c>
      <c r="D250" s="79">
        <f>'дод 2'!E292+'дод 2'!E403</f>
        <v>0</v>
      </c>
      <c r="E250" s="79">
        <f>'дод 2'!F292+'дод 2'!F403</f>
        <v>0</v>
      </c>
      <c r="F250" s="79">
        <f>'дод 2'!G292+'дод 2'!G403</f>
        <v>0</v>
      </c>
      <c r="G250" s="79">
        <f>'дод 2'!H292+'дод 2'!H403</f>
        <v>0</v>
      </c>
      <c r="H250" s="79">
        <f>'дод 2'!I292+'дод 2'!I403</f>
        <v>0</v>
      </c>
      <c r="I250" s="79">
        <f>'дод 2'!J292+'дод 2'!J403</f>
        <v>0</v>
      </c>
      <c r="J250" s="79">
        <f>'дод 2'!K292+'дод 2'!K403</f>
        <v>0</v>
      </c>
      <c r="K250" s="79">
        <f>'дод 2'!L292+'дод 2'!L403</f>
        <v>0</v>
      </c>
      <c r="L250" s="179"/>
      <c r="M250" s="79">
        <f>'дод 2'!N292+'дод 2'!N403</f>
        <v>0</v>
      </c>
      <c r="N250" s="79">
        <f>'дод 2'!O292+'дод 2'!O403</f>
        <v>0</v>
      </c>
      <c r="O250" s="79">
        <f>'дод 2'!P292+'дод 2'!P403</f>
        <v>0</v>
      </c>
      <c r="P250" s="79">
        <f>'дод 2'!Q292+'дод 2'!Q403</f>
        <v>0</v>
      </c>
      <c r="Q250" s="79">
        <f>'дод 2'!R292+'дод 2'!R403</f>
        <v>0</v>
      </c>
      <c r="R250" s="79">
        <f>'дод 2'!S292+'дод 2'!S403</f>
        <v>0</v>
      </c>
      <c r="S250" s="79">
        <f>'дод 2'!T292+'дод 2'!T403</f>
        <v>0</v>
      </c>
      <c r="T250" s="79">
        <f>'дод 2'!U292+'дод 2'!U403</f>
        <v>0</v>
      </c>
      <c r="U250" s="79">
        <f>'дод 2'!V292+'дод 2'!V403</f>
        <v>0</v>
      </c>
      <c r="V250" s="79">
        <f>'дод 2'!W292+'дод 2'!W403</f>
        <v>0</v>
      </c>
      <c r="W250" s="79">
        <f>'дод 2'!X292+'дод 2'!X403</f>
        <v>0</v>
      </c>
      <c r="X250" s="79">
        <f>'дод 2'!Y292+'дод 2'!Y403</f>
        <v>0</v>
      </c>
      <c r="Y250" s="179" t="e">
        <f t="shared" si="90"/>
        <v>#DIV/0!</v>
      </c>
      <c r="Z250" s="79">
        <f t="shared" si="91"/>
        <v>0</v>
      </c>
      <c r="AA250" s="79">
        <f>'дод 2'!AB292+'дод 2'!AB403</f>
        <v>0</v>
      </c>
      <c r="AB250" s="221"/>
    </row>
    <row r="251" spans="1:28" s="82" customFormat="1" ht="35.25" customHeight="1" x14ac:dyDescent="0.25">
      <c r="A251" s="45">
        <v>7325</v>
      </c>
      <c r="B251" s="34" t="s">
        <v>107</v>
      </c>
      <c r="C251" s="35" t="s">
        <v>495</v>
      </c>
      <c r="D251" s="79">
        <f>'дод 2'!E404+'дод 2'!E50</f>
        <v>0</v>
      </c>
      <c r="E251" s="79">
        <f>'дод 2'!F404+'дод 2'!F50</f>
        <v>0</v>
      </c>
      <c r="F251" s="79">
        <f>'дод 2'!G404+'дод 2'!G50</f>
        <v>0</v>
      </c>
      <c r="G251" s="79">
        <f>'дод 2'!H404+'дод 2'!H50</f>
        <v>0</v>
      </c>
      <c r="H251" s="79">
        <f>'дод 2'!I404+'дод 2'!I50</f>
        <v>0</v>
      </c>
      <c r="I251" s="79">
        <f>'дод 2'!J404+'дод 2'!J50</f>
        <v>0</v>
      </c>
      <c r="J251" s="79">
        <f>'дод 2'!K404+'дод 2'!K50</f>
        <v>0</v>
      </c>
      <c r="K251" s="79">
        <f>'дод 2'!L404+'дод 2'!L50</f>
        <v>0</v>
      </c>
      <c r="L251" s="179"/>
      <c r="M251" s="79">
        <f>'дод 2'!N404+'дод 2'!N50</f>
        <v>250000</v>
      </c>
      <c r="N251" s="79">
        <f>'дод 2'!O404+'дод 2'!O50</f>
        <v>250000</v>
      </c>
      <c r="O251" s="79">
        <f>'дод 2'!P404+'дод 2'!P50</f>
        <v>0</v>
      </c>
      <c r="P251" s="79">
        <f>'дод 2'!Q404+'дод 2'!Q50</f>
        <v>0</v>
      </c>
      <c r="Q251" s="79">
        <f>'дод 2'!R404+'дод 2'!R50</f>
        <v>0</v>
      </c>
      <c r="R251" s="79">
        <f>'дод 2'!S404+'дод 2'!S50</f>
        <v>250000</v>
      </c>
      <c r="S251" s="79">
        <f>'дод 2'!T404+'дод 2'!T50</f>
        <v>240192</v>
      </c>
      <c r="T251" s="79">
        <f>'дод 2'!U404+'дод 2'!U50</f>
        <v>240192</v>
      </c>
      <c r="U251" s="79">
        <f>'дод 2'!V404+'дод 2'!V50</f>
        <v>0</v>
      </c>
      <c r="V251" s="79">
        <f>'дод 2'!W404+'дод 2'!W50</f>
        <v>0</v>
      </c>
      <c r="W251" s="79">
        <f>'дод 2'!X404+'дод 2'!X50</f>
        <v>0</v>
      </c>
      <c r="X251" s="79">
        <f>'дод 2'!Y404+'дод 2'!Y50</f>
        <v>240192</v>
      </c>
      <c r="Y251" s="179">
        <f t="shared" si="90"/>
        <v>96.076799999999992</v>
      </c>
      <c r="Z251" s="79">
        <f t="shared" si="91"/>
        <v>240192</v>
      </c>
      <c r="AA251" s="79">
        <f>'дод 2'!AB404+'дод 2'!AB50</f>
        <v>250000</v>
      </c>
      <c r="AB251" s="221"/>
    </row>
    <row r="252" spans="1:28" ht="21.75" customHeight="1" x14ac:dyDescent="0.25">
      <c r="A252" s="45" t="s">
        <v>265</v>
      </c>
      <c r="B252" s="45" t="s">
        <v>107</v>
      </c>
      <c r="C252" s="35" t="s">
        <v>702</v>
      </c>
      <c r="D252" s="79">
        <f>'дод 2'!E405+'дод 2'!E330+'дод 2'!E51</f>
        <v>0</v>
      </c>
      <c r="E252" s="79">
        <f>'дод 2'!F405+'дод 2'!F330+'дод 2'!F51</f>
        <v>0</v>
      </c>
      <c r="F252" s="79">
        <f>'дод 2'!G405+'дод 2'!G330+'дод 2'!G51</f>
        <v>0</v>
      </c>
      <c r="G252" s="79">
        <f>'дод 2'!H405+'дод 2'!H330+'дод 2'!H51</f>
        <v>0</v>
      </c>
      <c r="H252" s="79">
        <f>'дод 2'!I405+'дод 2'!I330+'дод 2'!I51</f>
        <v>0</v>
      </c>
      <c r="I252" s="79">
        <f>'дод 2'!J405+'дод 2'!J330+'дод 2'!J51</f>
        <v>0</v>
      </c>
      <c r="J252" s="79">
        <f>'дод 2'!K405+'дод 2'!K330+'дод 2'!K51</f>
        <v>0</v>
      </c>
      <c r="K252" s="79">
        <f>'дод 2'!L405+'дод 2'!L330+'дод 2'!L51</f>
        <v>0</v>
      </c>
      <c r="L252" s="179"/>
      <c r="M252" s="79">
        <f>'дод 2'!N405+'дод 2'!N330+'дод 2'!N51</f>
        <v>23375364</v>
      </c>
      <c r="N252" s="79">
        <f>'дод 2'!O405+'дод 2'!O330+'дод 2'!O51</f>
        <v>23375364</v>
      </c>
      <c r="O252" s="79">
        <f>'дод 2'!P405+'дод 2'!P330+'дод 2'!P51</f>
        <v>0</v>
      </c>
      <c r="P252" s="79">
        <f>'дод 2'!Q405+'дод 2'!Q330+'дод 2'!Q51</f>
        <v>0</v>
      </c>
      <c r="Q252" s="79">
        <f>'дод 2'!R405+'дод 2'!R330+'дод 2'!R51</f>
        <v>0</v>
      </c>
      <c r="R252" s="79">
        <f>'дод 2'!S405+'дод 2'!S330+'дод 2'!S51</f>
        <v>23375364</v>
      </c>
      <c r="S252" s="79">
        <f>'дод 2'!T405+'дод 2'!T330+'дод 2'!T51</f>
        <v>14621826.65</v>
      </c>
      <c r="T252" s="79">
        <f>'дод 2'!U405+'дод 2'!U330+'дод 2'!U51</f>
        <v>14621826.65</v>
      </c>
      <c r="U252" s="79">
        <f>'дод 2'!V405+'дод 2'!V330+'дод 2'!V51</f>
        <v>0</v>
      </c>
      <c r="V252" s="79">
        <f>'дод 2'!W405+'дод 2'!W330+'дод 2'!W51</f>
        <v>0</v>
      </c>
      <c r="W252" s="79">
        <f>'дод 2'!X405+'дод 2'!X330+'дод 2'!X51</f>
        <v>0</v>
      </c>
      <c r="X252" s="79">
        <f>'дод 2'!Y405+'дод 2'!Y330+'дод 2'!Y51</f>
        <v>14621826.65</v>
      </c>
      <c r="Y252" s="179">
        <f t="shared" si="90"/>
        <v>62.552295014528966</v>
      </c>
      <c r="Z252" s="79">
        <f t="shared" si="91"/>
        <v>14621826.65</v>
      </c>
      <c r="AA252" s="79">
        <f>'дод 2'!AB405+'дод 2'!AB330+'дод 2'!AB51</f>
        <v>23375364</v>
      </c>
      <c r="AB252" s="221"/>
    </row>
    <row r="253" spans="1:28" ht="86.25" customHeight="1" x14ac:dyDescent="0.25">
      <c r="A253" s="45"/>
      <c r="B253" s="45"/>
      <c r="C253" s="48" t="s">
        <v>618</v>
      </c>
      <c r="D253" s="79">
        <f>'дод 2'!E406</f>
        <v>0</v>
      </c>
      <c r="E253" s="79">
        <f>'дод 2'!F406</f>
        <v>0</v>
      </c>
      <c r="F253" s="79">
        <f>'дод 2'!G406</f>
        <v>0</v>
      </c>
      <c r="G253" s="79">
        <f>'дод 2'!H406</f>
        <v>0</v>
      </c>
      <c r="H253" s="79">
        <f>'дод 2'!I406</f>
        <v>0</v>
      </c>
      <c r="I253" s="79">
        <f>'дод 2'!J406</f>
        <v>0</v>
      </c>
      <c r="J253" s="79">
        <f>'дод 2'!K406</f>
        <v>0</v>
      </c>
      <c r="K253" s="79">
        <f>'дод 2'!L406</f>
        <v>0</v>
      </c>
      <c r="L253" s="179"/>
      <c r="M253" s="79">
        <f>'дод 2'!N406</f>
        <v>3600405</v>
      </c>
      <c r="N253" s="79">
        <f>'дод 2'!O406</f>
        <v>3600405</v>
      </c>
      <c r="O253" s="79">
        <f>'дод 2'!P406</f>
        <v>0</v>
      </c>
      <c r="P253" s="79">
        <f>'дод 2'!Q406</f>
        <v>0</v>
      </c>
      <c r="Q253" s="79">
        <f>'дод 2'!R406</f>
        <v>0</v>
      </c>
      <c r="R253" s="79">
        <f>'дод 2'!S406</f>
        <v>3600405</v>
      </c>
      <c r="S253" s="79">
        <f>'дод 2'!T406</f>
        <v>2120201</v>
      </c>
      <c r="T253" s="79">
        <f>'дод 2'!U406</f>
        <v>2120201</v>
      </c>
      <c r="U253" s="79">
        <f>'дод 2'!V406</f>
        <v>0</v>
      </c>
      <c r="V253" s="79">
        <f>'дод 2'!W406</f>
        <v>0</v>
      </c>
      <c r="W253" s="79">
        <f>'дод 2'!X406</f>
        <v>0</v>
      </c>
      <c r="X253" s="79">
        <f>'дод 2'!Y406</f>
        <v>2120201</v>
      </c>
      <c r="Y253" s="179">
        <f t="shared" si="90"/>
        <v>58.887847339396536</v>
      </c>
      <c r="Z253" s="79">
        <f t="shared" si="91"/>
        <v>2120201</v>
      </c>
      <c r="AA253" s="79">
        <f>'дод 2'!AB406</f>
        <v>3600405</v>
      </c>
      <c r="AB253" s="221"/>
    </row>
    <row r="254" spans="1:28" ht="31.5" customHeight="1" x14ac:dyDescent="0.25">
      <c r="A254" s="45" t="s">
        <v>131</v>
      </c>
      <c r="B254" s="45" t="s">
        <v>107</v>
      </c>
      <c r="C254" s="33" t="s">
        <v>1</v>
      </c>
      <c r="D254" s="79">
        <f>'дод 2'!E331+'дод 2'!E407+'дод 2'!E421+'дод 2'!E455</f>
        <v>0</v>
      </c>
      <c r="E254" s="79">
        <f>'дод 2'!F331+'дод 2'!F407+'дод 2'!F421+'дод 2'!F455</f>
        <v>0</v>
      </c>
      <c r="F254" s="79">
        <f>'дод 2'!G331+'дод 2'!G407+'дод 2'!G421+'дод 2'!G455</f>
        <v>0</v>
      </c>
      <c r="G254" s="79">
        <f>'дод 2'!H331+'дод 2'!H407+'дод 2'!H421+'дод 2'!H455</f>
        <v>0</v>
      </c>
      <c r="H254" s="79">
        <f>'дод 2'!I331+'дод 2'!I407+'дод 2'!I421+'дод 2'!I455</f>
        <v>0</v>
      </c>
      <c r="I254" s="79">
        <f>'дод 2'!J331+'дод 2'!J407+'дод 2'!J421+'дод 2'!J455</f>
        <v>0</v>
      </c>
      <c r="J254" s="79">
        <f>'дод 2'!K331+'дод 2'!K407+'дод 2'!K421+'дод 2'!K455</f>
        <v>0</v>
      </c>
      <c r="K254" s="79">
        <f>'дод 2'!L331+'дод 2'!L407+'дод 2'!L421+'дод 2'!L455</f>
        <v>0</v>
      </c>
      <c r="L254" s="179"/>
      <c r="M254" s="79">
        <f>'дод 2'!N331+'дод 2'!N407+'дод 2'!N421+'дод 2'!N455</f>
        <v>7093559</v>
      </c>
      <c r="N254" s="79">
        <f>'дод 2'!O331+'дод 2'!O407+'дод 2'!O421+'дод 2'!O455</f>
        <v>7093559</v>
      </c>
      <c r="O254" s="79">
        <f>'дод 2'!P331+'дод 2'!P407+'дод 2'!P421+'дод 2'!P455</f>
        <v>0</v>
      </c>
      <c r="P254" s="79">
        <f>'дод 2'!Q331+'дод 2'!Q407+'дод 2'!Q421+'дод 2'!Q455</f>
        <v>0</v>
      </c>
      <c r="Q254" s="79">
        <f>'дод 2'!R331+'дод 2'!R407+'дод 2'!R421+'дод 2'!R455</f>
        <v>0</v>
      </c>
      <c r="R254" s="79">
        <f>'дод 2'!S331+'дод 2'!S407+'дод 2'!S421+'дод 2'!S455</f>
        <v>7093559</v>
      </c>
      <c r="S254" s="79">
        <f>'дод 2'!T331+'дод 2'!T407+'дод 2'!T421+'дод 2'!T455</f>
        <v>6875849.9900000002</v>
      </c>
      <c r="T254" s="79">
        <f>'дод 2'!U331+'дод 2'!U407+'дод 2'!U421+'дод 2'!U455</f>
        <v>6875849.9900000002</v>
      </c>
      <c r="U254" s="79">
        <f>'дод 2'!V331+'дод 2'!V407+'дод 2'!V421+'дод 2'!V455</f>
        <v>0</v>
      </c>
      <c r="V254" s="79">
        <f>'дод 2'!W331+'дод 2'!W407+'дод 2'!W421+'дод 2'!W455</f>
        <v>0</v>
      </c>
      <c r="W254" s="79">
        <f>'дод 2'!X331+'дод 2'!X407+'дод 2'!X421+'дод 2'!X455</f>
        <v>0</v>
      </c>
      <c r="X254" s="79">
        <f>'дод 2'!Y331+'дод 2'!Y407+'дод 2'!Y421+'дод 2'!Y455</f>
        <v>6875849.9900000002</v>
      </c>
      <c r="Y254" s="179">
        <f t="shared" si="90"/>
        <v>96.930891672290315</v>
      </c>
      <c r="Z254" s="79">
        <f t="shared" si="91"/>
        <v>6875849.9900000002</v>
      </c>
      <c r="AA254" s="79">
        <f>'дод 2'!AB331+'дод 2'!AB407+'дод 2'!AB421+'дод 2'!AB455</f>
        <v>7093559</v>
      </c>
      <c r="AB254" s="221"/>
    </row>
    <row r="255" spans="1:28" ht="35.25" hidden="1" customHeight="1" x14ac:dyDescent="0.25">
      <c r="A255" s="34" t="s">
        <v>429</v>
      </c>
      <c r="B255" s="34" t="s">
        <v>107</v>
      </c>
      <c r="C255" s="33" t="s">
        <v>430</v>
      </c>
      <c r="D255" s="79">
        <f>'дод 2'!E422</f>
        <v>0</v>
      </c>
      <c r="E255" s="79">
        <f>'дод 2'!F422</f>
        <v>0</v>
      </c>
      <c r="F255" s="79">
        <f>'дод 2'!G422</f>
        <v>0</v>
      </c>
      <c r="G255" s="79">
        <f>'дод 2'!H422</f>
        <v>0</v>
      </c>
      <c r="H255" s="79">
        <f>'дод 2'!I422</f>
        <v>0</v>
      </c>
      <c r="I255" s="79">
        <f>'дод 2'!J422</f>
        <v>0</v>
      </c>
      <c r="J255" s="79">
        <f>'дод 2'!K422</f>
        <v>0</v>
      </c>
      <c r="K255" s="79">
        <f>'дод 2'!L422</f>
        <v>0</v>
      </c>
      <c r="L255" s="179"/>
      <c r="M255" s="79">
        <f>'дод 2'!N422</f>
        <v>0</v>
      </c>
      <c r="N255" s="79">
        <f>'дод 2'!O422</f>
        <v>0</v>
      </c>
      <c r="O255" s="79">
        <f>'дод 2'!P422</f>
        <v>0</v>
      </c>
      <c r="P255" s="79">
        <f>'дод 2'!Q422</f>
        <v>0</v>
      </c>
      <c r="Q255" s="79">
        <f>'дод 2'!R422</f>
        <v>0</v>
      </c>
      <c r="R255" s="79">
        <f>'дод 2'!S422</f>
        <v>0</v>
      </c>
      <c r="S255" s="79">
        <f>'дод 2'!T422</f>
        <v>0</v>
      </c>
      <c r="T255" s="79">
        <f>'дод 2'!U422</f>
        <v>0</v>
      </c>
      <c r="U255" s="79">
        <f>'дод 2'!V422</f>
        <v>0</v>
      </c>
      <c r="V255" s="79">
        <f>'дод 2'!W422</f>
        <v>0</v>
      </c>
      <c r="W255" s="79">
        <f>'дод 2'!X422</f>
        <v>0</v>
      </c>
      <c r="X255" s="79">
        <f>'дод 2'!Y422</f>
        <v>0</v>
      </c>
      <c r="Y255" s="179" t="e">
        <f t="shared" si="90"/>
        <v>#DIV/0!</v>
      </c>
      <c r="Z255" s="79">
        <f t="shared" si="91"/>
        <v>0</v>
      </c>
      <c r="AA255" s="79">
        <f>'дод 2'!AB422</f>
        <v>0</v>
      </c>
      <c r="AB255" s="221"/>
    </row>
    <row r="256" spans="1:28" ht="40.9" customHeight="1" x14ac:dyDescent="0.25">
      <c r="A256" s="45">
        <v>7361</v>
      </c>
      <c r="B256" s="45" t="s">
        <v>78</v>
      </c>
      <c r="C256" s="33" t="s">
        <v>358</v>
      </c>
      <c r="D256" s="79">
        <f>'дод 2'!E332+'дод 2'!E408+'дод 2'!E207</f>
        <v>0</v>
      </c>
      <c r="E256" s="79">
        <f>'дод 2'!F332+'дод 2'!F408+'дод 2'!F207</f>
        <v>0</v>
      </c>
      <c r="F256" s="79">
        <f>'дод 2'!G332+'дод 2'!G408+'дод 2'!G207</f>
        <v>0</v>
      </c>
      <c r="G256" s="79">
        <f>'дод 2'!H332+'дод 2'!H408+'дод 2'!H207</f>
        <v>0</v>
      </c>
      <c r="H256" s="79">
        <f>'дод 2'!I332+'дод 2'!I408+'дод 2'!I207</f>
        <v>0</v>
      </c>
      <c r="I256" s="79">
        <f>'дод 2'!J332+'дод 2'!J408+'дод 2'!J207</f>
        <v>0</v>
      </c>
      <c r="J256" s="79">
        <f>'дод 2'!K332+'дод 2'!K408+'дод 2'!K207</f>
        <v>0</v>
      </c>
      <c r="K256" s="79">
        <f>'дод 2'!L332+'дод 2'!L408+'дод 2'!L207</f>
        <v>0</v>
      </c>
      <c r="L256" s="179"/>
      <c r="M256" s="79">
        <f>'дод 2'!N332+'дод 2'!N408+'дод 2'!N207</f>
        <v>68209</v>
      </c>
      <c r="N256" s="79">
        <f>'дод 2'!O332+'дод 2'!O408+'дод 2'!O207</f>
        <v>68209</v>
      </c>
      <c r="O256" s="79">
        <f>'дод 2'!P332+'дод 2'!P408+'дод 2'!P207</f>
        <v>0</v>
      </c>
      <c r="P256" s="79">
        <f>'дод 2'!Q332+'дод 2'!Q408+'дод 2'!Q207</f>
        <v>0</v>
      </c>
      <c r="Q256" s="79">
        <f>'дод 2'!R332+'дод 2'!R408+'дод 2'!R207</f>
        <v>0</v>
      </c>
      <c r="R256" s="79">
        <f>'дод 2'!S332+'дод 2'!S408+'дод 2'!S207</f>
        <v>68209</v>
      </c>
      <c r="S256" s="79">
        <f>'дод 2'!T332+'дод 2'!T408+'дод 2'!T207</f>
        <v>68208.600000000006</v>
      </c>
      <c r="T256" s="79">
        <f>'дод 2'!U332+'дод 2'!U408+'дод 2'!U207</f>
        <v>68208.600000000006</v>
      </c>
      <c r="U256" s="79">
        <f>'дод 2'!V332+'дод 2'!V408+'дод 2'!V207</f>
        <v>0</v>
      </c>
      <c r="V256" s="79">
        <f>'дод 2'!W332+'дод 2'!W408+'дод 2'!W207</f>
        <v>0</v>
      </c>
      <c r="W256" s="79">
        <f>'дод 2'!X332+'дод 2'!X408+'дод 2'!X207</f>
        <v>0</v>
      </c>
      <c r="X256" s="79">
        <f>'дод 2'!Y332+'дод 2'!Y408+'дод 2'!Y207</f>
        <v>68208.600000000006</v>
      </c>
      <c r="Y256" s="179">
        <f t="shared" si="90"/>
        <v>99.999413567124577</v>
      </c>
      <c r="Z256" s="79">
        <f t="shared" si="91"/>
        <v>68208.600000000006</v>
      </c>
      <c r="AA256" s="79">
        <f>'дод 2'!AB332+'дод 2'!AB408+'дод 2'!AB207</f>
        <v>68209</v>
      </c>
      <c r="AB256" s="221"/>
    </row>
    <row r="257" spans="1:28" s="82" customFormat="1" ht="46.5" hidden="1" customHeight="1" x14ac:dyDescent="0.25">
      <c r="A257" s="45">
        <v>7362</v>
      </c>
      <c r="B257" s="45" t="s">
        <v>78</v>
      </c>
      <c r="C257" s="33" t="s">
        <v>350</v>
      </c>
      <c r="D257" s="79">
        <f>'дод 2'!E333</f>
        <v>0</v>
      </c>
      <c r="E257" s="79">
        <f>'дод 2'!F333</f>
        <v>0</v>
      </c>
      <c r="F257" s="79">
        <f>'дод 2'!G333</f>
        <v>0</v>
      </c>
      <c r="G257" s="79">
        <f>'дод 2'!H333</f>
        <v>0</v>
      </c>
      <c r="H257" s="79">
        <f>'дод 2'!I333</f>
        <v>0</v>
      </c>
      <c r="I257" s="79">
        <f>'дод 2'!J333</f>
        <v>0</v>
      </c>
      <c r="J257" s="79">
        <f>'дод 2'!K333</f>
        <v>0</v>
      </c>
      <c r="K257" s="79">
        <f>'дод 2'!L333</f>
        <v>0</v>
      </c>
      <c r="L257" s="179" t="e">
        <f t="shared" si="89"/>
        <v>#DIV/0!</v>
      </c>
      <c r="M257" s="79">
        <f>'дод 2'!N333</f>
        <v>0</v>
      </c>
      <c r="N257" s="79">
        <f>'дод 2'!O333</f>
        <v>0</v>
      </c>
      <c r="O257" s="79">
        <f>'дод 2'!P333</f>
        <v>0</v>
      </c>
      <c r="P257" s="79">
        <f>'дод 2'!Q333</f>
        <v>0</v>
      </c>
      <c r="Q257" s="79">
        <f>'дод 2'!R333</f>
        <v>0</v>
      </c>
      <c r="R257" s="79">
        <f>'дод 2'!S333</f>
        <v>0</v>
      </c>
      <c r="S257" s="79">
        <f>'дод 2'!T333</f>
        <v>0</v>
      </c>
      <c r="T257" s="79">
        <f>'дод 2'!U333</f>
        <v>0</v>
      </c>
      <c r="U257" s="79">
        <f>'дод 2'!V333</f>
        <v>0</v>
      </c>
      <c r="V257" s="79">
        <f>'дод 2'!W333</f>
        <v>0</v>
      </c>
      <c r="W257" s="79">
        <f>'дод 2'!X333</f>
        <v>0</v>
      </c>
      <c r="X257" s="79">
        <f>'дод 2'!Y333</f>
        <v>0</v>
      </c>
      <c r="Y257" s="179" t="e">
        <f t="shared" si="90"/>
        <v>#DIV/0!</v>
      </c>
      <c r="Z257" s="79">
        <f t="shared" si="91"/>
        <v>0</v>
      </c>
      <c r="AA257" s="79">
        <f>'дод 2'!AB333</f>
        <v>0</v>
      </c>
      <c r="AB257" s="221"/>
    </row>
    <row r="258" spans="1:28" s="82" customFormat="1" ht="47.25" hidden="1" customHeight="1" x14ac:dyDescent="0.25">
      <c r="A258" s="45">
        <v>7363</v>
      </c>
      <c r="B258" s="22" t="s">
        <v>78</v>
      </c>
      <c r="C258" s="24" t="s">
        <v>552</v>
      </c>
      <c r="D258" s="79">
        <f>'дод 2'!E334+'дод 2'!E159+'дод 2'!E208+'дод 2'!E409</f>
        <v>0</v>
      </c>
      <c r="E258" s="79">
        <f>'дод 2'!F334+'дод 2'!F159+'дод 2'!F208+'дод 2'!F409</f>
        <v>0</v>
      </c>
      <c r="F258" s="79">
        <f>'дод 2'!G334+'дод 2'!G159+'дод 2'!G208+'дод 2'!G409</f>
        <v>0</v>
      </c>
      <c r="G258" s="79">
        <f>'дод 2'!H334+'дод 2'!H159+'дод 2'!H208+'дод 2'!H409</f>
        <v>0</v>
      </c>
      <c r="H258" s="79">
        <f>'дод 2'!I334+'дод 2'!I159+'дод 2'!I208+'дод 2'!I409</f>
        <v>0</v>
      </c>
      <c r="I258" s="79">
        <f>'дод 2'!J334+'дод 2'!J159+'дод 2'!J208+'дод 2'!J409</f>
        <v>0</v>
      </c>
      <c r="J258" s="79">
        <f>'дод 2'!K334+'дод 2'!K159+'дод 2'!K208+'дод 2'!K409</f>
        <v>0</v>
      </c>
      <c r="K258" s="79">
        <f>'дод 2'!L334+'дод 2'!L159+'дод 2'!L208+'дод 2'!L409</f>
        <v>0</v>
      </c>
      <c r="L258" s="179" t="e">
        <f t="shared" si="89"/>
        <v>#DIV/0!</v>
      </c>
      <c r="M258" s="79">
        <f>'дод 2'!N334+'дод 2'!N159+'дод 2'!N208+'дод 2'!N409</f>
        <v>0</v>
      </c>
      <c r="N258" s="79">
        <f>'дод 2'!O334+'дод 2'!O159+'дод 2'!O208+'дод 2'!O409</f>
        <v>0</v>
      </c>
      <c r="O258" s="79">
        <f>'дод 2'!P334+'дод 2'!P159+'дод 2'!P208+'дод 2'!P409</f>
        <v>0</v>
      </c>
      <c r="P258" s="79">
        <f>'дод 2'!Q334+'дод 2'!Q159+'дод 2'!Q208+'дод 2'!Q409</f>
        <v>0</v>
      </c>
      <c r="Q258" s="79">
        <f>'дод 2'!R334+'дод 2'!R159+'дод 2'!R208+'дод 2'!R409</f>
        <v>0</v>
      </c>
      <c r="R258" s="79">
        <f>'дод 2'!S334+'дод 2'!S159+'дод 2'!S208+'дод 2'!S409</f>
        <v>0</v>
      </c>
      <c r="S258" s="79">
        <f>'дод 2'!T334+'дод 2'!T159+'дод 2'!T208+'дод 2'!T409</f>
        <v>0</v>
      </c>
      <c r="T258" s="79">
        <f>'дод 2'!U334+'дод 2'!U159+'дод 2'!U208+'дод 2'!U409</f>
        <v>0</v>
      </c>
      <c r="U258" s="79">
        <f>'дод 2'!V334+'дод 2'!V159+'дод 2'!V208+'дод 2'!V409</f>
        <v>0</v>
      </c>
      <c r="V258" s="79">
        <f>'дод 2'!W334+'дод 2'!W159+'дод 2'!W208+'дод 2'!W409</f>
        <v>0</v>
      </c>
      <c r="W258" s="79">
        <f>'дод 2'!X334+'дод 2'!X159+'дод 2'!X208+'дод 2'!X409</f>
        <v>0</v>
      </c>
      <c r="X258" s="79">
        <f>'дод 2'!Y334+'дод 2'!Y159+'дод 2'!Y208+'дод 2'!Y409</f>
        <v>0</v>
      </c>
      <c r="Y258" s="179" t="e">
        <f t="shared" si="90"/>
        <v>#DIV/0!</v>
      </c>
      <c r="Z258" s="79">
        <f t="shared" si="91"/>
        <v>0</v>
      </c>
      <c r="AA258" s="79">
        <f>'дод 2'!AB334+'дод 2'!AB159+'дод 2'!AB208+'дод 2'!AB409</f>
        <v>0</v>
      </c>
      <c r="AB258" s="221"/>
    </row>
    <row r="259" spans="1:28" s="82" customFormat="1" ht="47.25" hidden="1" customHeight="1" x14ac:dyDescent="0.25">
      <c r="A259" s="81"/>
      <c r="B259" s="27"/>
      <c r="C259" s="48" t="s">
        <v>574</v>
      </c>
      <c r="D259" s="80">
        <f>'дод 2'!E160+'дод 2'!E209+'дод 2'!E335+'дод 2'!E410</f>
        <v>0</v>
      </c>
      <c r="E259" s="80">
        <f>'дод 2'!F160+'дод 2'!F209+'дод 2'!F335+'дод 2'!F410</f>
        <v>0</v>
      </c>
      <c r="F259" s="80">
        <f>'дод 2'!G160+'дод 2'!G209+'дод 2'!G335+'дод 2'!G410</f>
        <v>0</v>
      </c>
      <c r="G259" s="80">
        <f>'дод 2'!H160+'дод 2'!H209+'дод 2'!H335+'дод 2'!H410</f>
        <v>0</v>
      </c>
      <c r="H259" s="80">
        <f>'дод 2'!I160+'дод 2'!I209+'дод 2'!I335+'дод 2'!I410</f>
        <v>0</v>
      </c>
      <c r="I259" s="80">
        <f>'дод 2'!J160+'дод 2'!J209+'дод 2'!J335+'дод 2'!J410</f>
        <v>0</v>
      </c>
      <c r="J259" s="80">
        <f>'дод 2'!K160+'дод 2'!K209+'дод 2'!K335+'дод 2'!K410</f>
        <v>0</v>
      </c>
      <c r="K259" s="80">
        <f>'дод 2'!L160+'дод 2'!L209+'дод 2'!L335+'дод 2'!L410</f>
        <v>0</v>
      </c>
      <c r="L259" s="180" t="e">
        <f t="shared" si="89"/>
        <v>#DIV/0!</v>
      </c>
      <c r="M259" s="80">
        <f>'дод 2'!N160+'дод 2'!N209+'дод 2'!N335+'дод 2'!N410</f>
        <v>0</v>
      </c>
      <c r="N259" s="80">
        <f>'дод 2'!O160+'дод 2'!O209+'дод 2'!O335+'дод 2'!O410</f>
        <v>0</v>
      </c>
      <c r="O259" s="80">
        <f>'дод 2'!P160+'дод 2'!P209+'дод 2'!P335+'дод 2'!P410</f>
        <v>0</v>
      </c>
      <c r="P259" s="80">
        <f>'дод 2'!Q160+'дод 2'!Q209+'дод 2'!Q335+'дод 2'!Q410</f>
        <v>0</v>
      </c>
      <c r="Q259" s="80">
        <f>'дод 2'!R160+'дод 2'!R209+'дод 2'!R335+'дод 2'!R410</f>
        <v>0</v>
      </c>
      <c r="R259" s="80">
        <f>'дод 2'!S160+'дод 2'!S209+'дод 2'!S335+'дод 2'!S410</f>
        <v>0</v>
      </c>
      <c r="S259" s="80">
        <f>'дод 2'!T160+'дод 2'!T209+'дод 2'!T335+'дод 2'!T410</f>
        <v>0</v>
      </c>
      <c r="T259" s="80">
        <f>'дод 2'!U160+'дод 2'!U209+'дод 2'!U335+'дод 2'!U410</f>
        <v>0</v>
      </c>
      <c r="U259" s="80">
        <f>'дод 2'!V160+'дод 2'!V209+'дод 2'!V335+'дод 2'!V410</f>
        <v>0</v>
      </c>
      <c r="V259" s="80">
        <f>'дод 2'!W160+'дод 2'!W209+'дод 2'!W335+'дод 2'!W410</f>
        <v>0</v>
      </c>
      <c r="W259" s="80">
        <f>'дод 2'!X160+'дод 2'!X209+'дод 2'!X335+'дод 2'!X410</f>
        <v>0</v>
      </c>
      <c r="X259" s="80">
        <f>'дод 2'!Y160+'дод 2'!Y209+'дод 2'!Y335+'дод 2'!Y410</f>
        <v>0</v>
      </c>
      <c r="Y259" s="180" t="e">
        <f t="shared" si="90"/>
        <v>#DIV/0!</v>
      </c>
      <c r="Z259" s="80">
        <f t="shared" si="91"/>
        <v>0</v>
      </c>
      <c r="AA259" s="80">
        <f>'дод 2'!AB160+'дод 2'!AB209+'дод 2'!AB335+'дод 2'!AB410</f>
        <v>0</v>
      </c>
      <c r="AB259" s="221"/>
    </row>
    <row r="260" spans="1:28" ht="31.5" hidden="1" customHeight="1" x14ac:dyDescent="0.25">
      <c r="A260" s="45">
        <v>7368</v>
      </c>
      <c r="B260" s="45" t="s">
        <v>78</v>
      </c>
      <c r="C260" s="24" t="s">
        <v>521</v>
      </c>
      <c r="D260" s="79">
        <f>'дод 2'!E336</f>
        <v>0</v>
      </c>
      <c r="E260" s="79">
        <f>'дод 2'!F336</f>
        <v>0</v>
      </c>
      <c r="F260" s="79">
        <f>'дод 2'!G336</f>
        <v>0</v>
      </c>
      <c r="G260" s="79">
        <f>'дод 2'!H336</f>
        <v>0</v>
      </c>
      <c r="H260" s="79">
        <f>'дод 2'!I336</f>
        <v>0</v>
      </c>
      <c r="I260" s="79">
        <f>'дод 2'!J336</f>
        <v>0</v>
      </c>
      <c r="J260" s="79">
        <f>'дод 2'!K336</f>
        <v>0</v>
      </c>
      <c r="K260" s="79">
        <f>'дод 2'!L336</f>
        <v>0</v>
      </c>
      <c r="L260" s="179" t="e">
        <f t="shared" si="89"/>
        <v>#DIV/0!</v>
      </c>
      <c r="M260" s="79">
        <f>'дод 2'!N336</f>
        <v>0</v>
      </c>
      <c r="N260" s="79">
        <f>'дод 2'!O336</f>
        <v>0</v>
      </c>
      <c r="O260" s="79">
        <f>'дод 2'!P336</f>
        <v>0</v>
      </c>
      <c r="P260" s="79">
        <f>'дод 2'!Q336</f>
        <v>0</v>
      </c>
      <c r="Q260" s="79">
        <f>'дод 2'!R336</f>
        <v>0</v>
      </c>
      <c r="R260" s="79">
        <f>'дод 2'!S336</f>
        <v>0</v>
      </c>
      <c r="S260" s="79">
        <f>'дод 2'!T336</f>
        <v>0</v>
      </c>
      <c r="T260" s="79">
        <f>'дод 2'!U336</f>
        <v>0</v>
      </c>
      <c r="U260" s="79">
        <f>'дод 2'!V336</f>
        <v>0</v>
      </c>
      <c r="V260" s="79">
        <f>'дод 2'!W336</f>
        <v>0</v>
      </c>
      <c r="W260" s="79">
        <f>'дод 2'!X336</f>
        <v>0</v>
      </c>
      <c r="X260" s="79">
        <f>'дод 2'!Y336</f>
        <v>0</v>
      </c>
      <c r="Y260" s="179" t="e">
        <f t="shared" si="90"/>
        <v>#DIV/0!</v>
      </c>
      <c r="Z260" s="79">
        <f t="shared" si="91"/>
        <v>0</v>
      </c>
      <c r="AA260" s="79">
        <f>'дод 2'!AB336</f>
        <v>0</v>
      </c>
      <c r="AB260" s="221"/>
    </row>
    <row r="261" spans="1:28" s="82" customFormat="1" ht="15.75" hidden="1" customHeight="1" x14ac:dyDescent="0.25">
      <c r="A261" s="81"/>
      <c r="B261" s="27"/>
      <c r="C261" s="29" t="s">
        <v>379</v>
      </c>
      <c r="D261" s="80">
        <f>'дод 2'!E337</f>
        <v>0</v>
      </c>
      <c r="E261" s="80">
        <f>'дод 2'!F337</f>
        <v>0</v>
      </c>
      <c r="F261" s="80">
        <f>'дод 2'!G337</f>
        <v>0</v>
      </c>
      <c r="G261" s="80">
        <f>'дод 2'!H337</f>
        <v>0</v>
      </c>
      <c r="H261" s="80">
        <f>'дод 2'!I337</f>
        <v>0</v>
      </c>
      <c r="I261" s="80">
        <f>'дод 2'!J337</f>
        <v>0</v>
      </c>
      <c r="J261" s="80">
        <f>'дод 2'!K337</f>
        <v>0</v>
      </c>
      <c r="K261" s="80">
        <f>'дод 2'!L337</f>
        <v>0</v>
      </c>
      <c r="L261" s="180" t="e">
        <f t="shared" si="89"/>
        <v>#DIV/0!</v>
      </c>
      <c r="M261" s="80">
        <f>'дод 2'!N337</f>
        <v>0</v>
      </c>
      <c r="N261" s="80">
        <f>'дод 2'!O337</f>
        <v>0</v>
      </c>
      <c r="O261" s="80">
        <f>'дод 2'!P337</f>
        <v>0</v>
      </c>
      <c r="P261" s="80">
        <f>'дод 2'!Q337</f>
        <v>0</v>
      </c>
      <c r="Q261" s="80">
        <f>'дод 2'!R337</f>
        <v>0</v>
      </c>
      <c r="R261" s="80">
        <f>'дод 2'!S337</f>
        <v>0</v>
      </c>
      <c r="S261" s="80">
        <f>'дод 2'!T337</f>
        <v>0</v>
      </c>
      <c r="T261" s="80">
        <f>'дод 2'!U337</f>
        <v>0</v>
      </c>
      <c r="U261" s="80">
        <f>'дод 2'!V337</f>
        <v>0</v>
      </c>
      <c r="V261" s="80">
        <f>'дод 2'!W337</f>
        <v>0</v>
      </c>
      <c r="W261" s="80">
        <f>'дод 2'!X337</f>
        <v>0</v>
      </c>
      <c r="X261" s="80">
        <f>'дод 2'!Y337</f>
        <v>0</v>
      </c>
      <c r="Y261" s="180" t="e">
        <f t="shared" si="90"/>
        <v>#DIV/0!</v>
      </c>
      <c r="Z261" s="80">
        <f t="shared" si="91"/>
        <v>0</v>
      </c>
      <c r="AA261" s="80">
        <f>'дод 2'!AB337</f>
        <v>0</v>
      </c>
      <c r="AB261" s="221"/>
    </row>
    <row r="262" spans="1:28" s="82" customFormat="1" ht="31.5" customHeight="1" x14ac:dyDescent="0.25">
      <c r="A262" s="45">
        <v>7370</v>
      </c>
      <c r="B262" s="22" t="s">
        <v>78</v>
      </c>
      <c r="C262" s="24" t="s">
        <v>407</v>
      </c>
      <c r="D262" s="79">
        <f>'дод 2'!E411+'дод 2'!E423+'дод 2'!E456</f>
        <v>245000</v>
      </c>
      <c r="E262" s="79">
        <f>'дод 2'!F411+'дод 2'!F423+'дод 2'!F456</f>
        <v>245000</v>
      </c>
      <c r="F262" s="79">
        <f>'дод 2'!G411+'дод 2'!G423+'дод 2'!G456</f>
        <v>0</v>
      </c>
      <c r="G262" s="79">
        <f>'дод 2'!H411+'дод 2'!H423+'дод 2'!H456</f>
        <v>0</v>
      </c>
      <c r="H262" s="79">
        <f>'дод 2'!I411+'дод 2'!I423+'дод 2'!I456</f>
        <v>0</v>
      </c>
      <c r="I262" s="79">
        <f>'дод 2'!J411+'дод 2'!J423+'дод 2'!J456</f>
        <v>0</v>
      </c>
      <c r="J262" s="79">
        <f>'дод 2'!K411+'дод 2'!K423+'дод 2'!K456</f>
        <v>0</v>
      </c>
      <c r="K262" s="79">
        <f>'дод 2'!L411+'дод 2'!L423+'дод 2'!L456</f>
        <v>0</v>
      </c>
      <c r="L262" s="179">
        <f t="shared" si="89"/>
        <v>0</v>
      </c>
      <c r="M262" s="79">
        <f>'дод 2'!N411+'дод 2'!N423+'дод 2'!N456</f>
        <v>250000</v>
      </c>
      <c r="N262" s="79">
        <f>'дод 2'!O411+'дод 2'!O423+'дод 2'!O456</f>
        <v>250000</v>
      </c>
      <c r="O262" s="79">
        <f>'дод 2'!P411+'дод 2'!P423+'дод 2'!P456</f>
        <v>0</v>
      </c>
      <c r="P262" s="79">
        <f>'дод 2'!Q411+'дод 2'!Q423+'дод 2'!Q456</f>
        <v>0</v>
      </c>
      <c r="Q262" s="79">
        <f>'дод 2'!R411+'дод 2'!R423+'дод 2'!R456</f>
        <v>0</v>
      </c>
      <c r="R262" s="79">
        <f>'дод 2'!S411+'дод 2'!S423+'дод 2'!S456</f>
        <v>250000</v>
      </c>
      <c r="S262" s="79">
        <f>'дод 2'!T411+'дод 2'!T423+'дод 2'!T456</f>
        <v>0</v>
      </c>
      <c r="T262" s="79">
        <f>'дод 2'!U411+'дод 2'!U423+'дод 2'!U456</f>
        <v>0</v>
      </c>
      <c r="U262" s="79">
        <f>'дод 2'!V411+'дод 2'!V423+'дод 2'!V456</f>
        <v>0</v>
      </c>
      <c r="V262" s="79">
        <f>'дод 2'!W411+'дод 2'!W423+'дод 2'!W456</f>
        <v>0</v>
      </c>
      <c r="W262" s="79">
        <f>'дод 2'!X411+'дод 2'!X423+'дод 2'!X456</f>
        <v>0</v>
      </c>
      <c r="X262" s="79">
        <f>'дод 2'!Y411+'дод 2'!Y423+'дод 2'!Y456</f>
        <v>0</v>
      </c>
      <c r="Y262" s="179">
        <f t="shared" si="90"/>
        <v>0</v>
      </c>
      <c r="Z262" s="79">
        <f t="shared" si="91"/>
        <v>0</v>
      </c>
      <c r="AA262" s="79">
        <f>'дод 2'!AB411+'дод 2'!AB423+'дод 2'!AB456</f>
        <v>495000</v>
      </c>
      <c r="AB262" s="221"/>
    </row>
    <row r="263" spans="1:28" s="107" customFormat="1" ht="47.25" x14ac:dyDescent="0.25">
      <c r="A263" s="45">
        <v>7375</v>
      </c>
      <c r="B263" s="22" t="s">
        <v>78</v>
      </c>
      <c r="C263" s="24" t="s">
        <v>737</v>
      </c>
      <c r="D263" s="79">
        <f>'дод 2'!E343</f>
        <v>1800000</v>
      </c>
      <c r="E263" s="79">
        <f>'дод 2'!F343</f>
        <v>1800000</v>
      </c>
      <c r="F263" s="79">
        <f>'дод 2'!G343</f>
        <v>0</v>
      </c>
      <c r="G263" s="79">
        <f>'дод 2'!H343</f>
        <v>0</v>
      </c>
      <c r="H263" s="79">
        <f>'дод 2'!I343</f>
        <v>0</v>
      </c>
      <c r="I263" s="79">
        <f>'дод 2'!J343</f>
        <v>532007.93999999994</v>
      </c>
      <c r="J263" s="79">
        <f>'дод 2'!K343</f>
        <v>0</v>
      </c>
      <c r="K263" s="79">
        <f>'дод 2'!L343</f>
        <v>0</v>
      </c>
      <c r="L263" s="179">
        <f t="shared" si="89"/>
        <v>29.555996666666662</v>
      </c>
      <c r="M263" s="79">
        <f>'дод 2'!N343</f>
        <v>2700000</v>
      </c>
      <c r="N263" s="79">
        <f>'дод 2'!O343</f>
        <v>2700000</v>
      </c>
      <c r="O263" s="79">
        <f>'дод 2'!P343</f>
        <v>0</v>
      </c>
      <c r="P263" s="79">
        <f>'дод 2'!Q343</f>
        <v>0</v>
      </c>
      <c r="Q263" s="79">
        <f>'дод 2'!R343</f>
        <v>0</v>
      </c>
      <c r="R263" s="79">
        <f>'дод 2'!S343</f>
        <v>2700000</v>
      </c>
      <c r="S263" s="79">
        <f>'дод 2'!T343</f>
        <v>1376268.92</v>
      </c>
      <c r="T263" s="79">
        <f>'дод 2'!U343</f>
        <v>1376268.92</v>
      </c>
      <c r="U263" s="79">
        <f>'дод 2'!V343</f>
        <v>0</v>
      </c>
      <c r="V263" s="79">
        <f>'дод 2'!W343</f>
        <v>0</v>
      </c>
      <c r="W263" s="79">
        <f>'дод 2'!X343</f>
        <v>0</v>
      </c>
      <c r="X263" s="79">
        <f>'дод 2'!Y343</f>
        <v>1376268.92</v>
      </c>
      <c r="Y263" s="179">
        <f t="shared" si="90"/>
        <v>50.972922962962961</v>
      </c>
      <c r="Z263" s="79">
        <f t="shared" si="91"/>
        <v>1908276.8599999999</v>
      </c>
      <c r="AA263" s="79">
        <f>'дод 2'!AB343</f>
        <v>4500000</v>
      </c>
      <c r="AB263" s="221"/>
    </row>
    <row r="264" spans="1:28" s="107" customFormat="1" ht="15.75" hidden="1" customHeight="1" x14ac:dyDescent="0.25">
      <c r="A264" s="45"/>
      <c r="B264" s="22"/>
      <c r="C264" s="43" t="s">
        <v>379</v>
      </c>
      <c r="D264" s="80">
        <f>'дод 2'!E344</f>
        <v>0</v>
      </c>
      <c r="E264" s="80">
        <f>'дод 2'!F344</f>
        <v>0</v>
      </c>
      <c r="F264" s="80">
        <f>'дод 2'!G344</f>
        <v>0</v>
      </c>
      <c r="G264" s="80">
        <f>'дод 2'!H344</f>
        <v>0</v>
      </c>
      <c r="H264" s="80">
        <f>'дод 2'!I344</f>
        <v>0</v>
      </c>
      <c r="I264" s="80">
        <f>'дод 2'!J344</f>
        <v>0</v>
      </c>
      <c r="J264" s="80">
        <f>'дод 2'!K344</f>
        <v>0</v>
      </c>
      <c r="K264" s="80">
        <f>'дод 2'!L344</f>
        <v>0</v>
      </c>
      <c r="L264" s="180" t="e">
        <f t="shared" si="89"/>
        <v>#DIV/0!</v>
      </c>
      <c r="M264" s="80">
        <f>'дод 2'!N344</f>
        <v>0</v>
      </c>
      <c r="N264" s="80">
        <f>'дод 2'!O344</f>
        <v>0</v>
      </c>
      <c r="O264" s="80">
        <f>'дод 2'!P344</f>
        <v>0</v>
      </c>
      <c r="P264" s="80">
        <f>'дод 2'!Q344</f>
        <v>0</v>
      </c>
      <c r="Q264" s="80">
        <f>'дод 2'!R344</f>
        <v>0</v>
      </c>
      <c r="R264" s="80">
        <f>'дод 2'!S344</f>
        <v>0</v>
      </c>
      <c r="S264" s="80">
        <f>'дод 2'!T344</f>
        <v>0</v>
      </c>
      <c r="T264" s="80">
        <f>'дод 2'!U344</f>
        <v>0</v>
      </c>
      <c r="U264" s="80">
        <f>'дод 2'!V344</f>
        <v>0</v>
      </c>
      <c r="V264" s="80">
        <f>'дод 2'!W344</f>
        <v>0</v>
      </c>
      <c r="W264" s="80">
        <f>'дод 2'!X344</f>
        <v>0</v>
      </c>
      <c r="X264" s="80">
        <f>'дод 2'!Y344</f>
        <v>0</v>
      </c>
      <c r="Y264" s="180" t="e">
        <f t="shared" si="90"/>
        <v>#DIV/0!</v>
      </c>
      <c r="Z264" s="80">
        <f t="shared" si="91"/>
        <v>0</v>
      </c>
      <c r="AA264" s="80">
        <f>'дод 2'!AB344</f>
        <v>0</v>
      </c>
      <c r="AB264" s="221"/>
    </row>
    <row r="265" spans="1:28" s="82" customFormat="1" ht="45.75" hidden="1" customHeight="1" x14ac:dyDescent="0.25">
      <c r="A265" s="45">
        <v>7383</v>
      </c>
      <c r="B265" s="22" t="s">
        <v>78</v>
      </c>
      <c r="C265" s="24" t="s">
        <v>621</v>
      </c>
      <c r="D265" s="79">
        <f>'дод 2'!E345</f>
        <v>0</v>
      </c>
      <c r="E265" s="79">
        <f>'дод 2'!F345</f>
        <v>0</v>
      </c>
      <c r="F265" s="79">
        <f>'дод 2'!G345</f>
        <v>0</v>
      </c>
      <c r="G265" s="79">
        <f>'дод 2'!H345</f>
        <v>0</v>
      </c>
      <c r="H265" s="79">
        <f>'дод 2'!I345</f>
        <v>0</v>
      </c>
      <c r="I265" s="79">
        <f>'дод 2'!J345</f>
        <v>0</v>
      </c>
      <c r="J265" s="79">
        <f>'дод 2'!K345</f>
        <v>0</v>
      </c>
      <c r="K265" s="79">
        <f>'дод 2'!L345</f>
        <v>0</v>
      </c>
      <c r="L265" s="179" t="e">
        <f t="shared" si="89"/>
        <v>#DIV/0!</v>
      </c>
      <c r="M265" s="79">
        <f>'дод 2'!N345</f>
        <v>0</v>
      </c>
      <c r="N265" s="79">
        <f>'дод 2'!O345</f>
        <v>0</v>
      </c>
      <c r="O265" s="79">
        <f>'дод 2'!P345</f>
        <v>0</v>
      </c>
      <c r="P265" s="79">
        <f>'дод 2'!Q345</f>
        <v>0</v>
      </c>
      <c r="Q265" s="79">
        <f>'дод 2'!R345</f>
        <v>0</v>
      </c>
      <c r="R265" s="79">
        <f>'дод 2'!S345</f>
        <v>0</v>
      </c>
      <c r="S265" s="79">
        <f>'дод 2'!T345</f>
        <v>0</v>
      </c>
      <c r="T265" s="79">
        <f>'дод 2'!U345</f>
        <v>0</v>
      </c>
      <c r="U265" s="79">
        <f>'дод 2'!V345</f>
        <v>0</v>
      </c>
      <c r="V265" s="79">
        <f>'дод 2'!W345</f>
        <v>0</v>
      </c>
      <c r="W265" s="79">
        <f>'дод 2'!X345</f>
        <v>0</v>
      </c>
      <c r="X265" s="79">
        <f>'дод 2'!Y345</f>
        <v>0</v>
      </c>
      <c r="Y265" s="179" t="e">
        <f t="shared" si="90"/>
        <v>#DIV/0!</v>
      </c>
      <c r="Z265" s="79">
        <f t="shared" si="91"/>
        <v>0</v>
      </c>
      <c r="AA265" s="79">
        <f>'дод 2'!AB345</f>
        <v>0</v>
      </c>
      <c r="AB265" s="221"/>
    </row>
    <row r="266" spans="1:28" s="82" customFormat="1" ht="48" hidden="1" customHeight="1" x14ac:dyDescent="0.25">
      <c r="A266" s="45"/>
      <c r="B266" s="22"/>
      <c r="C266" s="29" t="s">
        <v>622</v>
      </c>
      <c r="D266" s="80">
        <f>'дод 2'!E346</f>
        <v>0</v>
      </c>
      <c r="E266" s="80">
        <f>'дод 2'!F346</f>
        <v>0</v>
      </c>
      <c r="F266" s="80">
        <f>'дод 2'!G346</f>
        <v>0</v>
      </c>
      <c r="G266" s="80">
        <f>'дод 2'!H346</f>
        <v>0</v>
      </c>
      <c r="H266" s="80">
        <f>'дод 2'!I346</f>
        <v>0</v>
      </c>
      <c r="I266" s="80">
        <f>'дод 2'!J346</f>
        <v>0</v>
      </c>
      <c r="J266" s="80">
        <f>'дод 2'!K346</f>
        <v>0</v>
      </c>
      <c r="K266" s="80">
        <f>'дод 2'!L346</f>
        <v>0</v>
      </c>
      <c r="L266" s="180" t="e">
        <f t="shared" si="89"/>
        <v>#DIV/0!</v>
      </c>
      <c r="M266" s="80">
        <f>'дод 2'!N346</f>
        <v>0</v>
      </c>
      <c r="N266" s="80">
        <f>'дод 2'!O346</f>
        <v>0</v>
      </c>
      <c r="O266" s="80">
        <f>'дод 2'!P346</f>
        <v>0</v>
      </c>
      <c r="P266" s="80">
        <f>'дод 2'!Q346</f>
        <v>0</v>
      </c>
      <c r="Q266" s="80">
        <f>'дод 2'!R346</f>
        <v>0</v>
      </c>
      <c r="R266" s="80">
        <f>'дод 2'!S346</f>
        <v>0</v>
      </c>
      <c r="S266" s="80">
        <f>'дод 2'!T346</f>
        <v>0</v>
      </c>
      <c r="T266" s="80">
        <f>'дод 2'!U346</f>
        <v>0</v>
      </c>
      <c r="U266" s="80">
        <f>'дод 2'!V346</f>
        <v>0</v>
      </c>
      <c r="V266" s="80">
        <f>'дод 2'!W346</f>
        <v>0</v>
      </c>
      <c r="W266" s="80">
        <f>'дод 2'!X346</f>
        <v>0</v>
      </c>
      <c r="X266" s="80">
        <f>'дод 2'!Y346</f>
        <v>0</v>
      </c>
      <c r="Y266" s="180" t="e">
        <f t="shared" si="90"/>
        <v>#DIV/0!</v>
      </c>
      <c r="Z266" s="80">
        <f t="shared" si="91"/>
        <v>0</v>
      </c>
      <c r="AA266" s="80">
        <f>'дод 2'!AB346</f>
        <v>0</v>
      </c>
      <c r="AB266" s="221"/>
    </row>
    <row r="267" spans="1:28" s="82" customFormat="1" ht="75.400000000000006" customHeight="1" x14ac:dyDescent="0.25">
      <c r="A267" s="45">
        <v>7384</v>
      </c>
      <c r="B267" s="22" t="s">
        <v>78</v>
      </c>
      <c r="C267" s="33" t="s">
        <v>656</v>
      </c>
      <c r="D267" s="80">
        <f>'дод 2'!E350+'дод 2'!E161</f>
        <v>0</v>
      </c>
      <c r="E267" s="80">
        <f>'дод 2'!F350+'дод 2'!F161</f>
        <v>0</v>
      </c>
      <c r="F267" s="80">
        <f>'дод 2'!G350+'дод 2'!G161</f>
        <v>0</v>
      </c>
      <c r="G267" s="80">
        <f>'дод 2'!H350+'дод 2'!H161</f>
        <v>0</v>
      </c>
      <c r="H267" s="80">
        <f>'дод 2'!I350+'дод 2'!I161</f>
        <v>0</v>
      </c>
      <c r="I267" s="80">
        <f>'дод 2'!J350+'дод 2'!J161</f>
        <v>0</v>
      </c>
      <c r="J267" s="80">
        <f>'дод 2'!K350+'дод 2'!K161</f>
        <v>0</v>
      </c>
      <c r="K267" s="80">
        <f>'дод 2'!L350+'дод 2'!L161</f>
        <v>0</v>
      </c>
      <c r="L267" s="180"/>
      <c r="M267" s="80">
        <f>'дод 2'!N350+'дод 2'!N161</f>
        <v>67150626.659999996</v>
      </c>
      <c r="N267" s="80">
        <f>'дод 2'!O350+'дод 2'!O161</f>
        <v>0</v>
      </c>
      <c r="O267" s="80">
        <f>'дод 2'!P350+'дод 2'!P161</f>
        <v>0</v>
      </c>
      <c r="P267" s="80">
        <f>'дод 2'!Q350+'дод 2'!Q161</f>
        <v>0</v>
      </c>
      <c r="Q267" s="80">
        <f>'дод 2'!R350+'дод 2'!R161</f>
        <v>0</v>
      </c>
      <c r="R267" s="80">
        <f>'дод 2'!S350+'дод 2'!S161</f>
        <v>67150626.659999996</v>
      </c>
      <c r="S267" s="80">
        <f>'дод 2'!T350+'дод 2'!T161</f>
        <v>60586556.759999998</v>
      </c>
      <c r="T267" s="80">
        <f>'дод 2'!U350+'дод 2'!U161</f>
        <v>0</v>
      </c>
      <c r="U267" s="80">
        <f>'дод 2'!V350+'дод 2'!V161</f>
        <v>0</v>
      </c>
      <c r="V267" s="80">
        <f>'дод 2'!W350+'дод 2'!W161</f>
        <v>0</v>
      </c>
      <c r="W267" s="80">
        <f>'дод 2'!X350+'дод 2'!X161</f>
        <v>0</v>
      </c>
      <c r="X267" s="80">
        <f>'дод 2'!Y350+'дод 2'!Y161</f>
        <v>60586556.759999998</v>
      </c>
      <c r="Y267" s="180">
        <f t="shared" si="90"/>
        <v>90.224856823398696</v>
      </c>
      <c r="Z267" s="80">
        <f t="shared" si="91"/>
        <v>60586556.759999998</v>
      </c>
      <c r="AA267" s="80">
        <f>'дод 2'!AB350+'дод 2'!AB161</f>
        <v>67150626.659999996</v>
      </c>
      <c r="AB267" s="221"/>
    </row>
    <row r="268" spans="1:28" s="82" customFormat="1" ht="102.75" customHeight="1" x14ac:dyDescent="0.25">
      <c r="A268" s="45"/>
      <c r="B268" s="22"/>
      <c r="C268" s="44" t="s">
        <v>660</v>
      </c>
      <c r="D268" s="80">
        <f>'дод 2'!E351+'дод 2'!E162</f>
        <v>0</v>
      </c>
      <c r="E268" s="80">
        <f>'дод 2'!F351+'дод 2'!F162</f>
        <v>0</v>
      </c>
      <c r="F268" s="80">
        <f>'дод 2'!G351+'дод 2'!G162</f>
        <v>0</v>
      </c>
      <c r="G268" s="80">
        <f>'дод 2'!H351+'дод 2'!H162</f>
        <v>0</v>
      </c>
      <c r="H268" s="80">
        <f>'дод 2'!I351+'дод 2'!I162</f>
        <v>0</v>
      </c>
      <c r="I268" s="80">
        <f>'дод 2'!J351+'дод 2'!J162</f>
        <v>0</v>
      </c>
      <c r="J268" s="80">
        <f>'дод 2'!K351+'дод 2'!K162</f>
        <v>0</v>
      </c>
      <c r="K268" s="80">
        <f>'дод 2'!L351+'дод 2'!L162</f>
        <v>0</v>
      </c>
      <c r="L268" s="180"/>
      <c r="M268" s="80">
        <f>'дод 2'!N351+'дод 2'!N162</f>
        <v>67150626.659999996</v>
      </c>
      <c r="N268" s="80">
        <f>'дод 2'!O351+'дод 2'!O162</f>
        <v>0</v>
      </c>
      <c r="O268" s="80">
        <f>'дод 2'!P351+'дод 2'!P162</f>
        <v>0</v>
      </c>
      <c r="P268" s="80">
        <f>'дод 2'!Q351+'дод 2'!Q162</f>
        <v>0</v>
      </c>
      <c r="Q268" s="80">
        <f>'дод 2'!R351+'дод 2'!R162</f>
        <v>0</v>
      </c>
      <c r="R268" s="80">
        <f>'дод 2'!S351+'дод 2'!S162</f>
        <v>67150626.659999996</v>
      </c>
      <c r="S268" s="80">
        <f>'дод 2'!T351+'дод 2'!T162</f>
        <v>60586556.759999998</v>
      </c>
      <c r="T268" s="80">
        <f>'дод 2'!U351+'дод 2'!U162</f>
        <v>0</v>
      </c>
      <c r="U268" s="80">
        <f>'дод 2'!V351+'дод 2'!V162</f>
        <v>0</v>
      </c>
      <c r="V268" s="80">
        <f>'дод 2'!W351+'дод 2'!W162</f>
        <v>0</v>
      </c>
      <c r="W268" s="80">
        <f>'дод 2'!X351+'дод 2'!X162</f>
        <v>0</v>
      </c>
      <c r="X268" s="80">
        <f>'дод 2'!Y351+'дод 2'!Y162</f>
        <v>60586556.759999998</v>
      </c>
      <c r="Y268" s="180">
        <f t="shared" si="90"/>
        <v>90.224856823398696</v>
      </c>
      <c r="Z268" s="80">
        <f t="shared" si="91"/>
        <v>60586556.759999998</v>
      </c>
      <c r="AA268" s="80">
        <f>'дод 2'!AB351+'дод 2'!AB162</f>
        <v>67150626.659999996</v>
      </c>
      <c r="AB268" s="221"/>
    </row>
    <row r="269" spans="1:28" s="73" customFormat="1" ht="34.5" customHeight="1" x14ac:dyDescent="0.25">
      <c r="A269" s="83" t="s">
        <v>81</v>
      </c>
      <c r="B269" s="87"/>
      <c r="C269" s="88" t="s">
        <v>543</v>
      </c>
      <c r="D269" s="77">
        <f>D273+D274+D275+D276+D278+D280+D279</f>
        <v>90660000</v>
      </c>
      <c r="E269" s="77">
        <f t="shared" ref="E269:X269" si="125">E273+E274+E275+E276+E278+E280+E279</f>
        <v>0</v>
      </c>
      <c r="F269" s="77">
        <f t="shared" si="125"/>
        <v>0</v>
      </c>
      <c r="G269" s="77">
        <f t="shared" si="125"/>
        <v>0</v>
      </c>
      <c r="H269" s="77">
        <f t="shared" si="125"/>
        <v>90660000</v>
      </c>
      <c r="I269" s="77">
        <f t="shared" si="125"/>
        <v>90636812</v>
      </c>
      <c r="J269" s="77">
        <f t="shared" si="125"/>
        <v>0</v>
      </c>
      <c r="K269" s="77">
        <f t="shared" si="125"/>
        <v>0</v>
      </c>
      <c r="L269" s="136">
        <f t="shared" si="89"/>
        <v>99.974423119347009</v>
      </c>
      <c r="M269" s="77">
        <f t="shared" si="125"/>
        <v>0</v>
      </c>
      <c r="N269" s="77">
        <f t="shared" si="125"/>
        <v>0</v>
      </c>
      <c r="O269" s="77">
        <f t="shared" si="125"/>
        <v>0</v>
      </c>
      <c r="P269" s="77">
        <f t="shared" si="125"/>
        <v>0</v>
      </c>
      <c r="Q269" s="77">
        <f t="shared" si="125"/>
        <v>0</v>
      </c>
      <c r="R269" s="77">
        <f t="shared" si="125"/>
        <v>0</v>
      </c>
      <c r="S269" s="77">
        <f t="shared" si="125"/>
        <v>0</v>
      </c>
      <c r="T269" s="77">
        <f t="shared" si="125"/>
        <v>0</v>
      </c>
      <c r="U269" s="77">
        <f t="shared" si="125"/>
        <v>0</v>
      </c>
      <c r="V269" s="77">
        <f t="shared" si="125"/>
        <v>0</v>
      </c>
      <c r="W269" s="77">
        <f t="shared" si="125"/>
        <v>0</v>
      </c>
      <c r="X269" s="77">
        <f t="shared" si="125"/>
        <v>0</v>
      </c>
      <c r="Y269" s="136"/>
      <c r="Z269" s="77">
        <f t="shared" si="91"/>
        <v>90636812</v>
      </c>
      <c r="AA269" s="77">
        <f>AA273+AA274+AA275+AA276+AA278+AA280+AA279</f>
        <v>90660000</v>
      </c>
      <c r="AB269" s="221"/>
    </row>
    <row r="270" spans="1:28" s="85" customFormat="1" ht="97.5" hidden="1" customHeight="1" x14ac:dyDescent="0.25">
      <c r="A270" s="84"/>
      <c r="B270" s="89"/>
      <c r="C270" s="54" t="s">
        <v>381</v>
      </c>
      <c r="D270" s="78">
        <f t="shared" ref="D270:AA270" si="126">D281</f>
        <v>0</v>
      </c>
      <c r="E270" s="78">
        <f t="shared" ref="E270:X270" si="127">E281</f>
        <v>0</v>
      </c>
      <c r="F270" s="78">
        <f t="shared" si="127"/>
        <v>0</v>
      </c>
      <c r="G270" s="78">
        <f t="shared" si="127"/>
        <v>0</v>
      </c>
      <c r="H270" s="78">
        <f t="shared" si="127"/>
        <v>0</v>
      </c>
      <c r="I270" s="78">
        <f t="shared" si="127"/>
        <v>0</v>
      </c>
      <c r="J270" s="78">
        <f t="shared" si="127"/>
        <v>0</v>
      </c>
      <c r="K270" s="78">
        <f t="shared" si="127"/>
        <v>0</v>
      </c>
      <c r="L270" s="178" t="e">
        <f t="shared" si="89"/>
        <v>#DIV/0!</v>
      </c>
      <c r="M270" s="78">
        <f t="shared" si="127"/>
        <v>0</v>
      </c>
      <c r="N270" s="78">
        <f t="shared" si="127"/>
        <v>0</v>
      </c>
      <c r="O270" s="78">
        <f t="shared" si="127"/>
        <v>0</v>
      </c>
      <c r="P270" s="78">
        <f t="shared" si="127"/>
        <v>0</v>
      </c>
      <c r="Q270" s="78">
        <f t="shared" si="127"/>
        <v>0</v>
      </c>
      <c r="R270" s="78">
        <f t="shared" si="127"/>
        <v>0</v>
      </c>
      <c r="S270" s="78">
        <f t="shared" si="127"/>
        <v>0</v>
      </c>
      <c r="T270" s="78">
        <f t="shared" si="127"/>
        <v>0</v>
      </c>
      <c r="U270" s="78">
        <f t="shared" si="127"/>
        <v>0</v>
      </c>
      <c r="V270" s="78">
        <f t="shared" si="127"/>
        <v>0</v>
      </c>
      <c r="W270" s="78">
        <f t="shared" si="127"/>
        <v>0</v>
      </c>
      <c r="X270" s="78">
        <f t="shared" si="127"/>
        <v>0</v>
      </c>
      <c r="Y270" s="178"/>
      <c r="Z270" s="78">
        <f t="shared" si="91"/>
        <v>0</v>
      </c>
      <c r="AA270" s="78">
        <f t="shared" si="126"/>
        <v>0</v>
      </c>
      <c r="AB270" s="221"/>
    </row>
    <row r="271" spans="1:28" s="85" customFormat="1" ht="65.25" hidden="1" customHeight="1" x14ac:dyDescent="0.25">
      <c r="A271" s="84"/>
      <c r="B271" s="89"/>
      <c r="C271" s="54" t="s">
        <v>418</v>
      </c>
      <c r="D271" s="78" t="e">
        <f>#REF!</f>
        <v>#REF!</v>
      </c>
      <c r="E271" s="78" t="e">
        <f>#REF!</f>
        <v>#REF!</v>
      </c>
      <c r="F271" s="78" t="e">
        <f>#REF!</f>
        <v>#REF!</v>
      </c>
      <c r="G271" s="78" t="e">
        <f>#REF!</f>
        <v>#REF!</v>
      </c>
      <c r="H271" s="78" t="e">
        <f>#REF!</f>
        <v>#REF!</v>
      </c>
      <c r="I271" s="78" t="e">
        <f>#REF!</f>
        <v>#REF!</v>
      </c>
      <c r="J271" s="78" t="e">
        <f>#REF!</f>
        <v>#REF!</v>
      </c>
      <c r="K271" s="78" t="e">
        <f>#REF!</f>
        <v>#REF!</v>
      </c>
      <c r="L271" s="178" t="e">
        <f t="shared" si="89"/>
        <v>#REF!</v>
      </c>
      <c r="M271" s="78" t="e">
        <f>#REF!</f>
        <v>#REF!</v>
      </c>
      <c r="N271" s="78" t="e">
        <f>#REF!</f>
        <v>#REF!</v>
      </c>
      <c r="O271" s="78" t="e">
        <f>#REF!</f>
        <v>#REF!</v>
      </c>
      <c r="P271" s="78" t="e">
        <f>#REF!</f>
        <v>#REF!</v>
      </c>
      <c r="Q271" s="78" t="e">
        <f>#REF!</f>
        <v>#REF!</v>
      </c>
      <c r="R271" s="78" t="e">
        <f>#REF!</f>
        <v>#REF!</v>
      </c>
      <c r="S271" s="78" t="e">
        <f>#REF!</f>
        <v>#REF!</v>
      </c>
      <c r="T271" s="78" t="e">
        <f>#REF!</f>
        <v>#REF!</v>
      </c>
      <c r="U271" s="78" t="e">
        <f>#REF!</f>
        <v>#REF!</v>
      </c>
      <c r="V271" s="78" t="e">
        <f>#REF!</f>
        <v>#REF!</v>
      </c>
      <c r="W271" s="78" t="e">
        <f>#REF!</f>
        <v>#REF!</v>
      </c>
      <c r="X271" s="78" t="e">
        <f>#REF!</f>
        <v>#REF!</v>
      </c>
      <c r="Y271" s="178"/>
      <c r="Z271" s="78" t="e">
        <f t="shared" si="91"/>
        <v>#REF!</v>
      </c>
      <c r="AA271" s="78" t="e">
        <f>#REF!</f>
        <v>#REF!</v>
      </c>
      <c r="AB271" s="221"/>
    </row>
    <row r="272" spans="1:28" s="85" customFormat="1" ht="15.75" hidden="1" customHeight="1" x14ac:dyDescent="0.25">
      <c r="A272" s="84"/>
      <c r="B272" s="89"/>
      <c r="C272" s="19" t="s">
        <v>379</v>
      </c>
      <c r="D272" s="78" t="e">
        <f>#REF!</f>
        <v>#REF!</v>
      </c>
      <c r="E272" s="78" t="e">
        <f>#REF!</f>
        <v>#REF!</v>
      </c>
      <c r="F272" s="78" t="e">
        <f>#REF!</f>
        <v>#REF!</v>
      </c>
      <c r="G272" s="78" t="e">
        <f>#REF!</f>
        <v>#REF!</v>
      </c>
      <c r="H272" s="78" t="e">
        <f>#REF!</f>
        <v>#REF!</v>
      </c>
      <c r="I272" s="78" t="e">
        <f>#REF!</f>
        <v>#REF!</v>
      </c>
      <c r="J272" s="78" t="e">
        <f>#REF!</f>
        <v>#REF!</v>
      </c>
      <c r="K272" s="78" t="e">
        <f>#REF!</f>
        <v>#REF!</v>
      </c>
      <c r="L272" s="178" t="e">
        <f t="shared" si="89"/>
        <v>#REF!</v>
      </c>
      <c r="M272" s="78" t="e">
        <f>#REF!</f>
        <v>#REF!</v>
      </c>
      <c r="N272" s="78" t="e">
        <f>#REF!</f>
        <v>#REF!</v>
      </c>
      <c r="O272" s="78" t="e">
        <f>#REF!</f>
        <v>#REF!</v>
      </c>
      <c r="P272" s="78" t="e">
        <f>#REF!</f>
        <v>#REF!</v>
      </c>
      <c r="Q272" s="78" t="e">
        <f>#REF!</f>
        <v>#REF!</v>
      </c>
      <c r="R272" s="78" t="e">
        <f>#REF!</f>
        <v>#REF!</v>
      </c>
      <c r="S272" s="78" t="e">
        <f>#REF!</f>
        <v>#REF!</v>
      </c>
      <c r="T272" s="78" t="e">
        <f>#REF!</f>
        <v>#REF!</v>
      </c>
      <c r="U272" s="78" t="e">
        <f>#REF!</f>
        <v>#REF!</v>
      </c>
      <c r="V272" s="78" t="e">
        <f>#REF!</f>
        <v>#REF!</v>
      </c>
      <c r="W272" s="78" t="e">
        <f>#REF!</f>
        <v>#REF!</v>
      </c>
      <c r="X272" s="78" t="e">
        <f>#REF!</f>
        <v>#REF!</v>
      </c>
      <c r="Y272" s="178"/>
      <c r="Z272" s="78" t="e">
        <f t="shared" si="91"/>
        <v>#REF!</v>
      </c>
      <c r="AA272" s="78" t="e">
        <f>#REF!</f>
        <v>#REF!</v>
      </c>
      <c r="AB272" s="221"/>
    </row>
    <row r="273" spans="1:28" s="82" customFormat="1" ht="21.4" customHeight="1" x14ac:dyDescent="0.25">
      <c r="A273" s="45" t="s">
        <v>3</v>
      </c>
      <c r="B273" s="45" t="s">
        <v>80</v>
      </c>
      <c r="C273" s="33" t="s">
        <v>35</v>
      </c>
      <c r="D273" s="79">
        <f>'дод 2'!E52+'дод 2'!E352</f>
        <v>27900000</v>
      </c>
      <c r="E273" s="79">
        <f>'дод 2'!F52+'дод 2'!F352</f>
        <v>0</v>
      </c>
      <c r="F273" s="79">
        <f>'дод 2'!G52+'дод 2'!G352</f>
        <v>0</v>
      </c>
      <c r="G273" s="79">
        <f>'дод 2'!H52+'дод 2'!H352</f>
        <v>0</v>
      </c>
      <c r="H273" s="79">
        <f>'дод 2'!I52+'дод 2'!I352</f>
        <v>27900000</v>
      </c>
      <c r="I273" s="79">
        <f>'дод 2'!J52+'дод 2'!J352</f>
        <v>27876812</v>
      </c>
      <c r="J273" s="79">
        <f>'дод 2'!K52+'дод 2'!K352</f>
        <v>0</v>
      </c>
      <c r="K273" s="79">
        <f>'дод 2'!L52+'дод 2'!L352</f>
        <v>0</v>
      </c>
      <c r="L273" s="179">
        <f t="shared" si="89"/>
        <v>99.916888888888892</v>
      </c>
      <c r="M273" s="79">
        <f>'дод 2'!N52+'дод 2'!N352</f>
        <v>0</v>
      </c>
      <c r="N273" s="79">
        <f>'дод 2'!O52+'дод 2'!O352</f>
        <v>0</v>
      </c>
      <c r="O273" s="79">
        <f>'дод 2'!P52+'дод 2'!P352</f>
        <v>0</v>
      </c>
      <c r="P273" s="79">
        <f>'дод 2'!Q52+'дод 2'!Q352</f>
        <v>0</v>
      </c>
      <c r="Q273" s="79">
        <f>'дод 2'!R52+'дод 2'!R352</f>
        <v>0</v>
      </c>
      <c r="R273" s="79">
        <f>'дод 2'!S52+'дод 2'!S352</f>
        <v>0</v>
      </c>
      <c r="S273" s="79">
        <f>'дод 2'!T52+'дод 2'!T352</f>
        <v>0</v>
      </c>
      <c r="T273" s="79">
        <f>'дод 2'!U52+'дод 2'!U352</f>
        <v>0</v>
      </c>
      <c r="U273" s="79">
        <f>'дод 2'!V52+'дод 2'!V352</f>
        <v>0</v>
      </c>
      <c r="V273" s="79">
        <f>'дод 2'!W52+'дод 2'!W352</f>
        <v>0</v>
      </c>
      <c r="W273" s="79">
        <f>'дод 2'!X52+'дод 2'!X352</f>
        <v>0</v>
      </c>
      <c r="X273" s="79">
        <f>'дод 2'!Y52+'дод 2'!Y352</f>
        <v>0</v>
      </c>
      <c r="Y273" s="179"/>
      <c r="Z273" s="79">
        <f t="shared" si="91"/>
        <v>27876812</v>
      </c>
      <c r="AA273" s="79">
        <f>'дод 2'!AB52+'дод 2'!AB352</f>
        <v>27900000</v>
      </c>
      <c r="AB273" s="221"/>
    </row>
    <row r="274" spans="1:28" s="82" customFormat="1" ht="20.25" hidden="1" customHeight="1" x14ac:dyDescent="0.25">
      <c r="A274" s="45">
        <v>7413</v>
      </c>
      <c r="B274" s="45" t="s">
        <v>80</v>
      </c>
      <c r="C274" s="33" t="s">
        <v>361</v>
      </c>
      <c r="D274" s="79">
        <f>'дод 2'!E53</f>
        <v>0</v>
      </c>
      <c r="E274" s="79">
        <f>'дод 2'!F53</f>
        <v>0</v>
      </c>
      <c r="F274" s="79">
        <f>'дод 2'!G53</f>
        <v>0</v>
      </c>
      <c r="G274" s="79">
        <f>'дод 2'!H53</f>
        <v>0</v>
      </c>
      <c r="H274" s="79">
        <f>'дод 2'!I53</f>
        <v>0</v>
      </c>
      <c r="I274" s="79">
        <f>'дод 2'!J53</f>
        <v>0</v>
      </c>
      <c r="J274" s="79">
        <f>'дод 2'!K53</f>
        <v>0</v>
      </c>
      <c r="K274" s="79">
        <f>'дод 2'!L53</f>
        <v>0</v>
      </c>
      <c r="L274" s="179" t="e">
        <f t="shared" si="89"/>
        <v>#DIV/0!</v>
      </c>
      <c r="M274" s="79">
        <f>'дод 2'!N53</f>
        <v>0</v>
      </c>
      <c r="N274" s="79">
        <f>'дод 2'!O53</f>
        <v>0</v>
      </c>
      <c r="O274" s="79">
        <f>'дод 2'!P53</f>
        <v>0</v>
      </c>
      <c r="P274" s="79">
        <f>'дод 2'!Q53</f>
        <v>0</v>
      </c>
      <c r="Q274" s="79">
        <f>'дод 2'!R53</f>
        <v>0</v>
      </c>
      <c r="R274" s="79">
        <f>'дод 2'!S53</f>
        <v>0</v>
      </c>
      <c r="S274" s="79">
        <f>'дод 2'!T53</f>
        <v>0</v>
      </c>
      <c r="T274" s="79">
        <f>'дод 2'!U53</f>
        <v>0</v>
      </c>
      <c r="U274" s="79">
        <f>'дод 2'!V53</f>
        <v>0</v>
      </c>
      <c r="V274" s="79">
        <f>'дод 2'!W53</f>
        <v>0</v>
      </c>
      <c r="W274" s="79">
        <f>'дод 2'!X53</f>
        <v>0</v>
      </c>
      <c r="X274" s="79">
        <f>'дод 2'!Y53</f>
        <v>0</v>
      </c>
      <c r="Y274" s="179" t="e">
        <f t="shared" si="90"/>
        <v>#DIV/0!</v>
      </c>
      <c r="Z274" s="79">
        <f t="shared" si="91"/>
        <v>0</v>
      </c>
      <c r="AA274" s="79">
        <f>'дод 2'!AB53</f>
        <v>0</v>
      </c>
      <c r="AB274" s="221"/>
    </row>
    <row r="275" spans="1:28" s="82" customFormat="1" ht="36" customHeight="1" x14ac:dyDescent="0.25">
      <c r="A275" s="23">
        <v>7422</v>
      </c>
      <c r="B275" s="22" t="s">
        <v>393</v>
      </c>
      <c r="C275" s="36" t="s">
        <v>509</v>
      </c>
      <c r="D275" s="79">
        <f>'дод 2'!E54+'дод 2'!E353</f>
        <v>62760000</v>
      </c>
      <c r="E275" s="79">
        <f>'дод 2'!F54+'дод 2'!F353</f>
        <v>0</v>
      </c>
      <c r="F275" s="79">
        <f>'дод 2'!G54+'дод 2'!G353</f>
        <v>0</v>
      </c>
      <c r="G275" s="79">
        <f>'дод 2'!H54+'дод 2'!H353</f>
        <v>0</v>
      </c>
      <c r="H275" s="79">
        <f>'дод 2'!I54+'дод 2'!I353</f>
        <v>62760000</v>
      </c>
      <c r="I275" s="79">
        <f>'дод 2'!J54+'дод 2'!J353</f>
        <v>62760000</v>
      </c>
      <c r="J275" s="79">
        <f>'дод 2'!K54+'дод 2'!K353</f>
        <v>0</v>
      </c>
      <c r="K275" s="79">
        <f>'дод 2'!L54+'дод 2'!L353</f>
        <v>0</v>
      </c>
      <c r="L275" s="179">
        <f t="shared" si="89"/>
        <v>100</v>
      </c>
      <c r="M275" s="79">
        <f>'дод 2'!N54+'дод 2'!N353</f>
        <v>0</v>
      </c>
      <c r="N275" s="79">
        <f>'дод 2'!O54+'дод 2'!O353</f>
        <v>0</v>
      </c>
      <c r="O275" s="79">
        <f>'дод 2'!P54+'дод 2'!P353</f>
        <v>0</v>
      </c>
      <c r="P275" s="79">
        <f>'дод 2'!Q54+'дод 2'!Q353</f>
        <v>0</v>
      </c>
      <c r="Q275" s="79">
        <f>'дод 2'!R54+'дод 2'!R353</f>
        <v>0</v>
      </c>
      <c r="R275" s="79">
        <f>'дод 2'!S54+'дод 2'!S353</f>
        <v>0</v>
      </c>
      <c r="S275" s="79">
        <f>'дод 2'!T54+'дод 2'!T353</f>
        <v>0</v>
      </c>
      <c r="T275" s="79">
        <f>'дод 2'!U54+'дод 2'!U353</f>
        <v>0</v>
      </c>
      <c r="U275" s="79">
        <f>'дод 2'!V54+'дод 2'!V353</f>
        <v>0</v>
      </c>
      <c r="V275" s="79">
        <f>'дод 2'!W54+'дод 2'!W353</f>
        <v>0</v>
      </c>
      <c r="W275" s="79">
        <f>'дод 2'!X54+'дод 2'!X353</f>
        <v>0</v>
      </c>
      <c r="X275" s="79">
        <f>'дод 2'!Y54+'дод 2'!Y353</f>
        <v>0</v>
      </c>
      <c r="Y275" s="179"/>
      <c r="Z275" s="79">
        <f t="shared" si="91"/>
        <v>62760000</v>
      </c>
      <c r="AA275" s="79">
        <f>'дод 2'!AB54+'дод 2'!AB353</f>
        <v>62760000</v>
      </c>
      <c r="AB275" s="221"/>
    </row>
    <row r="276" spans="1:28" s="82" customFormat="1" ht="24" hidden="1" customHeight="1" x14ac:dyDescent="0.25">
      <c r="A276" s="45">
        <v>7426</v>
      </c>
      <c r="B276" s="34" t="s">
        <v>393</v>
      </c>
      <c r="C276" s="33" t="s">
        <v>362</v>
      </c>
      <c r="D276" s="79">
        <f>'дод 2'!E55</f>
        <v>0</v>
      </c>
      <c r="E276" s="79">
        <f>'дод 2'!F55</f>
        <v>0</v>
      </c>
      <c r="F276" s="79">
        <f>'дод 2'!G55</f>
        <v>0</v>
      </c>
      <c r="G276" s="79">
        <f>'дод 2'!H55</f>
        <v>0</v>
      </c>
      <c r="H276" s="79">
        <f>'дод 2'!I55</f>
        <v>0</v>
      </c>
      <c r="I276" s="79">
        <f>'дод 2'!J55</f>
        <v>0</v>
      </c>
      <c r="J276" s="79">
        <f>'дод 2'!K55</f>
        <v>0</v>
      </c>
      <c r="K276" s="79">
        <f>'дод 2'!L55</f>
        <v>0</v>
      </c>
      <c r="L276" s="179" t="e">
        <f t="shared" ref="L276:L339" si="128">I276/D276*100</f>
        <v>#DIV/0!</v>
      </c>
      <c r="M276" s="79">
        <f>'дод 2'!N55</f>
        <v>0</v>
      </c>
      <c r="N276" s="79">
        <f>'дод 2'!O55</f>
        <v>0</v>
      </c>
      <c r="O276" s="79">
        <f>'дод 2'!P55</f>
        <v>0</v>
      </c>
      <c r="P276" s="79">
        <f>'дод 2'!Q55</f>
        <v>0</v>
      </c>
      <c r="Q276" s="79">
        <f>'дод 2'!R55</f>
        <v>0</v>
      </c>
      <c r="R276" s="79">
        <f>'дод 2'!S55</f>
        <v>0</v>
      </c>
      <c r="S276" s="79">
        <f>'дод 2'!T55</f>
        <v>0</v>
      </c>
      <c r="T276" s="79">
        <f>'дод 2'!U55</f>
        <v>0</v>
      </c>
      <c r="U276" s="79">
        <f>'дод 2'!V55</f>
        <v>0</v>
      </c>
      <c r="V276" s="79">
        <f>'дод 2'!W55</f>
        <v>0</v>
      </c>
      <c r="W276" s="79">
        <f>'дод 2'!X55</f>
        <v>0</v>
      </c>
      <c r="X276" s="79">
        <f>'дод 2'!Y55</f>
        <v>0</v>
      </c>
      <c r="Y276" s="179" t="e">
        <f t="shared" ref="Y276:Y339" si="129">S276/M276*100</f>
        <v>#DIV/0!</v>
      </c>
      <c r="Z276" s="79">
        <f t="shared" ref="Z276:Z339" si="130">S276+I276</f>
        <v>0</v>
      </c>
      <c r="AA276" s="79">
        <f>'дод 2'!AB55</f>
        <v>0</v>
      </c>
      <c r="AB276" s="221"/>
    </row>
    <row r="277" spans="1:28" s="82" customFormat="1" ht="63" hidden="1" customHeight="1" x14ac:dyDescent="0.25">
      <c r="A277" s="81"/>
      <c r="B277" s="81"/>
      <c r="C277" s="48" t="s">
        <v>418</v>
      </c>
      <c r="D277" s="80">
        <f>'дод 2'!E339</f>
        <v>0</v>
      </c>
      <c r="E277" s="80">
        <f>'дод 2'!F339</f>
        <v>0</v>
      </c>
      <c r="F277" s="80">
        <f>'дод 2'!G339</f>
        <v>0</v>
      </c>
      <c r="G277" s="80">
        <f>'дод 2'!H339</f>
        <v>0</v>
      </c>
      <c r="H277" s="80">
        <f>'дод 2'!I339</f>
        <v>0</v>
      </c>
      <c r="I277" s="80">
        <f>'дод 2'!J339</f>
        <v>0</v>
      </c>
      <c r="J277" s="80">
        <f>'дод 2'!K339</f>
        <v>0</v>
      </c>
      <c r="K277" s="80">
        <f>'дод 2'!L339</f>
        <v>0</v>
      </c>
      <c r="L277" s="180" t="e">
        <f t="shared" si="128"/>
        <v>#DIV/0!</v>
      </c>
      <c r="M277" s="80">
        <f>'дод 2'!N339</f>
        <v>0</v>
      </c>
      <c r="N277" s="80">
        <f>'дод 2'!O339</f>
        <v>0</v>
      </c>
      <c r="O277" s="80">
        <f>'дод 2'!P339</f>
        <v>0</v>
      </c>
      <c r="P277" s="80">
        <f>'дод 2'!Q339</f>
        <v>0</v>
      </c>
      <c r="Q277" s="80">
        <f>'дод 2'!R339</f>
        <v>0</v>
      </c>
      <c r="R277" s="80">
        <f>'дод 2'!S339</f>
        <v>0</v>
      </c>
      <c r="S277" s="80">
        <f>'дод 2'!T339</f>
        <v>0</v>
      </c>
      <c r="T277" s="80">
        <f>'дод 2'!U339</f>
        <v>0</v>
      </c>
      <c r="U277" s="80">
        <f>'дод 2'!V339</f>
        <v>0</v>
      </c>
      <c r="V277" s="80">
        <f>'дод 2'!W339</f>
        <v>0</v>
      </c>
      <c r="W277" s="80">
        <f>'дод 2'!X339</f>
        <v>0</v>
      </c>
      <c r="X277" s="80">
        <f>'дод 2'!Y339</f>
        <v>0</v>
      </c>
      <c r="Y277" s="180" t="e">
        <f t="shared" si="129"/>
        <v>#DIV/0!</v>
      </c>
      <c r="Z277" s="80">
        <f t="shared" si="130"/>
        <v>0</v>
      </c>
      <c r="AA277" s="80">
        <f>'дод 2'!AB339</f>
        <v>0</v>
      </c>
      <c r="AB277" s="221"/>
    </row>
    <row r="278" spans="1:28" s="82" customFormat="1" ht="18" hidden="1" customHeight="1" x14ac:dyDescent="0.25">
      <c r="A278" s="34" t="s">
        <v>425</v>
      </c>
      <c r="B278" s="34" t="s">
        <v>384</v>
      </c>
      <c r="C278" s="33" t="s">
        <v>431</v>
      </c>
      <c r="D278" s="79">
        <f>'дод 2'!E56</f>
        <v>0</v>
      </c>
      <c r="E278" s="79">
        <f>'дод 2'!F56</f>
        <v>0</v>
      </c>
      <c r="F278" s="79">
        <f>'дод 2'!G56</f>
        <v>0</v>
      </c>
      <c r="G278" s="79">
        <f>'дод 2'!H56</f>
        <v>0</v>
      </c>
      <c r="H278" s="79">
        <f>'дод 2'!I56</f>
        <v>0</v>
      </c>
      <c r="I278" s="79">
        <f>'дод 2'!J56</f>
        <v>0</v>
      </c>
      <c r="J278" s="79">
        <f>'дод 2'!K56</f>
        <v>0</v>
      </c>
      <c r="K278" s="79">
        <f>'дод 2'!L56</f>
        <v>0</v>
      </c>
      <c r="L278" s="179" t="e">
        <f t="shared" si="128"/>
        <v>#DIV/0!</v>
      </c>
      <c r="M278" s="79">
        <f>'дод 2'!N56</f>
        <v>0</v>
      </c>
      <c r="N278" s="79">
        <f>'дод 2'!O56</f>
        <v>0</v>
      </c>
      <c r="O278" s="79">
        <f>'дод 2'!P56</f>
        <v>0</v>
      </c>
      <c r="P278" s="79">
        <f>'дод 2'!Q56</f>
        <v>0</v>
      </c>
      <c r="Q278" s="79">
        <f>'дод 2'!R56</f>
        <v>0</v>
      </c>
      <c r="R278" s="79">
        <f>'дод 2'!S56</f>
        <v>0</v>
      </c>
      <c r="S278" s="79">
        <f>'дод 2'!T56</f>
        <v>0</v>
      </c>
      <c r="T278" s="79">
        <f>'дод 2'!U56</f>
        <v>0</v>
      </c>
      <c r="U278" s="79">
        <f>'дод 2'!V56</f>
        <v>0</v>
      </c>
      <c r="V278" s="79">
        <f>'дод 2'!W56</f>
        <v>0</v>
      </c>
      <c r="W278" s="79">
        <f>'дод 2'!X56</f>
        <v>0</v>
      </c>
      <c r="X278" s="79">
        <f>'дод 2'!Y56</f>
        <v>0</v>
      </c>
      <c r="Y278" s="179" t="e">
        <f t="shared" si="129"/>
        <v>#DIV/0!</v>
      </c>
      <c r="Z278" s="79">
        <f t="shared" si="130"/>
        <v>0</v>
      </c>
      <c r="AA278" s="79">
        <f>'дод 2'!AB56</f>
        <v>0</v>
      </c>
      <c r="AB278" s="221"/>
    </row>
    <row r="279" spans="1:28" s="82" customFormat="1" ht="39" hidden="1" customHeight="1" x14ac:dyDescent="0.25">
      <c r="A279" s="34" t="s">
        <v>639</v>
      </c>
      <c r="B279" s="34" t="s">
        <v>384</v>
      </c>
      <c r="C279" s="24" t="s">
        <v>640</v>
      </c>
      <c r="D279" s="79">
        <f>'дод 2'!E347</f>
        <v>0</v>
      </c>
      <c r="E279" s="79">
        <f>'дод 2'!F347</f>
        <v>0</v>
      </c>
      <c r="F279" s="79">
        <f>'дод 2'!G347</f>
        <v>0</v>
      </c>
      <c r="G279" s="79">
        <f>'дод 2'!H347</f>
        <v>0</v>
      </c>
      <c r="H279" s="79">
        <f>'дод 2'!I347</f>
        <v>0</v>
      </c>
      <c r="I279" s="79">
        <f>'дод 2'!J347</f>
        <v>0</v>
      </c>
      <c r="J279" s="79">
        <f>'дод 2'!K347</f>
        <v>0</v>
      </c>
      <c r="K279" s="79">
        <f>'дод 2'!L347</f>
        <v>0</v>
      </c>
      <c r="L279" s="179" t="e">
        <f t="shared" si="128"/>
        <v>#DIV/0!</v>
      </c>
      <c r="M279" s="79">
        <f>'дод 2'!N347</f>
        <v>0</v>
      </c>
      <c r="N279" s="79">
        <f>'дод 2'!O347</f>
        <v>0</v>
      </c>
      <c r="O279" s="79">
        <f>'дод 2'!P347</f>
        <v>0</v>
      </c>
      <c r="P279" s="79">
        <f>'дод 2'!Q347</f>
        <v>0</v>
      </c>
      <c r="Q279" s="79">
        <f>'дод 2'!R347</f>
        <v>0</v>
      </c>
      <c r="R279" s="79">
        <f>'дод 2'!S347</f>
        <v>0</v>
      </c>
      <c r="S279" s="79">
        <f>'дод 2'!T347</f>
        <v>0</v>
      </c>
      <c r="T279" s="79">
        <f>'дод 2'!U347</f>
        <v>0</v>
      </c>
      <c r="U279" s="79">
        <f>'дод 2'!V347</f>
        <v>0</v>
      </c>
      <c r="V279" s="79">
        <f>'дод 2'!W347</f>
        <v>0</v>
      </c>
      <c r="W279" s="79">
        <f>'дод 2'!X347</f>
        <v>0</v>
      </c>
      <c r="X279" s="79">
        <f>'дод 2'!Y347</f>
        <v>0</v>
      </c>
      <c r="Y279" s="179" t="e">
        <f t="shared" si="129"/>
        <v>#DIV/0!</v>
      </c>
      <c r="Z279" s="79">
        <f t="shared" si="130"/>
        <v>0</v>
      </c>
      <c r="AA279" s="79">
        <f>'дод 2'!AB347</f>
        <v>0</v>
      </c>
      <c r="AB279" s="221"/>
    </row>
    <row r="280" spans="1:28" s="82" customFormat="1" ht="54.75" hidden="1" customHeight="1" x14ac:dyDescent="0.25">
      <c r="A280" s="34" t="s">
        <v>492</v>
      </c>
      <c r="B280" s="34" t="s">
        <v>384</v>
      </c>
      <c r="C280" s="36" t="s">
        <v>383</v>
      </c>
      <c r="D280" s="79">
        <f>'дод 2'!E348</f>
        <v>0</v>
      </c>
      <c r="E280" s="79">
        <f>'дод 2'!F348</f>
        <v>0</v>
      </c>
      <c r="F280" s="79">
        <f>'дод 2'!G348</f>
        <v>0</v>
      </c>
      <c r="G280" s="79">
        <f>'дод 2'!H348</f>
        <v>0</v>
      </c>
      <c r="H280" s="79">
        <f>'дод 2'!I348</f>
        <v>0</v>
      </c>
      <c r="I280" s="79">
        <f>'дод 2'!J348</f>
        <v>0</v>
      </c>
      <c r="J280" s="79">
        <f>'дод 2'!K348</f>
        <v>0</v>
      </c>
      <c r="K280" s="79">
        <f>'дод 2'!L348</f>
        <v>0</v>
      </c>
      <c r="L280" s="179" t="e">
        <f t="shared" si="128"/>
        <v>#DIV/0!</v>
      </c>
      <c r="M280" s="79">
        <f>'дод 2'!N348</f>
        <v>0</v>
      </c>
      <c r="N280" s="79">
        <f>'дод 2'!O348</f>
        <v>0</v>
      </c>
      <c r="O280" s="79">
        <f>'дод 2'!P348</f>
        <v>0</v>
      </c>
      <c r="P280" s="79">
        <f>'дод 2'!Q348</f>
        <v>0</v>
      </c>
      <c r="Q280" s="79">
        <f>'дод 2'!R348</f>
        <v>0</v>
      </c>
      <c r="R280" s="79">
        <f>'дод 2'!S348</f>
        <v>0</v>
      </c>
      <c r="S280" s="79">
        <f>'дод 2'!T348</f>
        <v>0</v>
      </c>
      <c r="T280" s="79">
        <f>'дод 2'!U348</f>
        <v>0</v>
      </c>
      <c r="U280" s="79">
        <f>'дод 2'!V348</f>
        <v>0</v>
      </c>
      <c r="V280" s="79">
        <f>'дод 2'!W348</f>
        <v>0</v>
      </c>
      <c r="W280" s="79">
        <f>'дод 2'!X348</f>
        <v>0</v>
      </c>
      <c r="X280" s="79">
        <f>'дод 2'!Y348</f>
        <v>0</v>
      </c>
      <c r="Y280" s="179" t="e">
        <f t="shared" si="129"/>
        <v>#DIV/0!</v>
      </c>
      <c r="Z280" s="79">
        <f t="shared" si="130"/>
        <v>0</v>
      </c>
      <c r="AA280" s="79">
        <f>'дод 2'!AB348</f>
        <v>0</v>
      </c>
      <c r="AB280" s="221"/>
    </row>
    <row r="281" spans="1:28" s="82" customFormat="1" ht="104.25" hidden="1" customHeight="1" x14ac:dyDescent="0.25">
      <c r="A281" s="81"/>
      <c r="B281" s="81"/>
      <c r="C281" s="48" t="s">
        <v>381</v>
      </c>
      <c r="D281" s="80">
        <f>'дод 2'!E349</f>
        <v>0</v>
      </c>
      <c r="E281" s="80">
        <f>'дод 2'!F349</f>
        <v>0</v>
      </c>
      <c r="F281" s="80">
        <f>'дод 2'!G349</f>
        <v>0</v>
      </c>
      <c r="G281" s="80">
        <f>'дод 2'!H349</f>
        <v>0</v>
      </c>
      <c r="H281" s="80">
        <f>'дод 2'!I349</f>
        <v>0</v>
      </c>
      <c r="I281" s="80">
        <f>'дод 2'!J349</f>
        <v>0</v>
      </c>
      <c r="J281" s="80">
        <f>'дод 2'!K349</f>
        <v>0</v>
      </c>
      <c r="K281" s="80">
        <f>'дод 2'!L349</f>
        <v>0</v>
      </c>
      <c r="L281" s="180" t="e">
        <f t="shared" si="128"/>
        <v>#DIV/0!</v>
      </c>
      <c r="M281" s="80">
        <f>'дод 2'!N349</f>
        <v>0</v>
      </c>
      <c r="N281" s="80">
        <f>'дод 2'!O349</f>
        <v>0</v>
      </c>
      <c r="O281" s="80">
        <f>'дод 2'!P349</f>
        <v>0</v>
      </c>
      <c r="P281" s="80">
        <f>'дод 2'!Q349</f>
        <v>0</v>
      </c>
      <c r="Q281" s="80">
        <f>'дод 2'!R349</f>
        <v>0</v>
      </c>
      <c r="R281" s="80">
        <f>'дод 2'!S349</f>
        <v>0</v>
      </c>
      <c r="S281" s="80">
        <f>'дод 2'!T349</f>
        <v>0</v>
      </c>
      <c r="T281" s="80">
        <f>'дод 2'!U349</f>
        <v>0</v>
      </c>
      <c r="U281" s="80">
        <f>'дод 2'!V349</f>
        <v>0</v>
      </c>
      <c r="V281" s="80">
        <f>'дод 2'!W349</f>
        <v>0</v>
      </c>
      <c r="W281" s="80">
        <f>'дод 2'!X349</f>
        <v>0</v>
      </c>
      <c r="X281" s="80">
        <f>'дод 2'!Y349</f>
        <v>0</v>
      </c>
      <c r="Y281" s="180" t="e">
        <f t="shared" si="129"/>
        <v>#DIV/0!</v>
      </c>
      <c r="Z281" s="80">
        <f t="shared" si="130"/>
        <v>0</v>
      </c>
      <c r="AA281" s="80">
        <f>'дод 2'!AB349</f>
        <v>0</v>
      </c>
      <c r="AB281" s="221"/>
    </row>
    <row r="282" spans="1:28" s="73" customFormat="1" ht="18.75" customHeight="1" x14ac:dyDescent="0.25">
      <c r="A282" s="38" t="s">
        <v>229</v>
      </c>
      <c r="B282" s="87"/>
      <c r="C282" s="88" t="s">
        <v>230</v>
      </c>
      <c r="D282" s="77">
        <f>D283</f>
        <v>5710468</v>
      </c>
      <c r="E282" s="77">
        <f t="shared" ref="E282:X282" si="131">E283</f>
        <v>5710468</v>
      </c>
      <c r="F282" s="77">
        <f t="shared" si="131"/>
        <v>0</v>
      </c>
      <c r="G282" s="77">
        <f t="shared" si="131"/>
        <v>0</v>
      </c>
      <c r="H282" s="77">
        <f t="shared" si="131"/>
        <v>0</v>
      </c>
      <c r="I282" s="77">
        <f t="shared" si="131"/>
        <v>2130940.08</v>
      </c>
      <c r="J282" s="77">
        <f t="shared" si="131"/>
        <v>0</v>
      </c>
      <c r="K282" s="77">
        <f t="shared" si="131"/>
        <v>0</v>
      </c>
      <c r="L282" s="136">
        <f t="shared" si="128"/>
        <v>37.31638247513164</v>
      </c>
      <c r="M282" s="77">
        <f t="shared" si="131"/>
        <v>1000000</v>
      </c>
      <c r="N282" s="77">
        <f t="shared" si="131"/>
        <v>1000000</v>
      </c>
      <c r="O282" s="77">
        <f t="shared" si="131"/>
        <v>0</v>
      </c>
      <c r="P282" s="77">
        <f t="shared" si="131"/>
        <v>0</v>
      </c>
      <c r="Q282" s="77">
        <f t="shared" si="131"/>
        <v>0</v>
      </c>
      <c r="R282" s="77">
        <f t="shared" si="131"/>
        <v>1000000</v>
      </c>
      <c r="S282" s="77">
        <f t="shared" si="131"/>
        <v>903888</v>
      </c>
      <c r="T282" s="77">
        <f t="shared" si="131"/>
        <v>903888</v>
      </c>
      <c r="U282" s="77">
        <f t="shared" si="131"/>
        <v>0</v>
      </c>
      <c r="V282" s="77">
        <f t="shared" si="131"/>
        <v>0</v>
      </c>
      <c r="W282" s="77">
        <f t="shared" si="131"/>
        <v>0</v>
      </c>
      <c r="X282" s="77">
        <f t="shared" si="131"/>
        <v>903888</v>
      </c>
      <c r="Y282" s="136">
        <f t="shared" si="129"/>
        <v>90.388800000000003</v>
      </c>
      <c r="Z282" s="77">
        <f t="shared" si="130"/>
        <v>3034828.08</v>
      </c>
      <c r="AA282" s="77">
        <f t="shared" ref="AA282" si="132">AA283</f>
        <v>6710468</v>
      </c>
      <c r="AB282" s="221"/>
    </row>
    <row r="283" spans="1:28" ht="28.5" customHeight="1" x14ac:dyDescent="0.25">
      <c r="A283" s="45" t="s">
        <v>227</v>
      </c>
      <c r="B283" s="45" t="s">
        <v>228</v>
      </c>
      <c r="C283" s="42" t="s">
        <v>226</v>
      </c>
      <c r="D283" s="79">
        <f>'дод 2'!E57+'дод 2'!E342</f>
        <v>5710468</v>
      </c>
      <c r="E283" s="79">
        <f>'дод 2'!F57+'дод 2'!F342</f>
        <v>5710468</v>
      </c>
      <c r="F283" s="79">
        <f>'дод 2'!G57+'дод 2'!G342</f>
        <v>0</v>
      </c>
      <c r="G283" s="79">
        <f>'дод 2'!H57+'дод 2'!H342</f>
        <v>0</v>
      </c>
      <c r="H283" s="79">
        <f>'дод 2'!I57+'дод 2'!I342</f>
        <v>0</v>
      </c>
      <c r="I283" s="79">
        <f>'дод 2'!J57+'дод 2'!J342</f>
        <v>2130940.08</v>
      </c>
      <c r="J283" s="79">
        <f>'дод 2'!K57+'дод 2'!K342</f>
        <v>0</v>
      </c>
      <c r="K283" s="79">
        <f>'дод 2'!L57+'дод 2'!L342</f>
        <v>0</v>
      </c>
      <c r="L283" s="179">
        <f t="shared" si="128"/>
        <v>37.31638247513164</v>
      </c>
      <c r="M283" s="79">
        <f>'дод 2'!N57+'дод 2'!N342</f>
        <v>1000000</v>
      </c>
      <c r="N283" s="79">
        <f>'дод 2'!O57+'дод 2'!O342</f>
        <v>1000000</v>
      </c>
      <c r="O283" s="79">
        <f>'дод 2'!P57+'дод 2'!P342</f>
        <v>0</v>
      </c>
      <c r="P283" s="79">
        <f>'дод 2'!Q57+'дод 2'!Q342</f>
        <v>0</v>
      </c>
      <c r="Q283" s="79">
        <f>'дод 2'!R57+'дод 2'!R342</f>
        <v>0</v>
      </c>
      <c r="R283" s="79">
        <f>'дод 2'!S57+'дод 2'!S342</f>
        <v>1000000</v>
      </c>
      <c r="S283" s="79">
        <f>'дод 2'!T57+'дод 2'!T342</f>
        <v>903888</v>
      </c>
      <c r="T283" s="79">
        <f>'дод 2'!U57+'дод 2'!U342</f>
        <v>903888</v>
      </c>
      <c r="U283" s="79">
        <f>'дод 2'!V57+'дод 2'!V342</f>
        <v>0</v>
      </c>
      <c r="V283" s="79">
        <f>'дод 2'!W57+'дод 2'!W342</f>
        <v>0</v>
      </c>
      <c r="W283" s="79">
        <f>'дод 2'!X57+'дод 2'!X342</f>
        <v>0</v>
      </c>
      <c r="X283" s="79">
        <f>'дод 2'!Y57+'дод 2'!Y342</f>
        <v>903888</v>
      </c>
      <c r="Y283" s="179">
        <f t="shared" si="129"/>
        <v>90.388800000000003</v>
      </c>
      <c r="Z283" s="79">
        <f t="shared" si="130"/>
        <v>3034828.08</v>
      </c>
      <c r="AA283" s="79">
        <f>'дод 2'!AB57+'дод 2'!AB342</f>
        <v>6710468</v>
      </c>
      <c r="AB283" s="221"/>
    </row>
    <row r="284" spans="1:28" s="73" customFormat="1" ht="39.75" customHeight="1" x14ac:dyDescent="0.25">
      <c r="A284" s="83" t="s">
        <v>84</v>
      </c>
      <c r="B284" s="87"/>
      <c r="C284" s="88" t="s">
        <v>401</v>
      </c>
      <c r="D284" s="77">
        <f>D289+D290+D294+D295+D296+D299+D300+D301</f>
        <v>6883790.3499999996</v>
      </c>
      <c r="E284" s="77">
        <f t="shared" ref="E284:X284" si="133">E289+E290+E294+E295+E296+E299+E300+E301</f>
        <v>4818001</v>
      </c>
      <c r="F284" s="77">
        <f t="shared" si="133"/>
        <v>0</v>
      </c>
      <c r="G284" s="77">
        <f t="shared" si="133"/>
        <v>0</v>
      </c>
      <c r="H284" s="77">
        <f t="shared" si="133"/>
        <v>2065789.35</v>
      </c>
      <c r="I284" s="77">
        <f t="shared" si="133"/>
        <v>4611425.6899999995</v>
      </c>
      <c r="J284" s="77">
        <f t="shared" si="133"/>
        <v>0</v>
      </c>
      <c r="K284" s="77">
        <f t="shared" si="133"/>
        <v>0</v>
      </c>
      <c r="L284" s="136">
        <f t="shared" si="128"/>
        <v>66.989630066232337</v>
      </c>
      <c r="M284" s="77">
        <f t="shared" si="133"/>
        <v>248530079</v>
      </c>
      <c r="N284" s="77">
        <f t="shared" si="133"/>
        <v>248420079</v>
      </c>
      <c r="O284" s="77">
        <f t="shared" si="133"/>
        <v>110000</v>
      </c>
      <c r="P284" s="77">
        <f t="shared" si="133"/>
        <v>0</v>
      </c>
      <c r="Q284" s="77">
        <f t="shared" si="133"/>
        <v>0</v>
      </c>
      <c r="R284" s="77">
        <f t="shared" si="133"/>
        <v>248420079</v>
      </c>
      <c r="S284" s="77">
        <f t="shared" si="133"/>
        <v>125691031.77</v>
      </c>
      <c r="T284" s="77">
        <f t="shared" si="133"/>
        <v>125681031.77</v>
      </c>
      <c r="U284" s="77">
        <f t="shared" si="133"/>
        <v>10000</v>
      </c>
      <c r="V284" s="77">
        <f t="shared" si="133"/>
        <v>0</v>
      </c>
      <c r="W284" s="77">
        <f t="shared" si="133"/>
        <v>0</v>
      </c>
      <c r="X284" s="77">
        <f t="shared" si="133"/>
        <v>125681031.77</v>
      </c>
      <c r="Y284" s="136">
        <f t="shared" si="129"/>
        <v>50.573770497212131</v>
      </c>
      <c r="Z284" s="77">
        <f t="shared" si="130"/>
        <v>130302457.45999999</v>
      </c>
      <c r="AA284" s="77">
        <f t="shared" ref="AA284" si="134">AA289+AA290+AA294+AA295+AA296+AA299+AA300+AA301</f>
        <v>255413869.34999999</v>
      </c>
      <c r="AB284" s="221"/>
    </row>
    <row r="285" spans="1:28" s="85" customFormat="1" ht="94.5" x14ac:dyDescent="0.25">
      <c r="A285" s="84"/>
      <c r="B285" s="89"/>
      <c r="C285" s="54" t="s">
        <v>618</v>
      </c>
      <c r="D285" s="78">
        <f>D297+D302</f>
        <v>163600</v>
      </c>
      <c r="E285" s="78">
        <f t="shared" ref="E285:X285" si="135">E297+E302</f>
        <v>163600</v>
      </c>
      <c r="F285" s="78">
        <f t="shared" si="135"/>
        <v>0</v>
      </c>
      <c r="G285" s="78">
        <f t="shared" si="135"/>
        <v>0</v>
      </c>
      <c r="H285" s="78">
        <f t="shared" si="135"/>
        <v>0</v>
      </c>
      <c r="I285" s="78">
        <f t="shared" si="135"/>
        <v>163600</v>
      </c>
      <c r="J285" s="78">
        <f t="shared" si="135"/>
        <v>0</v>
      </c>
      <c r="K285" s="78">
        <f t="shared" si="135"/>
        <v>0</v>
      </c>
      <c r="L285" s="178">
        <f t="shared" si="128"/>
        <v>100</v>
      </c>
      <c r="M285" s="78">
        <f t="shared" si="135"/>
        <v>371900</v>
      </c>
      <c r="N285" s="78">
        <f t="shared" si="135"/>
        <v>371900</v>
      </c>
      <c r="O285" s="78">
        <f t="shared" si="135"/>
        <v>0</v>
      </c>
      <c r="P285" s="78">
        <f t="shared" si="135"/>
        <v>0</v>
      </c>
      <c r="Q285" s="78">
        <f t="shared" si="135"/>
        <v>0</v>
      </c>
      <c r="R285" s="78">
        <f t="shared" si="135"/>
        <v>371900</v>
      </c>
      <c r="S285" s="78">
        <f t="shared" si="135"/>
        <v>335747.22</v>
      </c>
      <c r="T285" s="78">
        <f t="shared" si="135"/>
        <v>335747.22</v>
      </c>
      <c r="U285" s="78">
        <f t="shared" si="135"/>
        <v>0</v>
      </c>
      <c r="V285" s="78">
        <f t="shared" si="135"/>
        <v>0</v>
      </c>
      <c r="W285" s="78">
        <f t="shared" si="135"/>
        <v>0</v>
      </c>
      <c r="X285" s="78">
        <f t="shared" si="135"/>
        <v>335747.22</v>
      </c>
      <c r="Y285" s="178">
        <f t="shared" si="129"/>
        <v>90.278897553105665</v>
      </c>
      <c r="Z285" s="78">
        <f t="shared" si="130"/>
        <v>499347.22</v>
      </c>
      <c r="AA285" s="78">
        <f t="shared" ref="AA285" si="136">AA297+AA302</f>
        <v>535500</v>
      </c>
      <c r="AB285" s="221"/>
    </row>
    <row r="286" spans="1:28" s="85" customFormat="1" ht="16.5" customHeight="1" x14ac:dyDescent="0.25">
      <c r="A286" s="84"/>
      <c r="B286" s="84"/>
      <c r="C286" s="19" t="s">
        <v>399</v>
      </c>
      <c r="D286" s="78">
        <f>D291+D298</f>
        <v>0</v>
      </c>
      <c r="E286" s="78">
        <f t="shared" ref="E286:X286" si="137">E291+E298</f>
        <v>0</v>
      </c>
      <c r="F286" s="78">
        <f t="shared" si="137"/>
        <v>0</v>
      </c>
      <c r="G286" s="78">
        <f t="shared" si="137"/>
        <v>0</v>
      </c>
      <c r="H286" s="78">
        <f t="shared" si="137"/>
        <v>0</v>
      </c>
      <c r="I286" s="78">
        <f t="shared" si="137"/>
        <v>0</v>
      </c>
      <c r="J286" s="78">
        <f t="shared" si="137"/>
        <v>0</v>
      </c>
      <c r="K286" s="78">
        <f t="shared" si="137"/>
        <v>0</v>
      </c>
      <c r="L286" s="178"/>
      <c r="M286" s="78">
        <f t="shared" si="137"/>
        <v>61868709</v>
      </c>
      <c r="N286" s="78">
        <f t="shared" si="137"/>
        <v>61868709</v>
      </c>
      <c r="O286" s="78">
        <f t="shared" si="137"/>
        <v>0</v>
      </c>
      <c r="P286" s="78">
        <f t="shared" si="137"/>
        <v>0</v>
      </c>
      <c r="Q286" s="78">
        <f t="shared" si="137"/>
        <v>0</v>
      </c>
      <c r="R286" s="78">
        <f t="shared" si="137"/>
        <v>61868709</v>
      </c>
      <c r="S286" s="78">
        <f t="shared" si="137"/>
        <v>0</v>
      </c>
      <c r="T286" s="78">
        <f t="shared" si="137"/>
        <v>0</v>
      </c>
      <c r="U286" s="78">
        <f t="shared" si="137"/>
        <v>0</v>
      </c>
      <c r="V286" s="78">
        <f t="shared" si="137"/>
        <v>0</v>
      </c>
      <c r="W286" s="78">
        <f t="shared" si="137"/>
        <v>0</v>
      </c>
      <c r="X286" s="78">
        <f t="shared" si="137"/>
        <v>0</v>
      </c>
      <c r="Y286" s="178">
        <f t="shared" si="129"/>
        <v>0</v>
      </c>
      <c r="Z286" s="78">
        <f t="shared" si="130"/>
        <v>0</v>
      </c>
      <c r="AA286" s="78">
        <f t="shared" ref="AA286" si="138">AA291+AA298</f>
        <v>61868709</v>
      </c>
      <c r="AB286" s="221"/>
    </row>
    <row r="287" spans="1:28" s="85" customFormat="1" ht="47.25" x14ac:dyDescent="0.25">
      <c r="A287" s="84"/>
      <c r="B287" s="84"/>
      <c r="C287" s="19" t="str">
        <f>C292</f>
        <v xml:space="preserve">залишку коштів по запозиченню від ЄІБ «Підвищення енергоефективності в дошкільних закладах м. Суми», що склався станом на 01.01.2024 року </v>
      </c>
      <c r="D287" s="78">
        <f>D292</f>
        <v>0</v>
      </c>
      <c r="E287" s="78">
        <f t="shared" ref="E287:X287" si="139">E292</f>
        <v>0</v>
      </c>
      <c r="F287" s="78">
        <f t="shared" si="139"/>
        <v>0</v>
      </c>
      <c r="G287" s="78">
        <f t="shared" si="139"/>
        <v>0</v>
      </c>
      <c r="H287" s="78">
        <f t="shared" si="139"/>
        <v>0</v>
      </c>
      <c r="I287" s="78">
        <f t="shared" si="139"/>
        <v>0</v>
      </c>
      <c r="J287" s="78">
        <f t="shared" si="139"/>
        <v>0</v>
      </c>
      <c r="K287" s="78">
        <f t="shared" si="139"/>
        <v>0</v>
      </c>
      <c r="L287" s="178"/>
      <c r="M287" s="78">
        <f t="shared" si="139"/>
        <v>42207900</v>
      </c>
      <c r="N287" s="78">
        <f t="shared" si="139"/>
        <v>42207900</v>
      </c>
      <c r="O287" s="78">
        <f t="shared" si="139"/>
        <v>0</v>
      </c>
      <c r="P287" s="78">
        <f t="shared" si="139"/>
        <v>0</v>
      </c>
      <c r="Q287" s="78">
        <f t="shared" si="139"/>
        <v>0</v>
      </c>
      <c r="R287" s="78">
        <f t="shared" si="139"/>
        <v>42207900</v>
      </c>
      <c r="S287" s="78">
        <f t="shared" si="139"/>
        <v>1136625.77</v>
      </c>
      <c r="T287" s="78">
        <f t="shared" si="139"/>
        <v>1136625.77</v>
      </c>
      <c r="U287" s="78">
        <f t="shared" si="139"/>
        <v>0</v>
      </c>
      <c r="V287" s="78">
        <f t="shared" si="139"/>
        <v>0</v>
      </c>
      <c r="W287" s="78">
        <f t="shared" si="139"/>
        <v>0</v>
      </c>
      <c r="X287" s="78">
        <f t="shared" si="139"/>
        <v>1136625.77</v>
      </c>
      <c r="Y287" s="178">
        <f t="shared" si="129"/>
        <v>2.692921870076455</v>
      </c>
      <c r="Z287" s="78">
        <f t="shared" si="130"/>
        <v>1136625.77</v>
      </c>
      <c r="AA287" s="78">
        <f t="shared" ref="AA287" si="140">AA292</f>
        <v>42207900</v>
      </c>
      <c r="AB287" s="221"/>
    </row>
    <row r="288" spans="1:28" s="85" customFormat="1" ht="15" hidden="1" customHeight="1" x14ac:dyDescent="0.25">
      <c r="A288" s="84"/>
      <c r="B288" s="84"/>
      <c r="C288" s="19" t="s">
        <v>597</v>
      </c>
      <c r="D288" s="78">
        <f>D293</f>
        <v>0</v>
      </c>
      <c r="E288" s="78">
        <f t="shared" ref="E288:X288" si="141">E293</f>
        <v>0</v>
      </c>
      <c r="F288" s="78">
        <f t="shared" si="141"/>
        <v>0</v>
      </c>
      <c r="G288" s="78">
        <f t="shared" si="141"/>
        <v>0</v>
      </c>
      <c r="H288" s="78">
        <f t="shared" si="141"/>
        <v>0</v>
      </c>
      <c r="I288" s="78">
        <f t="shared" si="141"/>
        <v>0</v>
      </c>
      <c r="J288" s="78">
        <f t="shared" si="141"/>
        <v>0</v>
      </c>
      <c r="K288" s="78">
        <f t="shared" si="141"/>
        <v>0</v>
      </c>
      <c r="L288" s="178" t="e">
        <f t="shared" si="128"/>
        <v>#DIV/0!</v>
      </c>
      <c r="M288" s="78">
        <f t="shared" si="141"/>
        <v>0</v>
      </c>
      <c r="N288" s="78">
        <f t="shared" si="141"/>
        <v>0</v>
      </c>
      <c r="O288" s="78">
        <f t="shared" si="141"/>
        <v>0</v>
      </c>
      <c r="P288" s="78">
        <f t="shared" si="141"/>
        <v>0</v>
      </c>
      <c r="Q288" s="78">
        <f t="shared" si="141"/>
        <v>0</v>
      </c>
      <c r="R288" s="78">
        <f t="shared" si="141"/>
        <v>0</v>
      </c>
      <c r="S288" s="78">
        <f t="shared" si="141"/>
        <v>0</v>
      </c>
      <c r="T288" s="78">
        <f t="shared" si="141"/>
        <v>0</v>
      </c>
      <c r="U288" s="78">
        <f t="shared" si="141"/>
        <v>0</v>
      </c>
      <c r="V288" s="78">
        <f t="shared" si="141"/>
        <v>0</v>
      </c>
      <c r="W288" s="78">
        <f t="shared" si="141"/>
        <v>0</v>
      </c>
      <c r="X288" s="78">
        <f t="shared" si="141"/>
        <v>0</v>
      </c>
      <c r="Y288" s="178" t="e">
        <f t="shared" si="129"/>
        <v>#DIV/0!</v>
      </c>
      <c r="Z288" s="78">
        <f t="shared" si="130"/>
        <v>0</v>
      </c>
      <c r="AA288" s="78">
        <f t="shared" ref="AA288" si="142">AA293</f>
        <v>0</v>
      </c>
      <c r="AB288" s="221"/>
    </row>
    <row r="289" spans="1:28" ht="34.5" customHeight="1" x14ac:dyDescent="0.25">
      <c r="A289" s="45" t="s">
        <v>4</v>
      </c>
      <c r="B289" s="45" t="s">
        <v>83</v>
      </c>
      <c r="C289" s="33" t="s">
        <v>23</v>
      </c>
      <c r="D289" s="79">
        <f>'дод 2'!E58+'дод 2'!E436+'дод 2'!E445+'дод 2'!E457+'дод 2'!E380+'дод 2'!E431</f>
        <v>520000</v>
      </c>
      <c r="E289" s="79">
        <f>'дод 2'!F58+'дод 2'!F436+'дод 2'!F445+'дод 2'!F457+'дод 2'!F380+'дод 2'!F431</f>
        <v>40000</v>
      </c>
      <c r="F289" s="79">
        <f>'дод 2'!G58+'дод 2'!G436+'дод 2'!G445+'дод 2'!G457+'дод 2'!G380+'дод 2'!G431</f>
        <v>0</v>
      </c>
      <c r="G289" s="79">
        <f>'дод 2'!H58+'дод 2'!H436+'дод 2'!H445+'дод 2'!H457+'дод 2'!H380+'дод 2'!H431</f>
        <v>0</v>
      </c>
      <c r="H289" s="79">
        <f>'дод 2'!I58+'дод 2'!I436+'дод 2'!I445+'дод 2'!I457+'дод 2'!I380+'дод 2'!I431</f>
        <v>480000</v>
      </c>
      <c r="I289" s="79">
        <f>'дод 2'!J58+'дод 2'!J436+'дод 2'!J445+'дод 2'!J457+'дод 2'!J380+'дод 2'!J431</f>
        <v>506657</v>
      </c>
      <c r="J289" s="79">
        <f>'дод 2'!K58+'дод 2'!K436+'дод 2'!K445+'дод 2'!K457+'дод 2'!K380+'дод 2'!K431</f>
        <v>0</v>
      </c>
      <c r="K289" s="79">
        <f>'дод 2'!L58+'дод 2'!L436+'дод 2'!L445+'дод 2'!L457+'дод 2'!L380+'дод 2'!L431</f>
        <v>0</v>
      </c>
      <c r="L289" s="179">
        <f t="shared" si="128"/>
        <v>97.434038461538464</v>
      </c>
      <c r="M289" s="79">
        <f>'дод 2'!N58+'дод 2'!N436+'дод 2'!N445+'дод 2'!N457+'дод 2'!N380+'дод 2'!N431</f>
        <v>0</v>
      </c>
      <c r="N289" s="79">
        <f>'дод 2'!O58+'дод 2'!O436+'дод 2'!O445+'дод 2'!O457+'дод 2'!O380+'дод 2'!O431</f>
        <v>0</v>
      </c>
      <c r="O289" s="79">
        <f>'дод 2'!P58+'дод 2'!P436+'дод 2'!P445+'дод 2'!P457+'дод 2'!P380+'дод 2'!P431</f>
        <v>0</v>
      </c>
      <c r="P289" s="79">
        <f>'дод 2'!Q58+'дод 2'!Q436+'дод 2'!Q445+'дод 2'!Q457+'дод 2'!Q380+'дод 2'!Q431</f>
        <v>0</v>
      </c>
      <c r="Q289" s="79">
        <f>'дод 2'!R58+'дод 2'!R436+'дод 2'!R445+'дод 2'!R457+'дод 2'!R380+'дод 2'!R431</f>
        <v>0</v>
      </c>
      <c r="R289" s="79">
        <f>'дод 2'!S58+'дод 2'!S436+'дод 2'!S445+'дод 2'!S457+'дод 2'!S380+'дод 2'!S431</f>
        <v>0</v>
      </c>
      <c r="S289" s="79">
        <f>'дод 2'!T58+'дод 2'!T436+'дод 2'!T445+'дод 2'!T457+'дод 2'!T380+'дод 2'!T431</f>
        <v>0</v>
      </c>
      <c r="T289" s="79">
        <f>'дод 2'!U58+'дод 2'!U436+'дод 2'!U445+'дод 2'!U457+'дод 2'!U380+'дод 2'!U431</f>
        <v>0</v>
      </c>
      <c r="U289" s="79">
        <f>'дод 2'!V58+'дод 2'!V436+'дод 2'!V445+'дод 2'!V457+'дод 2'!V380+'дод 2'!V431</f>
        <v>0</v>
      </c>
      <c r="V289" s="79">
        <f>'дод 2'!W58+'дод 2'!W436+'дод 2'!W445+'дод 2'!W457+'дод 2'!W380+'дод 2'!W431</f>
        <v>0</v>
      </c>
      <c r="W289" s="79">
        <f>'дод 2'!X58+'дод 2'!X436+'дод 2'!X445+'дод 2'!X457+'дод 2'!X380+'дод 2'!X431</f>
        <v>0</v>
      </c>
      <c r="X289" s="79">
        <f>'дод 2'!Y58+'дод 2'!Y436+'дод 2'!Y445+'дод 2'!Y457+'дод 2'!Y380+'дод 2'!Y431</f>
        <v>0</v>
      </c>
      <c r="Y289" s="179"/>
      <c r="Z289" s="79">
        <f t="shared" si="130"/>
        <v>506657</v>
      </c>
      <c r="AA289" s="79">
        <f>'дод 2'!AB58+'дод 2'!AB436+'дод 2'!AB445+'дод 2'!AB457+'дод 2'!AB380+'дод 2'!AB431</f>
        <v>520000</v>
      </c>
      <c r="AB289" s="221"/>
    </row>
    <row r="290" spans="1:28" ht="25.5" customHeight="1" x14ac:dyDescent="0.25">
      <c r="A290" s="45" t="s">
        <v>2</v>
      </c>
      <c r="B290" s="45" t="s">
        <v>82</v>
      </c>
      <c r="C290" s="33" t="s">
        <v>398</v>
      </c>
      <c r="D290" s="79">
        <f>'дод 2'!E164+'дод 2'!E214+'дод 2'!E293+'дод 2'!E354+'дод 2'!E412+'дод 2'!E467+'дод 2'!E269+'дод 2'!E59</f>
        <v>3738072.35</v>
      </c>
      <c r="E290" s="79">
        <f>'дод 2'!F164+'дод 2'!F214+'дод 2'!F293+'дод 2'!F354+'дод 2'!F412+'дод 2'!F467+'дод 2'!F269+'дод 2'!F59</f>
        <v>2152283</v>
      </c>
      <c r="F290" s="79">
        <f>'дод 2'!G164+'дод 2'!G214+'дод 2'!G293+'дод 2'!G354+'дод 2'!G412+'дод 2'!G467+'дод 2'!G269+'дод 2'!G59</f>
        <v>0</v>
      </c>
      <c r="G290" s="79">
        <f>'дод 2'!H164+'дод 2'!H214+'дод 2'!H293+'дод 2'!H354+'дод 2'!H412+'дод 2'!H467+'дод 2'!H269+'дод 2'!H59</f>
        <v>0</v>
      </c>
      <c r="H290" s="79">
        <f>'дод 2'!I164+'дод 2'!I214+'дод 2'!I293+'дод 2'!I354+'дод 2'!I412+'дод 2'!I467+'дод 2'!I269+'дод 2'!I59</f>
        <v>1585789.35</v>
      </c>
      <c r="I290" s="79">
        <f>'дод 2'!J164+'дод 2'!J214+'дод 2'!J293+'дод 2'!J354+'дод 2'!J412+'дод 2'!J467+'дод 2'!J269+'дод 2'!J59</f>
        <v>1847186.25</v>
      </c>
      <c r="J290" s="79">
        <f>'дод 2'!K164+'дод 2'!K214+'дод 2'!K293+'дод 2'!K354+'дод 2'!K412+'дод 2'!K467+'дод 2'!K269+'дод 2'!K59</f>
        <v>0</v>
      </c>
      <c r="K290" s="79">
        <f>'дод 2'!L164+'дод 2'!L214+'дод 2'!L293+'дод 2'!L354+'дод 2'!L412+'дод 2'!L467+'дод 2'!L269+'дод 2'!L59</f>
        <v>0</v>
      </c>
      <c r="L290" s="179">
        <f t="shared" si="128"/>
        <v>49.415476134377116</v>
      </c>
      <c r="M290" s="79">
        <f>'дод 2'!N164+'дод 2'!N214+'дод 2'!N293+'дод 2'!N354+'дод 2'!N412+'дод 2'!N467+'дод 2'!N269+'дод 2'!N59</f>
        <v>241551480</v>
      </c>
      <c r="N290" s="79">
        <f>'дод 2'!O164+'дод 2'!O214+'дод 2'!O293+'дод 2'!O354+'дод 2'!O412+'дод 2'!O467+'дод 2'!O269+'дод 2'!O59</f>
        <v>241551480</v>
      </c>
      <c r="O290" s="79">
        <f>'дод 2'!P164+'дод 2'!P214+'дод 2'!P293+'дод 2'!P354+'дод 2'!P412+'дод 2'!P467+'дод 2'!P269+'дод 2'!P59</f>
        <v>0</v>
      </c>
      <c r="P290" s="79">
        <f>'дод 2'!Q164+'дод 2'!Q214+'дод 2'!Q293+'дод 2'!Q354+'дод 2'!Q412+'дод 2'!Q467+'дод 2'!Q269+'дод 2'!Q59</f>
        <v>0</v>
      </c>
      <c r="Q290" s="79">
        <f>'дод 2'!R164+'дод 2'!R214+'дод 2'!R293+'дод 2'!R354+'дод 2'!R412+'дод 2'!R467+'дод 2'!R269+'дод 2'!R59</f>
        <v>0</v>
      </c>
      <c r="R290" s="79">
        <f>'дод 2'!S164+'дод 2'!S214+'дод 2'!S293+'дод 2'!S354+'дод 2'!S412+'дод 2'!S467+'дод 2'!S269+'дод 2'!S59</f>
        <v>241551480</v>
      </c>
      <c r="S290" s="79">
        <f>'дод 2'!T164+'дод 2'!T214+'дод 2'!T293+'дод 2'!T354+'дод 2'!T412+'дод 2'!T467+'дод 2'!T269+'дод 2'!T59</f>
        <v>118950968.89999999</v>
      </c>
      <c r="T290" s="79">
        <f>'дод 2'!U164+'дод 2'!U214+'дод 2'!U293+'дод 2'!U354+'дод 2'!U412+'дод 2'!U467+'дод 2'!U269+'дод 2'!U59</f>
        <v>118950968.89999999</v>
      </c>
      <c r="U290" s="79">
        <f>'дод 2'!V164+'дод 2'!V214+'дод 2'!V293+'дод 2'!V354+'дод 2'!V412+'дод 2'!V467+'дод 2'!V269+'дод 2'!V59</f>
        <v>0</v>
      </c>
      <c r="V290" s="79">
        <f>'дод 2'!W164+'дод 2'!W214+'дод 2'!W293+'дод 2'!W354+'дод 2'!W412+'дод 2'!W467+'дод 2'!W269+'дод 2'!W59</f>
        <v>0</v>
      </c>
      <c r="W290" s="79">
        <f>'дод 2'!X164+'дод 2'!X214+'дод 2'!X293+'дод 2'!X354+'дод 2'!X412+'дод 2'!X467+'дод 2'!X269+'дод 2'!X59</f>
        <v>0</v>
      </c>
      <c r="X290" s="79">
        <f>'дод 2'!Y164+'дод 2'!Y214+'дод 2'!Y293+'дод 2'!Y354+'дод 2'!Y412+'дод 2'!Y467+'дод 2'!Y269+'дод 2'!Y59</f>
        <v>118950968.89999999</v>
      </c>
      <c r="Y290" s="179">
        <f t="shared" si="129"/>
        <v>49.244562235760256</v>
      </c>
      <c r="Z290" s="79">
        <f t="shared" si="130"/>
        <v>120798155.14999999</v>
      </c>
      <c r="AA290" s="79">
        <f>'дод 2'!AB164+'дод 2'!AB214+'дод 2'!AB293+'дод 2'!AB354+'дод 2'!AB412+'дод 2'!AB467+'дод 2'!AB269+'дод 2'!AB59</f>
        <v>245289552.34999999</v>
      </c>
      <c r="AB290" s="221"/>
    </row>
    <row r="291" spans="1:28" s="82" customFormat="1" ht="24.75" customHeight="1" x14ac:dyDescent="0.25">
      <c r="A291" s="81"/>
      <c r="B291" s="81"/>
      <c r="C291" s="29" t="s">
        <v>399</v>
      </c>
      <c r="D291" s="80">
        <f>'дод 2'!E215+'дод 2'!E413</f>
        <v>0</v>
      </c>
      <c r="E291" s="80">
        <f>'дод 2'!F215+'дод 2'!F413</f>
        <v>0</v>
      </c>
      <c r="F291" s="80">
        <f>'дод 2'!G215+'дод 2'!G413</f>
        <v>0</v>
      </c>
      <c r="G291" s="80">
        <f>'дод 2'!H215+'дод 2'!H413</f>
        <v>0</v>
      </c>
      <c r="H291" s="80">
        <f>'дод 2'!I215+'дод 2'!I413</f>
        <v>0</v>
      </c>
      <c r="I291" s="80">
        <f>'дод 2'!J215+'дод 2'!J413</f>
        <v>0</v>
      </c>
      <c r="J291" s="80">
        <f>'дод 2'!K215+'дод 2'!K413</f>
        <v>0</v>
      </c>
      <c r="K291" s="80">
        <f>'дод 2'!L215+'дод 2'!L413</f>
        <v>0</v>
      </c>
      <c r="L291" s="180"/>
      <c r="M291" s="80">
        <f>'дод 2'!N215+'дод 2'!N413</f>
        <v>61868709</v>
      </c>
      <c r="N291" s="80">
        <f>'дод 2'!O215+'дод 2'!O413</f>
        <v>61868709</v>
      </c>
      <c r="O291" s="80">
        <f>'дод 2'!P215+'дод 2'!P413</f>
        <v>0</v>
      </c>
      <c r="P291" s="80">
        <f>'дод 2'!Q215+'дод 2'!Q413</f>
        <v>0</v>
      </c>
      <c r="Q291" s="80">
        <f>'дод 2'!R215+'дод 2'!R413</f>
        <v>0</v>
      </c>
      <c r="R291" s="80">
        <f>'дод 2'!S215+'дод 2'!S413</f>
        <v>61868709</v>
      </c>
      <c r="S291" s="80">
        <f>'дод 2'!T215+'дод 2'!T413</f>
        <v>0</v>
      </c>
      <c r="T291" s="80">
        <f>'дод 2'!U215+'дод 2'!U413</f>
        <v>0</v>
      </c>
      <c r="U291" s="80">
        <f>'дод 2'!V215+'дод 2'!V413</f>
        <v>0</v>
      </c>
      <c r="V291" s="80">
        <f>'дод 2'!W215+'дод 2'!W413</f>
        <v>0</v>
      </c>
      <c r="W291" s="80">
        <f>'дод 2'!X215+'дод 2'!X413</f>
        <v>0</v>
      </c>
      <c r="X291" s="80">
        <f>'дод 2'!Y215+'дод 2'!Y413</f>
        <v>0</v>
      </c>
      <c r="Y291" s="180">
        <f t="shared" si="129"/>
        <v>0</v>
      </c>
      <c r="Z291" s="80">
        <f t="shared" si="130"/>
        <v>0</v>
      </c>
      <c r="AA291" s="80">
        <f>'дод 2'!AB215+'дод 2'!AB413</f>
        <v>61868709</v>
      </c>
      <c r="AB291" s="221"/>
    </row>
    <row r="292" spans="1:28" s="82" customFormat="1" ht="47.25" x14ac:dyDescent="0.25">
      <c r="A292" s="81"/>
      <c r="B292" s="81"/>
      <c r="C292" s="29" t="s">
        <v>664</v>
      </c>
      <c r="D292" s="80">
        <f>'дод 2'!E414</f>
        <v>0</v>
      </c>
      <c r="E292" s="80">
        <f>'дод 2'!F414</f>
        <v>0</v>
      </c>
      <c r="F292" s="80">
        <f>'дод 2'!G414</f>
        <v>0</v>
      </c>
      <c r="G292" s="80">
        <f>'дод 2'!H414</f>
        <v>0</v>
      </c>
      <c r="H292" s="80">
        <f>'дод 2'!I414</f>
        <v>0</v>
      </c>
      <c r="I292" s="80">
        <f>'дод 2'!J414</f>
        <v>0</v>
      </c>
      <c r="J292" s="80">
        <f>'дод 2'!K414</f>
        <v>0</v>
      </c>
      <c r="K292" s="80">
        <f>'дод 2'!L414</f>
        <v>0</v>
      </c>
      <c r="L292" s="180"/>
      <c r="M292" s="80">
        <f>'дод 2'!N414</f>
        <v>42207900</v>
      </c>
      <c r="N292" s="80">
        <f>'дод 2'!O414</f>
        <v>42207900</v>
      </c>
      <c r="O292" s="80">
        <f>'дод 2'!P414</f>
        <v>0</v>
      </c>
      <c r="P292" s="80">
        <f>'дод 2'!Q414</f>
        <v>0</v>
      </c>
      <c r="Q292" s="80">
        <f>'дод 2'!R414</f>
        <v>0</v>
      </c>
      <c r="R292" s="80">
        <f>'дод 2'!S414</f>
        <v>42207900</v>
      </c>
      <c r="S292" s="80">
        <f>'дод 2'!T414</f>
        <v>1136625.77</v>
      </c>
      <c r="T292" s="80">
        <f>'дод 2'!U414</f>
        <v>1136625.77</v>
      </c>
      <c r="U292" s="80">
        <f>'дод 2'!V414</f>
        <v>0</v>
      </c>
      <c r="V292" s="80">
        <f>'дод 2'!W414</f>
        <v>0</v>
      </c>
      <c r="W292" s="80">
        <f>'дод 2'!X414</f>
        <v>0</v>
      </c>
      <c r="X292" s="80">
        <f>'дод 2'!Y414</f>
        <v>1136625.77</v>
      </c>
      <c r="Y292" s="180">
        <f t="shared" si="129"/>
        <v>2.692921870076455</v>
      </c>
      <c r="Z292" s="80">
        <f t="shared" si="130"/>
        <v>1136625.77</v>
      </c>
      <c r="AA292" s="80">
        <f>'дод 2'!AB414</f>
        <v>42207900</v>
      </c>
      <c r="AB292" s="221"/>
    </row>
    <row r="293" spans="1:28" s="82" customFormat="1" ht="15.75" hidden="1" customHeight="1" x14ac:dyDescent="0.25">
      <c r="A293" s="81"/>
      <c r="B293" s="81"/>
      <c r="C293" s="29" t="s">
        <v>597</v>
      </c>
      <c r="D293" s="80">
        <f>'дод 2'!E216</f>
        <v>0</v>
      </c>
      <c r="E293" s="80">
        <f>'дод 2'!F216</f>
        <v>0</v>
      </c>
      <c r="F293" s="80">
        <f>'дод 2'!G216</f>
        <v>0</v>
      </c>
      <c r="G293" s="80">
        <f>'дод 2'!H216</f>
        <v>0</v>
      </c>
      <c r="H293" s="80">
        <f>'дод 2'!I216</f>
        <v>0</v>
      </c>
      <c r="I293" s="80">
        <f>'дод 2'!J216</f>
        <v>0</v>
      </c>
      <c r="J293" s="80">
        <f>'дод 2'!K216</f>
        <v>0</v>
      </c>
      <c r="K293" s="80">
        <f>'дод 2'!L216</f>
        <v>0</v>
      </c>
      <c r="L293" s="180" t="e">
        <f t="shared" si="128"/>
        <v>#DIV/0!</v>
      </c>
      <c r="M293" s="80">
        <f>'дод 2'!N216</f>
        <v>0</v>
      </c>
      <c r="N293" s="80">
        <f>'дод 2'!O216</f>
        <v>0</v>
      </c>
      <c r="O293" s="80">
        <f>'дод 2'!P216</f>
        <v>0</v>
      </c>
      <c r="P293" s="80">
        <f>'дод 2'!Q216</f>
        <v>0</v>
      </c>
      <c r="Q293" s="80">
        <f>'дод 2'!R216</f>
        <v>0</v>
      </c>
      <c r="R293" s="80">
        <f>'дод 2'!S216</f>
        <v>0</v>
      </c>
      <c r="S293" s="80">
        <f>'дод 2'!T216</f>
        <v>0</v>
      </c>
      <c r="T293" s="80">
        <f>'дод 2'!U216</f>
        <v>0</v>
      </c>
      <c r="U293" s="80">
        <f>'дод 2'!V216</f>
        <v>0</v>
      </c>
      <c r="V293" s="80">
        <f>'дод 2'!W216</f>
        <v>0</v>
      </c>
      <c r="W293" s="80">
        <f>'дод 2'!X216</f>
        <v>0</v>
      </c>
      <c r="X293" s="80">
        <f>'дод 2'!Y216</f>
        <v>0</v>
      </c>
      <c r="Y293" s="180" t="e">
        <f t="shared" si="129"/>
        <v>#DIV/0!</v>
      </c>
      <c r="Z293" s="80">
        <f t="shared" si="130"/>
        <v>0</v>
      </c>
      <c r="AA293" s="80">
        <f>'дод 2'!AB216</f>
        <v>0</v>
      </c>
      <c r="AB293" s="221"/>
    </row>
    <row r="294" spans="1:28" ht="33.75" customHeight="1" x14ac:dyDescent="0.25">
      <c r="A294" s="45" t="s">
        <v>258</v>
      </c>
      <c r="B294" s="45" t="s">
        <v>78</v>
      </c>
      <c r="C294" s="33" t="s">
        <v>332</v>
      </c>
      <c r="D294" s="79">
        <f>'дод 2'!E437+'дод 2'!E446+'дод 2'!E458</f>
        <v>0</v>
      </c>
      <c r="E294" s="79">
        <f>'дод 2'!F437+'дод 2'!F446+'дод 2'!F458</f>
        <v>0</v>
      </c>
      <c r="F294" s="79">
        <f>'дод 2'!G437+'дод 2'!G446+'дод 2'!G458</f>
        <v>0</v>
      </c>
      <c r="G294" s="79">
        <f>'дод 2'!H437+'дод 2'!H446+'дод 2'!H458</f>
        <v>0</v>
      </c>
      <c r="H294" s="79">
        <f>'дод 2'!I437+'дод 2'!I446+'дод 2'!I458</f>
        <v>0</v>
      </c>
      <c r="I294" s="79">
        <f>'дод 2'!J437+'дод 2'!J446+'дод 2'!J458</f>
        <v>0</v>
      </c>
      <c r="J294" s="79">
        <f>'дод 2'!K437+'дод 2'!K446+'дод 2'!K458</f>
        <v>0</v>
      </c>
      <c r="K294" s="79">
        <f>'дод 2'!L437+'дод 2'!L446+'дод 2'!L458</f>
        <v>0</v>
      </c>
      <c r="L294" s="179"/>
      <c r="M294" s="79">
        <f>'дод 2'!N437+'дод 2'!N446+'дод 2'!N458</f>
        <v>30000</v>
      </c>
      <c r="N294" s="79">
        <f>'дод 2'!O437+'дод 2'!O446+'дод 2'!O458</f>
        <v>30000</v>
      </c>
      <c r="O294" s="79">
        <f>'дод 2'!P437+'дод 2'!P446+'дод 2'!P458</f>
        <v>0</v>
      </c>
      <c r="P294" s="79">
        <f>'дод 2'!Q437+'дод 2'!Q446+'дод 2'!Q458</f>
        <v>0</v>
      </c>
      <c r="Q294" s="79">
        <f>'дод 2'!R437+'дод 2'!R446+'дод 2'!R458</f>
        <v>0</v>
      </c>
      <c r="R294" s="79">
        <f>'дод 2'!S437+'дод 2'!S446+'дод 2'!S458</f>
        <v>30000</v>
      </c>
      <c r="S294" s="79">
        <f>'дод 2'!T437+'дод 2'!T446+'дод 2'!T458</f>
        <v>30000</v>
      </c>
      <c r="T294" s="79">
        <f>'дод 2'!U437+'дод 2'!U446+'дод 2'!U458</f>
        <v>30000</v>
      </c>
      <c r="U294" s="79">
        <f>'дод 2'!V437+'дод 2'!V446+'дод 2'!V458</f>
        <v>0</v>
      </c>
      <c r="V294" s="79">
        <f>'дод 2'!W437+'дод 2'!W446+'дод 2'!W458</f>
        <v>0</v>
      </c>
      <c r="W294" s="79">
        <f>'дод 2'!X437+'дод 2'!X446+'дод 2'!X458</f>
        <v>0</v>
      </c>
      <c r="X294" s="79">
        <f>'дод 2'!Y437+'дод 2'!Y446+'дод 2'!Y458</f>
        <v>30000</v>
      </c>
      <c r="Y294" s="179">
        <f t="shared" si="129"/>
        <v>100</v>
      </c>
      <c r="Z294" s="79">
        <f t="shared" si="130"/>
        <v>30000</v>
      </c>
      <c r="AA294" s="79">
        <f>'дод 2'!AB437+'дод 2'!AB446+'дод 2'!AB458</f>
        <v>30000</v>
      </c>
      <c r="AB294" s="221"/>
    </row>
    <row r="295" spans="1:28" ht="47.25" customHeight="1" x14ac:dyDescent="0.25">
      <c r="A295" s="45" t="s">
        <v>260</v>
      </c>
      <c r="B295" s="45" t="s">
        <v>78</v>
      </c>
      <c r="C295" s="33" t="s">
        <v>261</v>
      </c>
      <c r="D295" s="79">
        <f>'дод 2'!E438+'дод 2'!E447+'дод 2'!E459</f>
        <v>0</v>
      </c>
      <c r="E295" s="79">
        <f>'дод 2'!F438+'дод 2'!F447+'дод 2'!F459</f>
        <v>0</v>
      </c>
      <c r="F295" s="79">
        <f>'дод 2'!G438+'дод 2'!G447+'дод 2'!G459</f>
        <v>0</v>
      </c>
      <c r="G295" s="79">
        <f>'дод 2'!H438+'дод 2'!H447+'дод 2'!H459</f>
        <v>0</v>
      </c>
      <c r="H295" s="79">
        <f>'дод 2'!I438+'дод 2'!I447+'дод 2'!I459</f>
        <v>0</v>
      </c>
      <c r="I295" s="79">
        <f>'дод 2'!J438+'дод 2'!J447+'дод 2'!J459</f>
        <v>0</v>
      </c>
      <c r="J295" s="79">
        <f>'дод 2'!K438+'дод 2'!K447+'дод 2'!K459</f>
        <v>0</v>
      </c>
      <c r="K295" s="79">
        <f>'дод 2'!L438+'дод 2'!L447+'дод 2'!L459</f>
        <v>0</v>
      </c>
      <c r="L295" s="179"/>
      <c r="M295" s="79">
        <f>'дод 2'!N438+'дод 2'!N447+'дод 2'!N459</f>
        <v>50000</v>
      </c>
      <c r="N295" s="79">
        <f>'дод 2'!O438+'дод 2'!O447+'дод 2'!O459</f>
        <v>50000</v>
      </c>
      <c r="O295" s="79">
        <f>'дод 2'!P438+'дод 2'!P447+'дод 2'!P459</f>
        <v>0</v>
      </c>
      <c r="P295" s="79">
        <f>'дод 2'!Q438+'дод 2'!Q447+'дод 2'!Q459</f>
        <v>0</v>
      </c>
      <c r="Q295" s="79">
        <f>'дод 2'!R438+'дод 2'!R447+'дод 2'!R459</f>
        <v>0</v>
      </c>
      <c r="R295" s="79">
        <f>'дод 2'!S438+'дод 2'!S447+'дод 2'!S459</f>
        <v>50000</v>
      </c>
      <c r="S295" s="79">
        <f>'дод 2'!T438+'дод 2'!T447+'дод 2'!T459</f>
        <v>7500</v>
      </c>
      <c r="T295" s="79">
        <f>'дод 2'!U438+'дод 2'!U447+'дод 2'!U459</f>
        <v>7500</v>
      </c>
      <c r="U295" s="79">
        <f>'дод 2'!V438+'дод 2'!V447+'дод 2'!V459</f>
        <v>0</v>
      </c>
      <c r="V295" s="79">
        <f>'дод 2'!W438+'дод 2'!W447+'дод 2'!W459</f>
        <v>0</v>
      </c>
      <c r="W295" s="79">
        <f>'дод 2'!X438+'дод 2'!X447+'дод 2'!X459</f>
        <v>0</v>
      </c>
      <c r="X295" s="79">
        <f>'дод 2'!Y438+'дод 2'!Y447+'дод 2'!Y459</f>
        <v>7500</v>
      </c>
      <c r="Y295" s="179">
        <f t="shared" si="129"/>
        <v>15</v>
      </c>
      <c r="Z295" s="79">
        <f t="shared" si="130"/>
        <v>7500</v>
      </c>
      <c r="AA295" s="79">
        <f>'дод 2'!AB438+'дод 2'!AB447+'дод 2'!AB459</f>
        <v>50000</v>
      </c>
      <c r="AB295" s="221"/>
    </row>
    <row r="296" spans="1:28" ht="34.9" customHeight="1" x14ac:dyDescent="0.25">
      <c r="A296" s="45" t="s">
        <v>5</v>
      </c>
      <c r="B296" s="45" t="s">
        <v>78</v>
      </c>
      <c r="C296" s="33" t="s">
        <v>718</v>
      </c>
      <c r="D296" s="79">
        <f>'дод 2'!E60+'дод 2'!E355</f>
        <v>0</v>
      </c>
      <c r="E296" s="79">
        <f>'дод 2'!F60+'дод 2'!F355</f>
        <v>0</v>
      </c>
      <c r="F296" s="79">
        <f>'дод 2'!G60+'дод 2'!G355</f>
        <v>0</v>
      </c>
      <c r="G296" s="79">
        <f>'дод 2'!H60+'дод 2'!H355</f>
        <v>0</v>
      </c>
      <c r="H296" s="79">
        <f>'дод 2'!I60+'дод 2'!I355</f>
        <v>0</v>
      </c>
      <c r="I296" s="79">
        <f>'дод 2'!J60+'дод 2'!J355</f>
        <v>0</v>
      </c>
      <c r="J296" s="79">
        <f>'дод 2'!K60+'дод 2'!K355</f>
        <v>0</v>
      </c>
      <c r="K296" s="79">
        <f>'дод 2'!L60+'дод 2'!L355</f>
        <v>0</v>
      </c>
      <c r="L296" s="179"/>
      <c r="M296" s="79">
        <f>'дод 2'!N60+'дод 2'!N355</f>
        <v>6788599</v>
      </c>
      <c r="N296" s="79">
        <f>'дод 2'!O60+'дод 2'!O355</f>
        <v>6788599</v>
      </c>
      <c r="O296" s="79">
        <f>'дод 2'!P60+'дод 2'!P355</f>
        <v>0</v>
      </c>
      <c r="P296" s="79">
        <f>'дод 2'!Q60+'дод 2'!Q355</f>
        <v>0</v>
      </c>
      <c r="Q296" s="79">
        <f>'дод 2'!R60+'дод 2'!R355</f>
        <v>0</v>
      </c>
      <c r="R296" s="79">
        <f>'дод 2'!S60+'дод 2'!S355</f>
        <v>6788599</v>
      </c>
      <c r="S296" s="79">
        <f>'дод 2'!T60+'дод 2'!T355</f>
        <v>6692562.8700000001</v>
      </c>
      <c r="T296" s="79">
        <f>'дод 2'!U60+'дод 2'!U355</f>
        <v>6692562.8700000001</v>
      </c>
      <c r="U296" s="79">
        <f>'дод 2'!V60+'дод 2'!V355</f>
        <v>0</v>
      </c>
      <c r="V296" s="79">
        <f>'дод 2'!W60+'дод 2'!W355</f>
        <v>0</v>
      </c>
      <c r="W296" s="79">
        <f>'дод 2'!X60+'дод 2'!X355</f>
        <v>0</v>
      </c>
      <c r="X296" s="79">
        <f>'дод 2'!Y60+'дод 2'!Y355</f>
        <v>6692562.8700000001</v>
      </c>
      <c r="Y296" s="179">
        <f t="shared" si="129"/>
        <v>98.585332113444906</v>
      </c>
      <c r="Z296" s="79">
        <f t="shared" si="130"/>
        <v>6692562.8700000001</v>
      </c>
      <c r="AA296" s="79">
        <f>'дод 2'!AB60+'дод 2'!AB355</f>
        <v>6788599</v>
      </c>
      <c r="AB296" s="221">
        <v>12</v>
      </c>
    </row>
    <row r="297" spans="1:28" s="82" customFormat="1" ht="94.5" x14ac:dyDescent="0.25">
      <c r="A297" s="81"/>
      <c r="B297" s="81"/>
      <c r="C297" s="48" t="s">
        <v>618</v>
      </c>
      <c r="D297" s="80">
        <f>'дод 2'!E356</f>
        <v>0</v>
      </c>
      <c r="E297" s="80">
        <f>'дод 2'!F356</f>
        <v>0</v>
      </c>
      <c r="F297" s="80">
        <f>'дод 2'!G356</f>
        <v>0</v>
      </c>
      <c r="G297" s="80">
        <f>'дод 2'!H356</f>
        <v>0</v>
      </c>
      <c r="H297" s="80">
        <f>'дод 2'!I356</f>
        <v>0</v>
      </c>
      <c r="I297" s="80">
        <f>'дод 2'!J356</f>
        <v>0</v>
      </c>
      <c r="J297" s="80">
        <f>'дод 2'!K356</f>
        <v>0</v>
      </c>
      <c r="K297" s="80">
        <f>'дод 2'!L356</f>
        <v>0</v>
      </c>
      <c r="L297" s="180"/>
      <c r="M297" s="80">
        <f>'дод 2'!N356</f>
        <v>371900</v>
      </c>
      <c r="N297" s="80">
        <f>'дод 2'!O356</f>
        <v>371900</v>
      </c>
      <c r="O297" s="80">
        <f>'дод 2'!P356</f>
        <v>0</v>
      </c>
      <c r="P297" s="80">
        <f>'дод 2'!Q356</f>
        <v>0</v>
      </c>
      <c r="Q297" s="80">
        <f>'дод 2'!R356</f>
        <v>0</v>
      </c>
      <c r="R297" s="80">
        <f>'дод 2'!S356</f>
        <v>371900</v>
      </c>
      <c r="S297" s="80">
        <f>'дод 2'!T356</f>
        <v>335747.22</v>
      </c>
      <c r="T297" s="80">
        <f>'дод 2'!U356</f>
        <v>335747.22</v>
      </c>
      <c r="U297" s="80">
        <f>'дод 2'!V356</f>
        <v>0</v>
      </c>
      <c r="V297" s="80">
        <f>'дод 2'!W356</f>
        <v>0</v>
      </c>
      <c r="W297" s="80">
        <f>'дод 2'!X356</f>
        <v>0</v>
      </c>
      <c r="X297" s="80">
        <f>'дод 2'!Y356</f>
        <v>335747.22</v>
      </c>
      <c r="Y297" s="180">
        <f t="shared" si="129"/>
        <v>90.278897553105665</v>
      </c>
      <c r="Z297" s="80">
        <f t="shared" si="130"/>
        <v>335747.22</v>
      </c>
      <c r="AA297" s="80">
        <f>'дод 2'!AB356</f>
        <v>371900</v>
      </c>
      <c r="AB297" s="221"/>
    </row>
    <row r="298" spans="1:28" ht="16.5" hidden="1" customHeight="1" x14ac:dyDescent="0.25">
      <c r="A298" s="45"/>
      <c r="B298" s="45"/>
      <c r="C298" s="29" t="s">
        <v>399</v>
      </c>
      <c r="D298" s="79">
        <f>'дод 2'!E357</f>
        <v>0</v>
      </c>
      <c r="E298" s="79">
        <f>'дод 2'!F357</f>
        <v>0</v>
      </c>
      <c r="F298" s="79">
        <f>'дод 2'!G357</f>
        <v>0</v>
      </c>
      <c r="G298" s="79">
        <f>'дод 2'!H357</f>
        <v>0</v>
      </c>
      <c r="H298" s="79">
        <f>'дод 2'!I357</f>
        <v>0</v>
      </c>
      <c r="I298" s="79">
        <f>'дод 2'!J357</f>
        <v>0</v>
      </c>
      <c r="J298" s="79">
        <f>'дод 2'!K357</f>
        <v>0</v>
      </c>
      <c r="K298" s="79">
        <f>'дод 2'!L357</f>
        <v>0</v>
      </c>
      <c r="L298" s="179" t="e">
        <f t="shared" si="128"/>
        <v>#DIV/0!</v>
      </c>
      <c r="M298" s="79">
        <f>'дод 2'!N357</f>
        <v>0</v>
      </c>
      <c r="N298" s="79">
        <f>'дод 2'!O357</f>
        <v>0</v>
      </c>
      <c r="O298" s="79">
        <f>'дод 2'!P357</f>
        <v>0</v>
      </c>
      <c r="P298" s="79">
        <f>'дод 2'!Q357</f>
        <v>0</v>
      </c>
      <c r="Q298" s="79">
        <f>'дод 2'!R357</f>
        <v>0</v>
      </c>
      <c r="R298" s="79">
        <f>'дод 2'!S357</f>
        <v>0</v>
      </c>
      <c r="S298" s="79">
        <f>'дод 2'!T357</f>
        <v>0</v>
      </c>
      <c r="T298" s="79">
        <f>'дод 2'!U357</f>
        <v>0</v>
      </c>
      <c r="U298" s="79">
        <f>'дод 2'!V357</f>
        <v>0</v>
      </c>
      <c r="V298" s="79">
        <f>'дод 2'!W357</f>
        <v>0</v>
      </c>
      <c r="W298" s="79">
        <f>'дод 2'!X357</f>
        <v>0</v>
      </c>
      <c r="X298" s="79">
        <f>'дод 2'!Y357</f>
        <v>0</v>
      </c>
      <c r="Y298" s="179" t="e">
        <f t="shared" si="129"/>
        <v>#DIV/0!</v>
      </c>
      <c r="Z298" s="79">
        <f t="shared" si="130"/>
        <v>0</v>
      </c>
      <c r="AA298" s="79">
        <f>'дод 2'!AB357</f>
        <v>0</v>
      </c>
      <c r="AB298" s="221"/>
    </row>
    <row r="299" spans="1:28" ht="33.75" customHeight="1" x14ac:dyDescent="0.25">
      <c r="A299" s="45" t="s">
        <v>240</v>
      </c>
      <c r="B299" s="45" t="s">
        <v>78</v>
      </c>
      <c r="C299" s="33" t="s">
        <v>241</v>
      </c>
      <c r="D299" s="79">
        <f>'дод 2'!E61</f>
        <v>441318</v>
      </c>
      <c r="E299" s="79">
        <f>'дод 2'!F61</f>
        <v>441318</v>
      </c>
      <c r="F299" s="79">
        <f>'дод 2'!G61</f>
        <v>0</v>
      </c>
      <c r="G299" s="79">
        <f>'дод 2'!H61</f>
        <v>0</v>
      </c>
      <c r="H299" s="79">
        <f>'дод 2'!I61</f>
        <v>0</v>
      </c>
      <c r="I299" s="79">
        <f>'дод 2'!J61</f>
        <v>441318</v>
      </c>
      <c r="J299" s="79">
        <f>'дод 2'!K61</f>
        <v>0</v>
      </c>
      <c r="K299" s="79">
        <f>'дод 2'!L61</f>
        <v>0</v>
      </c>
      <c r="L299" s="179">
        <f t="shared" si="128"/>
        <v>100</v>
      </c>
      <c r="M299" s="79">
        <f>'дод 2'!N61</f>
        <v>0</v>
      </c>
      <c r="N299" s="79">
        <f>'дод 2'!O61</f>
        <v>0</v>
      </c>
      <c r="O299" s="79">
        <f>'дод 2'!P61</f>
        <v>0</v>
      </c>
      <c r="P299" s="79">
        <f>'дод 2'!Q61</f>
        <v>0</v>
      </c>
      <c r="Q299" s="79">
        <f>'дод 2'!R61</f>
        <v>0</v>
      </c>
      <c r="R299" s="79">
        <f>'дод 2'!S61</f>
        <v>0</v>
      </c>
      <c r="S299" s="79">
        <f>'дод 2'!T61</f>
        <v>0</v>
      </c>
      <c r="T299" s="79">
        <f>'дод 2'!U61</f>
        <v>0</v>
      </c>
      <c r="U299" s="79">
        <f>'дод 2'!V61</f>
        <v>0</v>
      </c>
      <c r="V299" s="79">
        <f>'дод 2'!W61</f>
        <v>0</v>
      </c>
      <c r="W299" s="79">
        <f>'дод 2'!X61</f>
        <v>0</v>
      </c>
      <c r="X299" s="79">
        <f>'дод 2'!Y61</f>
        <v>0</v>
      </c>
      <c r="Y299" s="179"/>
      <c r="Z299" s="79">
        <f t="shared" si="130"/>
        <v>441318</v>
      </c>
      <c r="AA299" s="79">
        <f>'дод 2'!AB61</f>
        <v>441318</v>
      </c>
      <c r="AB299" s="221"/>
    </row>
    <row r="300" spans="1:28" s="82" customFormat="1" ht="90.75" customHeight="1" x14ac:dyDescent="0.25">
      <c r="A300" s="45" t="s">
        <v>284</v>
      </c>
      <c r="B300" s="45" t="s">
        <v>78</v>
      </c>
      <c r="C300" s="33" t="s">
        <v>301</v>
      </c>
      <c r="D300" s="79">
        <f>'дод 2'!E62+'дод 2'!E358+'дод 2'!E415+'дод 2'!E424</f>
        <v>0</v>
      </c>
      <c r="E300" s="79">
        <f>'дод 2'!F62+'дод 2'!F358+'дод 2'!F415+'дод 2'!F424</f>
        <v>0</v>
      </c>
      <c r="F300" s="79">
        <f>'дод 2'!G62+'дод 2'!G358+'дод 2'!G415+'дод 2'!G424</f>
        <v>0</v>
      </c>
      <c r="G300" s="79">
        <f>'дод 2'!H62+'дод 2'!H358+'дод 2'!H415+'дод 2'!H424</f>
        <v>0</v>
      </c>
      <c r="H300" s="79">
        <f>'дод 2'!I62+'дод 2'!I358+'дод 2'!I415+'дод 2'!I424</f>
        <v>0</v>
      </c>
      <c r="I300" s="79">
        <f>'дод 2'!J62+'дод 2'!J358+'дод 2'!J415+'дод 2'!J424</f>
        <v>0</v>
      </c>
      <c r="J300" s="79">
        <f>'дод 2'!K62+'дод 2'!K358+'дод 2'!K415+'дод 2'!K424</f>
        <v>0</v>
      </c>
      <c r="K300" s="79">
        <f>'дод 2'!L62+'дод 2'!L358+'дод 2'!L415+'дод 2'!L424</f>
        <v>0</v>
      </c>
      <c r="L300" s="179"/>
      <c r="M300" s="79">
        <f>'дод 2'!N62+'дод 2'!N358+'дод 2'!N415+'дод 2'!N424</f>
        <v>110000</v>
      </c>
      <c r="N300" s="79">
        <f>'дод 2'!O62+'дод 2'!O358+'дод 2'!O415+'дод 2'!O424</f>
        <v>0</v>
      </c>
      <c r="O300" s="79">
        <f>'дод 2'!P62+'дод 2'!P358+'дод 2'!P415+'дод 2'!P424</f>
        <v>110000</v>
      </c>
      <c r="P300" s="79">
        <f>'дод 2'!Q62+'дод 2'!Q358+'дод 2'!Q415+'дод 2'!Q424</f>
        <v>0</v>
      </c>
      <c r="Q300" s="79">
        <f>'дод 2'!R62+'дод 2'!R358+'дод 2'!R415+'дод 2'!R424</f>
        <v>0</v>
      </c>
      <c r="R300" s="79">
        <f>'дод 2'!S62+'дод 2'!S358+'дод 2'!S415+'дод 2'!S424</f>
        <v>0</v>
      </c>
      <c r="S300" s="79">
        <f>'дод 2'!T62+'дод 2'!T358+'дод 2'!T415+'дод 2'!T424</f>
        <v>10000</v>
      </c>
      <c r="T300" s="79">
        <f>'дод 2'!U62+'дод 2'!U358+'дод 2'!U415+'дод 2'!U424</f>
        <v>0</v>
      </c>
      <c r="U300" s="79">
        <f>'дод 2'!V62+'дод 2'!V358+'дод 2'!V415+'дод 2'!V424</f>
        <v>10000</v>
      </c>
      <c r="V300" s="79">
        <f>'дод 2'!W62+'дод 2'!W358+'дод 2'!W415+'дод 2'!W424</f>
        <v>0</v>
      </c>
      <c r="W300" s="79">
        <f>'дод 2'!X62+'дод 2'!X358+'дод 2'!X415+'дод 2'!X424</f>
        <v>0</v>
      </c>
      <c r="X300" s="79">
        <f>'дод 2'!Y62+'дод 2'!Y358+'дод 2'!Y415+'дод 2'!Y424</f>
        <v>0</v>
      </c>
      <c r="Y300" s="179">
        <f t="shared" si="129"/>
        <v>9.0909090909090917</v>
      </c>
      <c r="Z300" s="79">
        <f t="shared" si="130"/>
        <v>10000</v>
      </c>
      <c r="AA300" s="79">
        <f>'дод 2'!AB62+'дод 2'!AB358+'дод 2'!AB415+'дод 2'!AB424</f>
        <v>110000</v>
      </c>
      <c r="AB300" s="221"/>
    </row>
    <row r="301" spans="1:28" s="82" customFormat="1" ht="23.25" customHeight="1" x14ac:dyDescent="0.25">
      <c r="A301" s="45" t="s">
        <v>231</v>
      </c>
      <c r="B301" s="45" t="s">
        <v>78</v>
      </c>
      <c r="C301" s="33" t="s">
        <v>732</v>
      </c>
      <c r="D301" s="79">
        <f>'дод 2'!E63+'дод 2'!E439+'дод 2'!E468+'дод 2'!E163+'дод 2'!E448+'дод 2'!E460+'дод 2'!E166</f>
        <v>2184400</v>
      </c>
      <c r="E301" s="79">
        <f>'дод 2'!F63+'дод 2'!F439+'дод 2'!F468+'дод 2'!F163+'дод 2'!F448+'дод 2'!F460+'дод 2'!F166</f>
        <v>2184400</v>
      </c>
      <c r="F301" s="79">
        <f>'дод 2'!G63+'дод 2'!G439+'дод 2'!G468+'дод 2'!G163+'дод 2'!G448+'дод 2'!G460+'дод 2'!G166</f>
        <v>0</v>
      </c>
      <c r="G301" s="79">
        <f>'дод 2'!H63+'дод 2'!H439+'дод 2'!H468+'дод 2'!H163+'дод 2'!H448+'дод 2'!H460+'дод 2'!H166</f>
        <v>0</v>
      </c>
      <c r="H301" s="79">
        <f>'дод 2'!I63+'дод 2'!I439+'дод 2'!I468+'дод 2'!I163+'дод 2'!I448+'дод 2'!I460+'дод 2'!I166</f>
        <v>0</v>
      </c>
      <c r="I301" s="79">
        <f>'дод 2'!J63+'дод 2'!J439+'дод 2'!J468+'дод 2'!J163+'дод 2'!J448+'дод 2'!J460+'дод 2'!J166</f>
        <v>1816264.44</v>
      </c>
      <c r="J301" s="79">
        <f>'дод 2'!K63+'дод 2'!K439+'дод 2'!K468+'дод 2'!K163+'дод 2'!K448+'дод 2'!K460+'дод 2'!K166</f>
        <v>0</v>
      </c>
      <c r="K301" s="79">
        <f>'дод 2'!L63+'дод 2'!L439+'дод 2'!L468+'дод 2'!L163+'дод 2'!L448+'дод 2'!L460+'дод 2'!L166</f>
        <v>0</v>
      </c>
      <c r="L301" s="179">
        <f t="shared" si="128"/>
        <v>83.147062809009327</v>
      </c>
      <c r="M301" s="79">
        <f>'дод 2'!N63+'дод 2'!N439+'дод 2'!N468+'дод 2'!N163+'дод 2'!N448+'дод 2'!N460+'дод 2'!N166</f>
        <v>0</v>
      </c>
      <c r="N301" s="79">
        <f>'дод 2'!O63+'дод 2'!O439+'дод 2'!O468+'дод 2'!O163+'дод 2'!O448+'дод 2'!O460+'дод 2'!O166</f>
        <v>0</v>
      </c>
      <c r="O301" s="79">
        <f>'дод 2'!P63+'дод 2'!P439+'дод 2'!P468+'дод 2'!P163+'дод 2'!P448+'дод 2'!P460+'дод 2'!P166</f>
        <v>0</v>
      </c>
      <c r="P301" s="79">
        <f>'дод 2'!Q63+'дод 2'!Q439+'дод 2'!Q468+'дод 2'!Q163+'дод 2'!Q448+'дод 2'!Q460+'дод 2'!Q166</f>
        <v>0</v>
      </c>
      <c r="Q301" s="79">
        <f>'дод 2'!R63+'дод 2'!R439+'дод 2'!R468+'дод 2'!R163+'дод 2'!R448+'дод 2'!R460+'дод 2'!R166</f>
        <v>0</v>
      </c>
      <c r="R301" s="79">
        <f>'дод 2'!S63+'дод 2'!S439+'дод 2'!S468+'дод 2'!S163+'дод 2'!S448+'дод 2'!S460+'дод 2'!S166</f>
        <v>0</v>
      </c>
      <c r="S301" s="79">
        <f>'дод 2'!T63+'дод 2'!T439+'дод 2'!T468+'дод 2'!T163+'дод 2'!T448+'дод 2'!T460+'дод 2'!T166</f>
        <v>0</v>
      </c>
      <c r="T301" s="79">
        <f>'дод 2'!U63+'дод 2'!U439+'дод 2'!U468+'дод 2'!U163+'дод 2'!U448+'дод 2'!U460+'дод 2'!U166</f>
        <v>0</v>
      </c>
      <c r="U301" s="79">
        <f>'дод 2'!V63+'дод 2'!V439+'дод 2'!V468+'дод 2'!V163+'дод 2'!V448+'дод 2'!V460+'дод 2'!V166</f>
        <v>0</v>
      </c>
      <c r="V301" s="79">
        <f>'дод 2'!W63+'дод 2'!W439+'дод 2'!W468+'дод 2'!W163+'дод 2'!W448+'дод 2'!W460+'дод 2'!W166</f>
        <v>0</v>
      </c>
      <c r="W301" s="79">
        <f>'дод 2'!X63+'дод 2'!X439+'дод 2'!X468+'дод 2'!X163+'дод 2'!X448+'дод 2'!X460+'дод 2'!X166</f>
        <v>0</v>
      </c>
      <c r="X301" s="79">
        <f>'дод 2'!Y63+'дод 2'!Y439+'дод 2'!Y468+'дод 2'!Y163+'дод 2'!Y448+'дод 2'!Y460+'дод 2'!Y166</f>
        <v>0</v>
      </c>
      <c r="Y301" s="179"/>
      <c r="Z301" s="79">
        <f t="shared" si="130"/>
        <v>1816264.44</v>
      </c>
      <c r="AA301" s="79">
        <f>'дод 2'!AB63+'дод 2'!AB439+'дод 2'!AB468+'дод 2'!AB163+'дод 2'!AB448+'дод 2'!AB460+'дод 2'!AB166</f>
        <v>2184400</v>
      </c>
      <c r="AB301" s="221"/>
    </row>
    <row r="302" spans="1:28" s="82" customFormat="1" ht="94.5" x14ac:dyDescent="0.25">
      <c r="A302" s="45"/>
      <c r="B302" s="45"/>
      <c r="C302" s="48" t="s">
        <v>618</v>
      </c>
      <c r="D302" s="80">
        <f>'дод 2'!E449</f>
        <v>163600</v>
      </c>
      <c r="E302" s="80">
        <f>'дод 2'!F449</f>
        <v>163600</v>
      </c>
      <c r="F302" s="80">
        <f>'дод 2'!G449</f>
        <v>0</v>
      </c>
      <c r="G302" s="80">
        <f>'дод 2'!H449</f>
        <v>0</v>
      </c>
      <c r="H302" s="80">
        <f>'дод 2'!I449</f>
        <v>0</v>
      </c>
      <c r="I302" s="80">
        <f>'дод 2'!J449</f>
        <v>163600</v>
      </c>
      <c r="J302" s="80">
        <f>'дод 2'!K449</f>
        <v>0</v>
      </c>
      <c r="K302" s="80">
        <f>'дод 2'!L449</f>
        <v>0</v>
      </c>
      <c r="L302" s="180">
        <f t="shared" si="128"/>
        <v>100</v>
      </c>
      <c r="M302" s="80">
        <f>'дод 2'!N449</f>
        <v>0</v>
      </c>
      <c r="N302" s="80">
        <f>'дод 2'!O449</f>
        <v>0</v>
      </c>
      <c r="O302" s="80">
        <f>'дод 2'!P449</f>
        <v>0</v>
      </c>
      <c r="P302" s="80">
        <f>'дод 2'!Q449</f>
        <v>0</v>
      </c>
      <c r="Q302" s="80">
        <f>'дод 2'!R449</f>
        <v>0</v>
      </c>
      <c r="R302" s="80">
        <f>'дод 2'!S449</f>
        <v>0</v>
      </c>
      <c r="S302" s="80">
        <f>'дод 2'!T449</f>
        <v>0</v>
      </c>
      <c r="T302" s="80">
        <f>'дод 2'!U449</f>
        <v>0</v>
      </c>
      <c r="U302" s="80">
        <f>'дод 2'!V449</f>
        <v>0</v>
      </c>
      <c r="V302" s="80">
        <f>'дод 2'!W449</f>
        <v>0</v>
      </c>
      <c r="W302" s="80">
        <f>'дод 2'!X449</f>
        <v>0</v>
      </c>
      <c r="X302" s="80">
        <f>'дод 2'!Y449</f>
        <v>0</v>
      </c>
      <c r="Y302" s="180"/>
      <c r="Z302" s="80">
        <f t="shared" si="130"/>
        <v>163600</v>
      </c>
      <c r="AA302" s="80">
        <f>'дод 2'!AB449</f>
        <v>163600</v>
      </c>
      <c r="AB302" s="221"/>
    </row>
    <row r="303" spans="1:28" s="85" customFormat="1" ht="50.25" customHeight="1" x14ac:dyDescent="0.25">
      <c r="A303" s="83">
        <v>7700</v>
      </c>
      <c r="B303" s="74" t="s">
        <v>89</v>
      </c>
      <c r="C303" s="39" t="s">
        <v>596</v>
      </c>
      <c r="D303" s="77">
        <f>'дод 2'!E64+'дод 2'!E359</f>
        <v>0</v>
      </c>
      <c r="E303" s="77">
        <f>'дод 2'!F64+'дод 2'!F359</f>
        <v>0</v>
      </c>
      <c r="F303" s="77">
        <f>'дод 2'!G64+'дод 2'!G359</f>
        <v>0</v>
      </c>
      <c r="G303" s="77">
        <f>'дод 2'!H64+'дод 2'!H359</f>
        <v>0</v>
      </c>
      <c r="H303" s="77">
        <f>'дод 2'!I64+'дод 2'!I359</f>
        <v>0</v>
      </c>
      <c r="I303" s="77">
        <f>'дод 2'!J64+'дод 2'!J359</f>
        <v>0</v>
      </c>
      <c r="J303" s="77">
        <f>'дод 2'!K64+'дод 2'!K359</f>
        <v>0</v>
      </c>
      <c r="K303" s="77">
        <f>'дод 2'!L64+'дод 2'!L359</f>
        <v>0</v>
      </c>
      <c r="L303" s="136"/>
      <c r="M303" s="77">
        <f>'дод 2'!N64+'дод 2'!N359</f>
        <v>5904588</v>
      </c>
      <c r="N303" s="77">
        <f>'дод 2'!O64+'дод 2'!O359</f>
        <v>0</v>
      </c>
      <c r="O303" s="77">
        <f>'дод 2'!P64+'дод 2'!P359</f>
        <v>447641</v>
      </c>
      <c r="P303" s="77">
        <f>'дод 2'!Q64+'дод 2'!Q359</f>
        <v>0</v>
      </c>
      <c r="Q303" s="77">
        <f>'дод 2'!R64+'дод 2'!R359</f>
        <v>0</v>
      </c>
      <c r="R303" s="77">
        <f>'дод 2'!S64+'дод 2'!S359</f>
        <v>5456947</v>
      </c>
      <c r="S303" s="77">
        <f>'дод 2'!T64+'дод 2'!T359</f>
        <v>5715593.0999999996</v>
      </c>
      <c r="T303" s="77">
        <f>'дод 2'!U64+'дод 2'!U359</f>
        <v>0</v>
      </c>
      <c r="U303" s="77">
        <f>'дод 2'!V64+'дод 2'!V359</f>
        <v>415601.1</v>
      </c>
      <c r="V303" s="77">
        <f>'дод 2'!W64+'дод 2'!W359</f>
        <v>0</v>
      </c>
      <c r="W303" s="77">
        <f>'дод 2'!X64+'дод 2'!X359</f>
        <v>0</v>
      </c>
      <c r="X303" s="77">
        <f>'дод 2'!Y64+'дод 2'!Y359</f>
        <v>5299992</v>
      </c>
      <c r="Y303" s="136">
        <f t="shared" si="129"/>
        <v>96.799185650209623</v>
      </c>
      <c r="Z303" s="77">
        <f t="shared" si="130"/>
        <v>5715593.0999999996</v>
      </c>
      <c r="AA303" s="77">
        <f>'дод 2'!AB64+'дод 2'!AB359</f>
        <v>5904588</v>
      </c>
      <c r="AB303" s="221"/>
    </row>
    <row r="304" spans="1:28" s="85" customFormat="1" ht="26.25" customHeight="1" x14ac:dyDescent="0.25">
      <c r="A304" s="84"/>
      <c r="B304" s="97"/>
      <c r="C304" s="19" t="s">
        <v>597</v>
      </c>
      <c r="D304" s="78">
        <f>'дод 2'!E65+'дод 2'!E360</f>
        <v>0</v>
      </c>
      <c r="E304" s="78">
        <f>'дод 2'!F65+'дод 2'!F360</f>
        <v>0</v>
      </c>
      <c r="F304" s="78">
        <f>'дод 2'!G65+'дод 2'!G360</f>
        <v>0</v>
      </c>
      <c r="G304" s="78">
        <f>'дод 2'!H65+'дод 2'!H360</f>
        <v>0</v>
      </c>
      <c r="H304" s="78">
        <f>'дод 2'!I65+'дод 2'!I360</f>
        <v>0</v>
      </c>
      <c r="I304" s="78">
        <f>'дод 2'!J65+'дод 2'!J360</f>
        <v>0</v>
      </c>
      <c r="J304" s="78">
        <f>'дод 2'!K65+'дод 2'!K360</f>
        <v>0</v>
      </c>
      <c r="K304" s="78">
        <f>'дод 2'!L65+'дод 2'!L360</f>
        <v>0</v>
      </c>
      <c r="L304" s="178"/>
      <c r="M304" s="78">
        <f>'дод 2'!N65+'дод 2'!N360</f>
        <v>5904588</v>
      </c>
      <c r="N304" s="78">
        <f>'дод 2'!O65+'дод 2'!O360</f>
        <v>0</v>
      </c>
      <c r="O304" s="78">
        <f>'дод 2'!P65+'дод 2'!P360</f>
        <v>447641</v>
      </c>
      <c r="P304" s="78">
        <f>'дод 2'!Q65+'дод 2'!Q360</f>
        <v>0</v>
      </c>
      <c r="Q304" s="78">
        <f>'дод 2'!R65+'дод 2'!R360</f>
        <v>0</v>
      </c>
      <c r="R304" s="78">
        <f>'дод 2'!S65+'дод 2'!S360</f>
        <v>5456947</v>
      </c>
      <c r="S304" s="78">
        <f>'дод 2'!T65+'дод 2'!T360</f>
        <v>5715593.0999999996</v>
      </c>
      <c r="T304" s="78">
        <f>'дод 2'!U65+'дод 2'!U360</f>
        <v>0</v>
      </c>
      <c r="U304" s="78">
        <f>'дод 2'!V65+'дод 2'!V360</f>
        <v>415601.1</v>
      </c>
      <c r="V304" s="78">
        <f>'дод 2'!W65+'дод 2'!W360</f>
        <v>0</v>
      </c>
      <c r="W304" s="78">
        <f>'дод 2'!X65+'дод 2'!X360</f>
        <v>0</v>
      </c>
      <c r="X304" s="78">
        <f>'дод 2'!Y65+'дод 2'!Y360</f>
        <v>5299992</v>
      </c>
      <c r="Y304" s="178">
        <f t="shared" si="129"/>
        <v>96.799185650209623</v>
      </c>
      <c r="Z304" s="78">
        <f t="shared" si="130"/>
        <v>5715593.0999999996</v>
      </c>
      <c r="AA304" s="78">
        <f>'дод 2'!AB65+'дод 2'!AB360</f>
        <v>5904588</v>
      </c>
      <c r="AB304" s="221"/>
    </row>
    <row r="305" spans="1:32" s="73" customFormat="1" ht="30.75" customHeight="1" x14ac:dyDescent="0.25">
      <c r="A305" s="83" t="s">
        <v>90</v>
      </c>
      <c r="B305" s="38"/>
      <c r="C305" s="88" t="s">
        <v>653</v>
      </c>
      <c r="D305" s="77">
        <f>D310+D319+D324+D328+D332+D333+D330</f>
        <v>53018754.859999999</v>
      </c>
      <c r="E305" s="77">
        <f t="shared" ref="E305:W305" si="143">E310+E319+E324+E328+E332+E333+E330</f>
        <v>52870931.879999995</v>
      </c>
      <c r="F305" s="77">
        <f t="shared" si="143"/>
        <v>3087400</v>
      </c>
      <c r="G305" s="77">
        <f t="shared" si="143"/>
        <v>7202038.5800000001</v>
      </c>
      <c r="H305" s="77">
        <f t="shared" si="143"/>
        <v>0</v>
      </c>
      <c r="I305" s="77">
        <f t="shared" si="143"/>
        <v>40509646.400000006</v>
      </c>
      <c r="J305" s="77">
        <f t="shared" si="143"/>
        <v>2540015.84</v>
      </c>
      <c r="K305" s="77">
        <f t="shared" si="143"/>
        <v>4829058.1100000003</v>
      </c>
      <c r="L305" s="136">
        <f t="shared" si="128"/>
        <v>76.406257572379374</v>
      </c>
      <c r="M305" s="77">
        <f t="shared" si="143"/>
        <v>15902098</v>
      </c>
      <c r="N305" s="77">
        <f t="shared" si="143"/>
        <v>10774798</v>
      </c>
      <c r="O305" s="77">
        <f t="shared" si="143"/>
        <v>4535300</v>
      </c>
      <c r="P305" s="77">
        <f t="shared" si="143"/>
        <v>0</v>
      </c>
      <c r="Q305" s="77">
        <f t="shared" si="143"/>
        <v>1600</v>
      </c>
      <c r="R305" s="77">
        <f t="shared" si="143"/>
        <v>11366798</v>
      </c>
      <c r="S305" s="77">
        <f t="shared" si="143"/>
        <v>10302629.17</v>
      </c>
      <c r="T305" s="77">
        <f t="shared" si="143"/>
        <v>7192017</v>
      </c>
      <c r="U305" s="77">
        <f t="shared" si="143"/>
        <v>1798612.1700000002</v>
      </c>
      <c r="V305" s="77">
        <f t="shared" si="143"/>
        <v>101967.2</v>
      </c>
      <c r="W305" s="77">
        <f t="shared" si="143"/>
        <v>0</v>
      </c>
      <c r="X305" s="77">
        <f>X310+X319+X324+X328+X332+X333+X330</f>
        <v>8504017</v>
      </c>
      <c r="Y305" s="136">
        <f t="shared" si="129"/>
        <v>64.78786113631044</v>
      </c>
      <c r="Z305" s="77">
        <f t="shared" si="130"/>
        <v>50812275.570000008</v>
      </c>
      <c r="AA305" s="77">
        <f t="shared" ref="AA305" si="144">AA310+AA319+AA324+AA328+AA332+AA333+AA330</f>
        <v>68920852.859999999</v>
      </c>
      <c r="AB305" s="221"/>
    </row>
    <row r="306" spans="1:32" s="73" customFormat="1" ht="55.9" customHeight="1" x14ac:dyDescent="0.25">
      <c r="A306" s="83"/>
      <c r="B306" s="38"/>
      <c r="C306" s="19" t="s">
        <v>753</v>
      </c>
      <c r="D306" s="77">
        <f>D331</f>
        <v>0</v>
      </c>
      <c r="E306" s="77">
        <f t="shared" ref="E306:X306" si="145">E331</f>
        <v>0</v>
      </c>
      <c r="F306" s="77">
        <f t="shared" si="145"/>
        <v>0</v>
      </c>
      <c r="G306" s="77">
        <f t="shared" si="145"/>
        <v>0</v>
      </c>
      <c r="H306" s="77">
        <f t="shared" si="145"/>
        <v>0</v>
      </c>
      <c r="I306" s="77">
        <f t="shared" si="145"/>
        <v>0</v>
      </c>
      <c r="J306" s="77">
        <f t="shared" si="145"/>
        <v>0</v>
      </c>
      <c r="K306" s="77">
        <f t="shared" si="145"/>
        <v>0</v>
      </c>
      <c r="L306" s="136"/>
      <c r="M306" s="77">
        <f t="shared" si="145"/>
        <v>2892900</v>
      </c>
      <c r="N306" s="77">
        <f t="shared" si="145"/>
        <v>0</v>
      </c>
      <c r="O306" s="77">
        <f t="shared" si="145"/>
        <v>2892900</v>
      </c>
      <c r="P306" s="77">
        <f t="shared" si="145"/>
        <v>0</v>
      </c>
      <c r="Q306" s="77">
        <f t="shared" si="145"/>
        <v>0</v>
      </c>
      <c r="R306" s="77">
        <f t="shared" si="145"/>
        <v>0</v>
      </c>
      <c r="S306" s="77">
        <f t="shared" si="145"/>
        <v>0</v>
      </c>
      <c r="T306" s="77">
        <f t="shared" si="145"/>
        <v>0</v>
      </c>
      <c r="U306" s="77">
        <f t="shared" si="145"/>
        <v>0</v>
      </c>
      <c r="V306" s="77">
        <f t="shared" si="145"/>
        <v>0</v>
      </c>
      <c r="W306" s="77">
        <f t="shared" si="145"/>
        <v>0</v>
      </c>
      <c r="X306" s="77">
        <f t="shared" si="145"/>
        <v>0</v>
      </c>
      <c r="Y306" s="136">
        <f t="shared" si="129"/>
        <v>0</v>
      </c>
      <c r="Z306" s="77">
        <f t="shared" si="130"/>
        <v>0</v>
      </c>
      <c r="AA306" s="77">
        <f t="shared" ref="AA306" si="146">AA331</f>
        <v>2892900</v>
      </c>
      <c r="AB306" s="221"/>
    </row>
    <row r="307" spans="1:32" s="85" customFormat="1" ht="54.75" customHeight="1" x14ac:dyDescent="0.25">
      <c r="A307" s="84"/>
      <c r="B307" s="40"/>
      <c r="C307" s="54" t="s">
        <v>368</v>
      </c>
      <c r="D307" s="78">
        <f>D311</f>
        <v>410600</v>
      </c>
      <c r="E307" s="78">
        <f t="shared" ref="E307:X307" si="147">E311</f>
        <v>410600</v>
      </c>
      <c r="F307" s="78">
        <f t="shared" si="147"/>
        <v>336800</v>
      </c>
      <c r="G307" s="78">
        <f t="shared" si="147"/>
        <v>0</v>
      </c>
      <c r="H307" s="78">
        <f t="shared" si="147"/>
        <v>0</v>
      </c>
      <c r="I307" s="78">
        <f t="shared" si="147"/>
        <v>410600</v>
      </c>
      <c r="J307" s="78">
        <f t="shared" si="147"/>
        <v>336750</v>
      </c>
      <c r="K307" s="78">
        <f t="shared" si="147"/>
        <v>0</v>
      </c>
      <c r="L307" s="178">
        <f t="shared" si="128"/>
        <v>100</v>
      </c>
      <c r="M307" s="78">
        <f t="shared" si="147"/>
        <v>0</v>
      </c>
      <c r="N307" s="78">
        <f t="shared" si="147"/>
        <v>0</v>
      </c>
      <c r="O307" s="78">
        <f t="shared" si="147"/>
        <v>0</v>
      </c>
      <c r="P307" s="78">
        <f t="shared" si="147"/>
        <v>0</v>
      </c>
      <c r="Q307" s="78">
        <f t="shared" si="147"/>
        <v>0</v>
      </c>
      <c r="R307" s="78">
        <f t="shared" si="147"/>
        <v>0</v>
      </c>
      <c r="S307" s="78">
        <f t="shared" si="147"/>
        <v>0</v>
      </c>
      <c r="T307" s="78">
        <f t="shared" si="147"/>
        <v>0</v>
      </c>
      <c r="U307" s="78">
        <f t="shared" si="147"/>
        <v>0</v>
      </c>
      <c r="V307" s="78">
        <f t="shared" si="147"/>
        <v>0</v>
      </c>
      <c r="W307" s="78">
        <f t="shared" si="147"/>
        <v>0</v>
      </c>
      <c r="X307" s="78">
        <f t="shared" si="147"/>
        <v>0</v>
      </c>
      <c r="Y307" s="178"/>
      <c r="Z307" s="78">
        <f t="shared" si="130"/>
        <v>410600</v>
      </c>
      <c r="AA307" s="78">
        <f t="shared" ref="AA307" si="148">AA311</f>
        <v>410600</v>
      </c>
      <c r="AB307" s="221"/>
    </row>
    <row r="308" spans="1:32" s="85" customFormat="1" ht="79.5" customHeight="1" x14ac:dyDescent="0.25">
      <c r="A308" s="84"/>
      <c r="B308" s="40"/>
      <c r="C308" s="19" t="str">
        <f>C312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308" s="78">
        <f>D312</f>
        <v>1840869</v>
      </c>
      <c r="E308" s="78">
        <f t="shared" ref="E308:X308" si="149">E312</f>
        <v>1840869</v>
      </c>
      <c r="F308" s="78">
        <f t="shared" si="149"/>
        <v>0</v>
      </c>
      <c r="G308" s="78">
        <f t="shared" si="149"/>
        <v>0</v>
      </c>
      <c r="H308" s="78">
        <f t="shared" si="149"/>
        <v>0</v>
      </c>
      <c r="I308" s="78">
        <f t="shared" si="149"/>
        <v>1664982.26</v>
      </c>
      <c r="J308" s="78">
        <f t="shared" si="149"/>
        <v>0</v>
      </c>
      <c r="K308" s="78">
        <f t="shared" si="149"/>
        <v>0</v>
      </c>
      <c r="L308" s="178">
        <f t="shared" si="128"/>
        <v>90.445450491045264</v>
      </c>
      <c r="M308" s="78">
        <f t="shared" si="149"/>
        <v>1128100</v>
      </c>
      <c r="N308" s="78">
        <f t="shared" si="149"/>
        <v>1128100</v>
      </c>
      <c r="O308" s="78">
        <f t="shared" si="149"/>
        <v>0</v>
      </c>
      <c r="P308" s="78">
        <f t="shared" si="149"/>
        <v>0</v>
      </c>
      <c r="Q308" s="78">
        <f t="shared" si="149"/>
        <v>0</v>
      </c>
      <c r="R308" s="78">
        <f t="shared" si="149"/>
        <v>1128100</v>
      </c>
      <c r="S308" s="78">
        <f t="shared" si="149"/>
        <v>1103500</v>
      </c>
      <c r="T308" s="78">
        <f t="shared" si="149"/>
        <v>1103500</v>
      </c>
      <c r="U308" s="78">
        <f t="shared" si="149"/>
        <v>0</v>
      </c>
      <c r="V308" s="78">
        <f t="shared" si="149"/>
        <v>0</v>
      </c>
      <c r="W308" s="78">
        <f t="shared" si="149"/>
        <v>0</v>
      </c>
      <c r="X308" s="78">
        <f t="shared" si="149"/>
        <v>1103500</v>
      </c>
      <c r="Y308" s="178">
        <f t="shared" si="129"/>
        <v>97.819342256892114</v>
      </c>
      <c r="Z308" s="78">
        <f t="shared" si="130"/>
        <v>2768482.26</v>
      </c>
      <c r="AA308" s="78">
        <f t="shared" ref="AA308" si="150">AA312</f>
        <v>2968969</v>
      </c>
      <c r="AB308" s="221"/>
    </row>
    <row r="309" spans="1:32" s="85" customFormat="1" ht="33.950000000000003" customHeight="1" x14ac:dyDescent="0.25">
      <c r="A309" s="84"/>
      <c r="B309" s="40"/>
      <c r="C309" s="19" t="str">
        <f>C313</f>
        <v>іншої субвенції з місцевого бюджету</v>
      </c>
      <c r="D309" s="78">
        <f>D313+D320</f>
        <v>0</v>
      </c>
      <c r="E309" s="78">
        <f t="shared" ref="E309:X309" si="151">E313+E320</f>
        <v>0</v>
      </c>
      <c r="F309" s="78">
        <f t="shared" si="151"/>
        <v>0</v>
      </c>
      <c r="G309" s="78">
        <f t="shared" si="151"/>
        <v>0</v>
      </c>
      <c r="H309" s="78">
        <f t="shared" si="151"/>
        <v>0</v>
      </c>
      <c r="I309" s="78">
        <f t="shared" si="151"/>
        <v>0</v>
      </c>
      <c r="J309" s="78">
        <f t="shared" si="151"/>
        <v>0</v>
      </c>
      <c r="K309" s="78">
        <f t="shared" si="151"/>
        <v>0</v>
      </c>
      <c r="L309" s="178"/>
      <c r="M309" s="78">
        <f t="shared" si="151"/>
        <v>1128100</v>
      </c>
      <c r="N309" s="78">
        <f t="shared" si="151"/>
        <v>1128100</v>
      </c>
      <c r="O309" s="78">
        <f t="shared" si="151"/>
        <v>0</v>
      </c>
      <c r="P309" s="78">
        <f t="shared" si="151"/>
        <v>0</v>
      </c>
      <c r="Q309" s="78">
        <f t="shared" si="151"/>
        <v>0</v>
      </c>
      <c r="R309" s="78">
        <f t="shared" si="151"/>
        <v>1128100</v>
      </c>
      <c r="S309" s="78">
        <f t="shared" si="151"/>
        <v>934500</v>
      </c>
      <c r="T309" s="78">
        <f t="shared" si="151"/>
        <v>934500</v>
      </c>
      <c r="U309" s="78">
        <f t="shared" si="151"/>
        <v>0</v>
      </c>
      <c r="V309" s="78">
        <f t="shared" si="151"/>
        <v>0</v>
      </c>
      <c r="W309" s="78">
        <f t="shared" si="151"/>
        <v>0</v>
      </c>
      <c r="X309" s="78">
        <f t="shared" si="151"/>
        <v>934500</v>
      </c>
      <c r="Y309" s="178">
        <f t="shared" si="129"/>
        <v>82.838400850988393</v>
      </c>
      <c r="Z309" s="78">
        <f t="shared" si="130"/>
        <v>934500</v>
      </c>
      <c r="AA309" s="78">
        <f t="shared" ref="AA309" si="152">AA313+AA320</f>
        <v>1128100</v>
      </c>
      <c r="AB309" s="221"/>
    </row>
    <row r="310" spans="1:32" s="73" customFormat="1" ht="51.75" customHeight="1" x14ac:dyDescent="0.25">
      <c r="A310" s="83" t="s">
        <v>92</v>
      </c>
      <c r="B310" s="38"/>
      <c r="C310" s="88" t="s">
        <v>607</v>
      </c>
      <c r="D310" s="77">
        <f t="shared" ref="D310:AA310" si="153">D314+D317</f>
        <v>17381235</v>
      </c>
      <c r="E310" s="77">
        <f t="shared" ref="E310:X310" si="154">E314+E317</f>
        <v>17381235</v>
      </c>
      <c r="F310" s="77">
        <f t="shared" si="154"/>
        <v>3087400</v>
      </c>
      <c r="G310" s="77">
        <f t="shared" si="154"/>
        <v>181500</v>
      </c>
      <c r="H310" s="77">
        <f t="shared" si="154"/>
        <v>0</v>
      </c>
      <c r="I310" s="77">
        <f t="shared" si="154"/>
        <v>11451047.58</v>
      </c>
      <c r="J310" s="77">
        <f t="shared" si="154"/>
        <v>2540015.84</v>
      </c>
      <c r="K310" s="77">
        <f t="shared" si="154"/>
        <v>138424.66</v>
      </c>
      <c r="L310" s="136">
        <f t="shared" si="128"/>
        <v>65.881668247394387</v>
      </c>
      <c r="M310" s="77">
        <f t="shared" si="154"/>
        <v>9935700</v>
      </c>
      <c r="N310" s="77">
        <f t="shared" si="154"/>
        <v>9928800</v>
      </c>
      <c r="O310" s="77">
        <f t="shared" si="154"/>
        <v>6900</v>
      </c>
      <c r="P310" s="77">
        <f t="shared" si="154"/>
        <v>0</v>
      </c>
      <c r="Q310" s="77">
        <f t="shared" si="154"/>
        <v>1600</v>
      </c>
      <c r="R310" s="77">
        <f t="shared" si="154"/>
        <v>9928800</v>
      </c>
      <c r="S310" s="77">
        <f t="shared" si="154"/>
        <v>7649244.7199999997</v>
      </c>
      <c r="T310" s="77">
        <f t="shared" si="154"/>
        <v>6346019</v>
      </c>
      <c r="U310" s="77">
        <f t="shared" si="154"/>
        <v>133225.72</v>
      </c>
      <c r="V310" s="77">
        <f t="shared" si="154"/>
        <v>101967.2</v>
      </c>
      <c r="W310" s="77">
        <f t="shared" si="154"/>
        <v>0</v>
      </c>
      <c r="X310" s="77">
        <f t="shared" si="154"/>
        <v>7516019</v>
      </c>
      <c r="Y310" s="136">
        <f t="shared" si="129"/>
        <v>76.987476675020389</v>
      </c>
      <c r="Z310" s="77">
        <f t="shared" si="130"/>
        <v>19100292.300000001</v>
      </c>
      <c r="AA310" s="77">
        <f t="shared" si="153"/>
        <v>27316935</v>
      </c>
      <c r="AB310" s="221"/>
    </row>
    <row r="311" spans="1:32" s="85" customFormat="1" ht="50.25" customHeight="1" x14ac:dyDescent="0.25">
      <c r="A311" s="84"/>
      <c r="B311" s="40"/>
      <c r="C311" s="19" t="str">
        <f>C318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311" s="78">
        <f>D318</f>
        <v>410600</v>
      </c>
      <c r="E311" s="78">
        <f t="shared" ref="E311:X311" si="155">E318</f>
        <v>410600</v>
      </c>
      <c r="F311" s="78">
        <f t="shared" si="155"/>
        <v>336800</v>
      </c>
      <c r="G311" s="78">
        <f t="shared" si="155"/>
        <v>0</v>
      </c>
      <c r="H311" s="78">
        <f t="shared" si="155"/>
        <v>0</v>
      </c>
      <c r="I311" s="78">
        <f t="shared" si="155"/>
        <v>410600</v>
      </c>
      <c r="J311" s="78">
        <f t="shared" si="155"/>
        <v>336750</v>
      </c>
      <c r="K311" s="78">
        <f t="shared" si="155"/>
        <v>0</v>
      </c>
      <c r="L311" s="178">
        <f t="shared" si="128"/>
        <v>100</v>
      </c>
      <c r="M311" s="78">
        <f t="shared" si="155"/>
        <v>0</v>
      </c>
      <c r="N311" s="78">
        <f t="shared" si="155"/>
        <v>0</v>
      </c>
      <c r="O311" s="78">
        <f t="shared" si="155"/>
        <v>0</v>
      </c>
      <c r="P311" s="78">
        <f t="shared" si="155"/>
        <v>0</v>
      </c>
      <c r="Q311" s="78">
        <f t="shared" si="155"/>
        <v>0</v>
      </c>
      <c r="R311" s="78">
        <f t="shared" si="155"/>
        <v>0</v>
      </c>
      <c r="S311" s="78">
        <f t="shared" si="155"/>
        <v>0</v>
      </c>
      <c r="T311" s="78">
        <f t="shared" si="155"/>
        <v>0</v>
      </c>
      <c r="U311" s="78">
        <f t="shared" si="155"/>
        <v>0</v>
      </c>
      <c r="V311" s="78">
        <f t="shared" si="155"/>
        <v>0</v>
      </c>
      <c r="W311" s="78">
        <f t="shared" si="155"/>
        <v>0</v>
      </c>
      <c r="X311" s="78">
        <f t="shared" si="155"/>
        <v>0</v>
      </c>
      <c r="Y311" s="178"/>
      <c r="Z311" s="78">
        <f t="shared" si="130"/>
        <v>410600</v>
      </c>
      <c r="AA311" s="78">
        <f t="shared" ref="AA311" si="156">AA318</f>
        <v>410600</v>
      </c>
      <c r="AB311" s="221"/>
    </row>
    <row r="312" spans="1:32" s="85" customFormat="1" ht="79.5" customHeight="1" x14ac:dyDescent="0.25">
      <c r="A312" s="84"/>
      <c r="B312" s="40"/>
      <c r="C312" s="19" t="str">
        <f>C316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312" s="78">
        <f>D316</f>
        <v>1840869</v>
      </c>
      <c r="E312" s="78">
        <f t="shared" ref="E312:X312" si="157">E316</f>
        <v>1840869</v>
      </c>
      <c r="F312" s="78">
        <f t="shared" si="157"/>
        <v>0</v>
      </c>
      <c r="G312" s="78">
        <f t="shared" si="157"/>
        <v>0</v>
      </c>
      <c r="H312" s="78">
        <f t="shared" si="157"/>
        <v>0</v>
      </c>
      <c r="I312" s="78">
        <f t="shared" si="157"/>
        <v>1664982.26</v>
      </c>
      <c r="J312" s="78">
        <f t="shared" si="157"/>
        <v>0</v>
      </c>
      <c r="K312" s="78">
        <f t="shared" si="157"/>
        <v>0</v>
      </c>
      <c r="L312" s="178">
        <f t="shared" si="128"/>
        <v>90.445450491045264</v>
      </c>
      <c r="M312" s="78">
        <f t="shared" si="157"/>
        <v>1128100</v>
      </c>
      <c r="N312" s="78">
        <f t="shared" si="157"/>
        <v>1128100</v>
      </c>
      <c r="O312" s="78">
        <f t="shared" si="157"/>
        <v>0</v>
      </c>
      <c r="P312" s="78">
        <f t="shared" si="157"/>
        <v>0</v>
      </c>
      <c r="Q312" s="78">
        <f t="shared" si="157"/>
        <v>0</v>
      </c>
      <c r="R312" s="78">
        <f t="shared" si="157"/>
        <v>1128100</v>
      </c>
      <c r="S312" s="78">
        <f t="shared" si="157"/>
        <v>1103500</v>
      </c>
      <c r="T312" s="78">
        <f t="shared" si="157"/>
        <v>1103500</v>
      </c>
      <c r="U312" s="78">
        <f t="shared" si="157"/>
        <v>0</v>
      </c>
      <c r="V312" s="78">
        <f t="shared" si="157"/>
        <v>0</v>
      </c>
      <c r="W312" s="78">
        <f t="shared" si="157"/>
        <v>0</v>
      </c>
      <c r="X312" s="78">
        <f t="shared" si="157"/>
        <v>1103500</v>
      </c>
      <c r="Y312" s="178">
        <f t="shared" si="129"/>
        <v>97.819342256892114</v>
      </c>
      <c r="Z312" s="78">
        <f t="shared" si="130"/>
        <v>2768482.26</v>
      </c>
      <c r="AA312" s="78">
        <f t="shared" ref="AA312" si="158">AA316</f>
        <v>2968969</v>
      </c>
      <c r="AB312" s="221"/>
    </row>
    <row r="313" spans="1:32" s="85" customFormat="1" ht="31.15" customHeight="1" x14ac:dyDescent="0.25">
      <c r="A313" s="84"/>
      <c r="B313" s="40"/>
      <c r="C313" s="19" t="str">
        <f>C315</f>
        <v>іншої субвенції з місцевого бюджету</v>
      </c>
      <c r="D313" s="78">
        <f>D315</f>
        <v>0</v>
      </c>
      <c r="E313" s="78">
        <f t="shared" ref="E313:X313" si="159">E315</f>
        <v>0</v>
      </c>
      <c r="F313" s="78">
        <f t="shared" si="159"/>
        <v>0</v>
      </c>
      <c r="G313" s="78">
        <f t="shared" si="159"/>
        <v>0</v>
      </c>
      <c r="H313" s="78">
        <f t="shared" si="159"/>
        <v>0</v>
      </c>
      <c r="I313" s="78">
        <f t="shared" si="159"/>
        <v>0</v>
      </c>
      <c r="J313" s="78">
        <f t="shared" si="159"/>
        <v>0</v>
      </c>
      <c r="K313" s="78">
        <f t="shared" si="159"/>
        <v>0</v>
      </c>
      <c r="L313" s="178"/>
      <c r="M313" s="78">
        <f t="shared" si="159"/>
        <v>1128100</v>
      </c>
      <c r="N313" s="78">
        <f t="shared" si="159"/>
        <v>1128100</v>
      </c>
      <c r="O313" s="78">
        <f t="shared" si="159"/>
        <v>0</v>
      </c>
      <c r="P313" s="78">
        <f t="shared" si="159"/>
        <v>0</v>
      </c>
      <c r="Q313" s="78">
        <f t="shared" si="159"/>
        <v>0</v>
      </c>
      <c r="R313" s="78">
        <f t="shared" si="159"/>
        <v>1128100</v>
      </c>
      <c r="S313" s="78">
        <f t="shared" si="159"/>
        <v>934500</v>
      </c>
      <c r="T313" s="78">
        <f t="shared" si="159"/>
        <v>934500</v>
      </c>
      <c r="U313" s="78">
        <f t="shared" si="159"/>
        <v>0</v>
      </c>
      <c r="V313" s="78">
        <f t="shared" si="159"/>
        <v>0</v>
      </c>
      <c r="W313" s="78">
        <f t="shared" si="159"/>
        <v>0</v>
      </c>
      <c r="X313" s="78">
        <f t="shared" si="159"/>
        <v>934500</v>
      </c>
      <c r="Y313" s="178">
        <f t="shared" si="129"/>
        <v>82.838400850988393</v>
      </c>
      <c r="Z313" s="78">
        <f t="shared" si="130"/>
        <v>934500</v>
      </c>
      <c r="AA313" s="78">
        <f t="shared" ref="AA313" si="160">AA315</f>
        <v>1128100</v>
      </c>
      <c r="AB313" s="221"/>
    </row>
    <row r="314" spans="1:32" s="73" customFormat="1" ht="36.75" customHeight="1" x14ac:dyDescent="0.25">
      <c r="A314" s="45" t="s">
        <v>7</v>
      </c>
      <c r="B314" s="45" t="s">
        <v>85</v>
      </c>
      <c r="C314" s="33" t="s">
        <v>699</v>
      </c>
      <c r="D314" s="79">
        <f>'дод 2'!E66+'дод 2'!E361</f>
        <v>12994535</v>
      </c>
      <c r="E314" s="79">
        <f>'дод 2'!F66+'дод 2'!F361</f>
        <v>12994535</v>
      </c>
      <c r="F314" s="79">
        <f>'дод 2'!G66+'дод 2'!G361</f>
        <v>0</v>
      </c>
      <c r="G314" s="79">
        <f>'дод 2'!H66+'дод 2'!H361</f>
        <v>72500</v>
      </c>
      <c r="H314" s="79">
        <f>'дод 2'!I66+'дод 2'!I361</f>
        <v>0</v>
      </c>
      <c r="I314" s="79">
        <f>'дод 2'!J66+'дод 2'!J361</f>
        <v>7901729.2999999998</v>
      </c>
      <c r="J314" s="79">
        <f>'дод 2'!K66+'дод 2'!K361</f>
        <v>0</v>
      </c>
      <c r="K314" s="79">
        <f>'дод 2'!L66+'дод 2'!L361</f>
        <v>36581.5</v>
      </c>
      <c r="L314" s="179">
        <f t="shared" si="128"/>
        <v>60.808095864915522</v>
      </c>
      <c r="M314" s="79">
        <f>'дод 2'!N66+'дод 2'!N361</f>
        <v>9801700</v>
      </c>
      <c r="N314" s="79">
        <f>'дод 2'!O66+'дод 2'!O361</f>
        <v>9801700</v>
      </c>
      <c r="O314" s="79">
        <f>'дод 2'!P66+'дод 2'!P361</f>
        <v>0</v>
      </c>
      <c r="P314" s="79">
        <f>'дод 2'!Q66+'дод 2'!Q361</f>
        <v>0</v>
      </c>
      <c r="Q314" s="79">
        <f>'дод 2'!R66+'дод 2'!R361</f>
        <v>0</v>
      </c>
      <c r="R314" s="79">
        <f>'дод 2'!S66+'дод 2'!S361</f>
        <v>9801700</v>
      </c>
      <c r="S314" s="79">
        <f>'дод 2'!T66+'дод 2'!T361</f>
        <v>7498422</v>
      </c>
      <c r="T314" s="79">
        <f>'дод 2'!U66+'дод 2'!U361</f>
        <v>6228422</v>
      </c>
      <c r="U314" s="79">
        <f>'дод 2'!V66+'дод 2'!V361</f>
        <v>100000</v>
      </c>
      <c r="V314" s="79">
        <f>'дод 2'!W66+'дод 2'!W361</f>
        <v>81967.199999999997</v>
      </c>
      <c r="W314" s="79">
        <f>'дод 2'!X66+'дод 2'!X361</f>
        <v>0</v>
      </c>
      <c r="X314" s="79">
        <f>'дод 2'!Y66+'дод 2'!Y361</f>
        <v>7398422</v>
      </c>
      <c r="Y314" s="179">
        <f t="shared" si="129"/>
        <v>76.50123958088902</v>
      </c>
      <c r="Z314" s="79">
        <f t="shared" si="130"/>
        <v>15400151.300000001</v>
      </c>
      <c r="AA314" s="79">
        <f>'дод 2'!AB66+'дод 2'!AB361</f>
        <v>22796235</v>
      </c>
      <c r="AB314" s="221"/>
    </row>
    <row r="315" spans="1:32" s="85" customFormat="1" ht="25.5" customHeight="1" x14ac:dyDescent="0.25">
      <c r="A315" s="81"/>
      <c r="B315" s="81"/>
      <c r="C315" s="43" t="s">
        <v>379</v>
      </c>
      <c r="D315" s="80">
        <f>'дод 2'!E362</f>
        <v>0</v>
      </c>
      <c r="E315" s="80">
        <f>'дод 2'!F362</f>
        <v>0</v>
      </c>
      <c r="F315" s="80">
        <f>'дод 2'!G362</f>
        <v>0</v>
      </c>
      <c r="G315" s="80">
        <f>'дод 2'!H362</f>
        <v>0</v>
      </c>
      <c r="H315" s="80">
        <f>'дод 2'!I362</f>
        <v>0</v>
      </c>
      <c r="I315" s="80">
        <f>'дод 2'!J362</f>
        <v>0</v>
      </c>
      <c r="J315" s="80">
        <f>'дод 2'!K362</f>
        <v>0</v>
      </c>
      <c r="K315" s="80">
        <f>'дод 2'!L362</f>
        <v>0</v>
      </c>
      <c r="L315" s="180"/>
      <c r="M315" s="80">
        <f>'дод 2'!N362</f>
        <v>1128100</v>
      </c>
      <c r="N315" s="80">
        <f>'дод 2'!O362</f>
        <v>1128100</v>
      </c>
      <c r="O315" s="80">
        <f>'дод 2'!P362</f>
        <v>0</v>
      </c>
      <c r="P315" s="80">
        <f>'дод 2'!Q362</f>
        <v>0</v>
      </c>
      <c r="Q315" s="80">
        <f>'дод 2'!R362</f>
        <v>0</v>
      </c>
      <c r="R315" s="80">
        <f>'дод 2'!S362</f>
        <v>1128100</v>
      </c>
      <c r="S315" s="80">
        <f>'дод 2'!T362</f>
        <v>934500</v>
      </c>
      <c r="T315" s="80">
        <f>'дод 2'!U362</f>
        <v>934500</v>
      </c>
      <c r="U315" s="80">
        <f>'дод 2'!V362</f>
        <v>0</v>
      </c>
      <c r="V315" s="80">
        <f>'дод 2'!W362</f>
        <v>0</v>
      </c>
      <c r="W315" s="80">
        <f>'дод 2'!X362</f>
        <v>0</v>
      </c>
      <c r="X315" s="80">
        <f>'дод 2'!Y362</f>
        <v>934500</v>
      </c>
      <c r="Y315" s="180">
        <f t="shared" si="129"/>
        <v>82.838400850988393</v>
      </c>
      <c r="Z315" s="80">
        <f t="shared" si="130"/>
        <v>934500</v>
      </c>
      <c r="AA315" s="80">
        <f>'дод 2'!AB362</f>
        <v>1128100</v>
      </c>
      <c r="AB315" s="221"/>
    </row>
    <row r="316" spans="1:32" s="85" customFormat="1" ht="93.95" customHeight="1" x14ac:dyDescent="0.25">
      <c r="A316" s="81"/>
      <c r="B316" s="81"/>
      <c r="C316" s="48" t="s">
        <v>618</v>
      </c>
      <c r="D316" s="80">
        <f>'дод 2'!E67+'дод 2'!E363</f>
        <v>1840869</v>
      </c>
      <c r="E316" s="80">
        <f>'дод 2'!F67+'дод 2'!F363</f>
        <v>1840869</v>
      </c>
      <c r="F316" s="80">
        <f>'дод 2'!G67+'дод 2'!G363</f>
        <v>0</v>
      </c>
      <c r="G316" s="80">
        <f>'дод 2'!H67+'дод 2'!H363</f>
        <v>0</v>
      </c>
      <c r="H316" s="80">
        <f>'дод 2'!I67+'дод 2'!I363</f>
        <v>0</v>
      </c>
      <c r="I316" s="80">
        <f>'дод 2'!J67+'дод 2'!J363</f>
        <v>1664982.26</v>
      </c>
      <c r="J316" s="80">
        <f>'дод 2'!K67+'дод 2'!K363</f>
        <v>0</v>
      </c>
      <c r="K316" s="80">
        <f>'дод 2'!L67+'дод 2'!L363</f>
        <v>0</v>
      </c>
      <c r="L316" s="180">
        <f t="shared" si="128"/>
        <v>90.445450491045264</v>
      </c>
      <c r="M316" s="80">
        <f>'дод 2'!N67+'дод 2'!N363</f>
        <v>1128100</v>
      </c>
      <c r="N316" s="80">
        <f>'дод 2'!O67+'дод 2'!O363</f>
        <v>1128100</v>
      </c>
      <c r="O316" s="80">
        <f>'дод 2'!P67+'дод 2'!P363</f>
        <v>0</v>
      </c>
      <c r="P316" s="80">
        <f>'дод 2'!Q67+'дод 2'!Q363</f>
        <v>0</v>
      </c>
      <c r="Q316" s="80">
        <f>'дод 2'!R67+'дод 2'!R363</f>
        <v>0</v>
      </c>
      <c r="R316" s="80">
        <f>'дод 2'!S67+'дод 2'!S363</f>
        <v>1128100</v>
      </c>
      <c r="S316" s="80">
        <f>'дод 2'!T67+'дод 2'!T363</f>
        <v>1103500</v>
      </c>
      <c r="T316" s="80">
        <f>'дод 2'!U67+'дод 2'!U363</f>
        <v>1103500</v>
      </c>
      <c r="U316" s="80">
        <f>'дод 2'!V67+'дод 2'!V363</f>
        <v>0</v>
      </c>
      <c r="V316" s="80">
        <f>'дод 2'!W67+'дод 2'!W363</f>
        <v>0</v>
      </c>
      <c r="W316" s="80">
        <f>'дод 2'!X67+'дод 2'!X363</f>
        <v>0</v>
      </c>
      <c r="X316" s="80">
        <f>'дод 2'!Y67+'дод 2'!Y363</f>
        <v>1103500</v>
      </c>
      <c r="Y316" s="180">
        <f t="shared" si="129"/>
        <v>97.819342256892114</v>
      </c>
      <c r="Z316" s="80">
        <f t="shared" si="130"/>
        <v>2768482.26</v>
      </c>
      <c r="AA316" s="80">
        <f>'дод 2'!AB67+'дод 2'!AB363</f>
        <v>2968969</v>
      </c>
      <c r="AB316" s="221"/>
    </row>
    <row r="317" spans="1:32" ht="34.5" customHeight="1" x14ac:dyDescent="0.25">
      <c r="A317" s="45" t="s">
        <v>140</v>
      </c>
      <c r="B317" s="23" t="s">
        <v>85</v>
      </c>
      <c r="C317" s="33" t="s">
        <v>654</v>
      </c>
      <c r="D317" s="79">
        <f>'дод 2'!E68</f>
        <v>4386700</v>
      </c>
      <c r="E317" s="79">
        <f>'дод 2'!F68</f>
        <v>4386700</v>
      </c>
      <c r="F317" s="79">
        <f>'дод 2'!G68</f>
        <v>3087400</v>
      </c>
      <c r="G317" s="79">
        <f>'дод 2'!H68</f>
        <v>109000</v>
      </c>
      <c r="H317" s="79">
        <f>'дод 2'!I68</f>
        <v>0</v>
      </c>
      <c r="I317" s="79">
        <f>'дод 2'!J68</f>
        <v>3549318.28</v>
      </c>
      <c r="J317" s="79">
        <f>'дод 2'!K68</f>
        <v>2540015.84</v>
      </c>
      <c r="K317" s="79">
        <f>'дод 2'!L68</f>
        <v>101843.16</v>
      </c>
      <c r="L317" s="179">
        <f t="shared" si="128"/>
        <v>80.910896117810651</v>
      </c>
      <c r="M317" s="79">
        <f>'дод 2'!N68</f>
        <v>134000</v>
      </c>
      <c r="N317" s="79">
        <f>'дод 2'!O68</f>
        <v>127100</v>
      </c>
      <c r="O317" s="79">
        <f>'дод 2'!P68</f>
        <v>6900</v>
      </c>
      <c r="P317" s="79">
        <f>'дод 2'!Q68</f>
        <v>0</v>
      </c>
      <c r="Q317" s="79">
        <f>'дод 2'!R68</f>
        <v>1600</v>
      </c>
      <c r="R317" s="79">
        <f>'дод 2'!S68</f>
        <v>127100</v>
      </c>
      <c r="S317" s="79">
        <f>'дод 2'!T68</f>
        <v>150822.72</v>
      </c>
      <c r="T317" s="79">
        <f>'дод 2'!U68</f>
        <v>117597</v>
      </c>
      <c r="U317" s="79">
        <f>'дод 2'!V68</f>
        <v>33225.72</v>
      </c>
      <c r="V317" s="79">
        <f>'дод 2'!W68</f>
        <v>20000</v>
      </c>
      <c r="W317" s="79">
        <f>'дод 2'!X68</f>
        <v>0</v>
      </c>
      <c r="X317" s="79">
        <f>'дод 2'!Y68</f>
        <v>117597</v>
      </c>
      <c r="Y317" s="179" t="s">
        <v>771</v>
      </c>
      <c r="Z317" s="79">
        <f t="shared" si="130"/>
        <v>3700141</v>
      </c>
      <c r="AA317" s="79">
        <f>'дод 2'!AB68</f>
        <v>4520700</v>
      </c>
      <c r="AB317" s="221"/>
    </row>
    <row r="318" spans="1:32" s="82" customFormat="1" ht="50.65" customHeight="1" x14ac:dyDescent="0.25">
      <c r="A318" s="81"/>
      <c r="B318" s="28"/>
      <c r="C318" s="29" t="s">
        <v>368</v>
      </c>
      <c r="D318" s="80">
        <f>'дод 2'!E69</f>
        <v>410600</v>
      </c>
      <c r="E318" s="80">
        <f>'дод 2'!F69</f>
        <v>410600</v>
      </c>
      <c r="F318" s="80">
        <f>'дод 2'!G69</f>
        <v>336800</v>
      </c>
      <c r="G318" s="80">
        <f>'дод 2'!H69</f>
        <v>0</v>
      </c>
      <c r="H318" s="80">
        <f>'дод 2'!I69</f>
        <v>0</v>
      </c>
      <c r="I318" s="80">
        <f>'дод 2'!J69</f>
        <v>410600</v>
      </c>
      <c r="J318" s="80">
        <f>'дод 2'!K69</f>
        <v>336750</v>
      </c>
      <c r="K318" s="80">
        <f>'дод 2'!L69</f>
        <v>0</v>
      </c>
      <c r="L318" s="180">
        <f t="shared" si="128"/>
        <v>100</v>
      </c>
      <c r="M318" s="80">
        <f>'дод 2'!N69</f>
        <v>0</v>
      </c>
      <c r="N318" s="80">
        <f>'дод 2'!O69</f>
        <v>0</v>
      </c>
      <c r="O318" s="80">
        <f>'дод 2'!P69</f>
        <v>0</v>
      </c>
      <c r="P318" s="80">
        <f>'дод 2'!Q69</f>
        <v>0</v>
      </c>
      <c r="Q318" s="80">
        <f>'дод 2'!R69</f>
        <v>0</v>
      </c>
      <c r="R318" s="80">
        <f>'дод 2'!S69</f>
        <v>0</v>
      </c>
      <c r="S318" s="80">
        <f>'дод 2'!T69</f>
        <v>0</v>
      </c>
      <c r="T318" s="80">
        <f>'дод 2'!U69</f>
        <v>0</v>
      </c>
      <c r="U318" s="80">
        <f>'дод 2'!V69</f>
        <v>0</v>
      </c>
      <c r="V318" s="80">
        <f>'дод 2'!W69</f>
        <v>0</v>
      </c>
      <c r="W318" s="80">
        <f>'дод 2'!X69</f>
        <v>0</v>
      </c>
      <c r="X318" s="80">
        <f>'дод 2'!Y69</f>
        <v>0</v>
      </c>
      <c r="Y318" s="180"/>
      <c r="Z318" s="80">
        <f t="shared" si="130"/>
        <v>410600</v>
      </c>
      <c r="AA318" s="80">
        <f>'дод 2'!AB69</f>
        <v>410600</v>
      </c>
      <c r="AB318" s="221"/>
    </row>
    <row r="319" spans="1:32" s="73" customFormat="1" ht="23.25" customHeight="1" x14ac:dyDescent="0.25">
      <c r="A319" s="83" t="s">
        <v>242</v>
      </c>
      <c r="B319" s="83"/>
      <c r="C319" s="113" t="s">
        <v>742</v>
      </c>
      <c r="D319" s="77">
        <f>D321+D322</f>
        <v>33797627.879999995</v>
      </c>
      <c r="E319" s="77">
        <f t="shared" ref="E319:X319" si="161">E321+E322</f>
        <v>33797627.879999995</v>
      </c>
      <c r="F319" s="77">
        <f t="shared" si="161"/>
        <v>0</v>
      </c>
      <c r="G319" s="77">
        <f t="shared" si="161"/>
        <v>7020538.5800000001</v>
      </c>
      <c r="H319" s="77">
        <f t="shared" si="161"/>
        <v>0</v>
      </c>
      <c r="I319" s="77">
        <f t="shared" si="161"/>
        <v>27452858.91</v>
      </c>
      <c r="J319" s="77">
        <f t="shared" si="161"/>
        <v>0</v>
      </c>
      <c r="K319" s="77">
        <f t="shared" si="161"/>
        <v>4690633.45</v>
      </c>
      <c r="L319" s="136">
        <f t="shared" si="128"/>
        <v>81.227176674861965</v>
      </c>
      <c r="M319" s="77">
        <f t="shared" si="161"/>
        <v>845998</v>
      </c>
      <c r="N319" s="77">
        <f t="shared" si="161"/>
        <v>845998</v>
      </c>
      <c r="O319" s="77">
        <f t="shared" si="161"/>
        <v>0</v>
      </c>
      <c r="P319" s="77">
        <f t="shared" si="161"/>
        <v>0</v>
      </c>
      <c r="Q319" s="77">
        <f t="shared" si="161"/>
        <v>0</v>
      </c>
      <c r="R319" s="77">
        <f t="shared" si="161"/>
        <v>845998</v>
      </c>
      <c r="S319" s="77">
        <f t="shared" si="161"/>
        <v>1265130.74</v>
      </c>
      <c r="T319" s="77">
        <f t="shared" si="161"/>
        <v>845998</v>
      </c>
      <c r="U319" s="77">
        <f t="shared" si="161"/>
        <v>419132.74</v>
      </c>
      <c r="V319" s="77">
        <f t="shared" si="161"/>
        <v>0</v>
      </c>
      <c r="W319" s="77">
        <f t="shared" si="161"/>
        <v>0</v>
      </c>
      <c r="X319" s="77">
        <f t="shared" si="161"/>
        <v>845998</v>
      </c>
      <c r="Y319" s="136" t="s">
        <v>778</v>
      </c>
      <c r="Z319" s="77">
        <f t="shared" si="130"/>
        <v>28717989.649999999</v>
      </c>
      <c r="AA319" s="77">
        <f t="shared" ref="AA319" si="162">AA321+AA322</f>
        <v>34643625.879999995</v>
      </c>
      <c r="AB319" s="220">
        <v>13</v>
      </c>
      <c r="AD319" s="196">
        <f>D319+M319</f>
        <v>34643625.879999995</v>
      </c>
      <c r="AF319" s="73">
        <f>Z319/AD319*100</f>
        <v>82.895450232243419</v>
      </c>
    </row>
    <row r="320" spans="1:32" s="73" customFormat="1" ht="27.4" hidden="1" customHeight="1" x14ac:dyDescent="0.25">
      <c r="A320" s="83"/>
      <c r="B320" s="83"/>
      <c r="C320" s="89" t="s">
        <v>379</v>
      </c>
      <c r="D320" s="78">
        <f>D323</f>
        <v>0</v>
      </c>
      <c r="E320" s="78">
        <f t="shared" ref="E320:X320" si="163">E323</f>
        <v>0</v>
      </c>
      <c r="F320" s="78">
        <f t="shared" si="163"/>
        <v>0</v>
      </c>
      <c r="G320" s="78">
        <f t="shared" si="163"/>
        <v>0</v>
      </c>
      <c r="H320" s="78">
        <f t="shared" si="163"/>
        <v>0</v>
      </c>
      <c r="I320" s="78">
        <f t="shared" si="163"/>
        <v>0</v>
      </c>
      <c r="J320" s="78">
        <f t="shared" si="163"/>
        <v>0</v>
      </c>
      <c r="K320" s="78">
        <f t="shared" si="163"/>
        <v>0</v>
      </c>
      <c r="L320" s="178" t="e">
        <f t="shared" si="128"/>
        <v>#DIV/0!</v>
      </c>
      <c r="M320" s="78">
        <f t="shared" si="163"/>
        <v>0</v>
      </c>
      <c r="N320" s="78">
        <f t="shared" si="163"/>
        <v>0</v>
      </c>
      <c r="O320" s="78">
        <f t="shared" si="163"/>
        <v>0</v>
      </c>
      <c r="P320" s="78">
        <f t="shared" si="163"/>
        <v>0</v>
      </c>
      <c r="Q320" s="78">
        <f t="shared" si="163"/>
        <v>0</v>
      </c>
      <c r="R320" s="78">
        <f t="shared" si="163"/>
        <v>0</v>
      </c>
      <c r="S320" s="78">
        <f t="shared" si="163"/>
        <v>0</v>
      </c>
      <c r="T320" s="78">
        <f t="shared" si="163"/>
        <v>0</v>
      </c>
      <c r="U320" s="78">
        <f t="shared" si="163"/>
        <v>0</v>
      </c>
      <c r="V320" s="78">
        <f t="shared" si="163"/>
        <v>0</v>
      </c>
      <c r="W320" s="78">
        <f t="shared" si="163"/>
        <v>0</v>
      </c>
      <c r="X320" s="78">
        <f t="shared" si="163"/>
        <v>0</v>
      </c>
      <c r="Y320" s="178" t="e">
        <f t="shared" si="129"/>
        <v>#DIV/0!</v>
      </c>
      <c r="Z320" s="78">
        <f t="shared" si="130"/>
        <v>0</v>
      </c>
      <c r="AA320" s="78">
        <f t="shared" ref="AA320" si="164">AA323</f>
        <v>0</v>
      </c>
      <c r="AB320" s="220"/>
    </row>
    <row r="321" spans="1:32" ht="24.4" customHeight="1" x14ac:dyDescent="0.25">
      <c r="A321" s="45" t="s">
        <v>236</v>
      </c>
      <c r="B321" s="23" t="s">
        <v>237</v>
      </c>
      <c r="C321" s="33" t="s">
        <v>238</v>
      </c>
      <c r="D321" s="79">
        <f>'дод 2'!E70+'дод 2'!E364</f>
        <v>1158892</v>
      </c>
      <c r="E321" s="79">
        <f>'дод 2'!F70+'дод 2'!F364</f>
        <v>1158892</v>
      </c>
      <c r="F321" s="79">
        <f>'дод 2'!G70+'дод 2'!G364</f>
        <v>0</v>
      </c>
      <c r="G321" s="79">
        <f>'дод 2'!H70+'дод 2'!H364</f>
        <v>640600</v>
      </c>
      <c r="H321" s="79">
        <f>'дод 2'!I70+'дод 2'!I364</f>
        <v>0</v>
      </c>
      <c r="I321" s="79">
        <f>'дод 2'!J70+'дод 2'!J364</f>
        <v>1085388.3400000001</v>
      </c>
      <c r="J321" s="79">
        <f>'дод 2'!K70+'дод 2'!K364</f>
        <v>0</v>
      </c>
      <c r="K321" s="79">
        <f>'дод 2'!L70+'дод 2'!L364</f>
        <v>603579.5</v>
      </c>
      <c r="L321" s="179">
        <f t="shared" si="128"/>
        <v>93.657419328116859</v>
      </c>
      <c r="M321" s="79">
        <f>'дод 2'!N70+'дод 2'!N364</f>
        <v>0</v>
      </c>
      <c r="N321" s="79">
        <f>'дод 2'!O70+'дод 2'!O364</f>
        <v>0</v>
      </c>
      <c r="O321" s="79">
        <f>'дод 2'!P70+'дод 2'!P364</f>
        <v>0</v>
      </c>
      <c r="P321" s="79">
        <f>'дод 2'!Q70+'дод 2'!Q364</f>
        <v>0</v>
      </c>
      <c r="Q321" s="79">
        <f>'дод 2'!R70+'дод 2'!R364</f>
        <v>0</v>
      </c>
      <c r="R321" s="79">
        <f>'дод 2'!S70+'дод 2'!S364</f>
        <v>0</v>
      </c>
      <c r="S321" s="79">
        <f>'дод 2'!T70+'дод 2'!T364</f>
        <v>0</v>
      </c>
      <c r="T321" s="79">
        <f>'дод 2'!U70+'дод 2'!U364</f>
        <v>0</v>
      </c>
      <c r="U321" s="79">
        <f>'дод 2'!V70+'дод 2'!V364</f>
        <v>0</v>
      </c>
      <c r="V321" s="79">
        <f>'дод 2'!W70+'дод 2'!W364</f>
        <v>0</v>
      </c>
      <c r="W321" s="79">
        <f>'дод 2'!X70+'дод 2'!X364</f>
        <v>0</v>
      </c>
      <c r="X321" s="79">
        <f>'дод 2'!Y70+'дод 2'!Y364</f>
        <v>0</v>
      </c>
      <c r="Y321" s="179"/>
      <c r="Z321" s="79">
        <f t="shared" si="130"/>
        <v>1085388.3400000001</v>
      </c>
      <c r="AA321" s="79">
        <f>'дод 2'!AB70+'дод 2'!AB364</f>
        <v>1158892</v>
      </c>
      <c r="AB321" s="220"/>
    </row>
    <row r="322" spans="1:32" ht="22.5" customHeight="1" x14ac:dyDescent="0.25">
      <c r="A322" s="45">
        <v>8240</v>
      </c>
      <c r="B322" s="23" t="s">
        <v>237</v>
      </c>
      <c r="C322" s="33" t="s">
        <v>566</v>
      </c>
      <c r="D322" s="79">
        <f>'дод 2'!E71+'дод 2'!E365+'дод 2'!E169</f>
        <v>32638735.879999999</v>
      </c>
      <c r="E322" s="79">
        <f>'дод 2'!F71+'дод 2'!F365+'дод 2'!F169</f>
        <v>32638735.879999999</v>
      </c>
      <c r="F322" s="79">
        <f>'дод 2'!G71+'дод 2'!G365+'дод 2'!G169</f>
        <v>0</v>
      </c>
      <c r="G322" s="79">
        <f>'дод 2'!H71+'дод 2'!H365+'дод 2'!H169</f>
        <v>6379938.5800000001</v>
      </c>
      <c r="H322" s="79">
        <f>'дод 2'!I71+'дод 2'!I365+'дод 2'!I169</f>
        <v>0</v>
      </c>
      <c r="I322" s="79">
        <f>'дод 2'!J71+'дод 2'!J365+'дод 2'!J169</f>
        <v>26367470.57</v>
      </c>
      <c r="J322" s="79">
        <f>'дод 2'!K71+'дод 2'!K365+'дод 2'!K169</f>
        <v>0</v>
      </c>
      <c r="K322" s="79">
        <f>'дод 2'!L71+'дод 2'!L365+'дод 2'!L169</f>
        <v>4087053.95</v>
      </c>
      <c r="L322" s="179">
        <f t="shared" si="128"/>
        <v>80.785820464809007</v>
      </c>
      <c r="M322" s="79">
        <f>'дод 2'!N71+'дод 2'!N365+'дод 2'!N169</f>
        <v>845998</v>
      </c>
      <c r="N322" s="79">
        <f>'дод 2'!O71+'дод 2'!O365+'дод 2'!O169</f>
        <v>845998</v>
      </c>
      <c r="O322" s="79">
        <f>'дод 2'!P71+'дод 2'!P365+'дод 2'!P169</f>
        <v>0</v>
      </c>
      <c r="P322" s="79">
        <f>'дод 2'!Q71+'дод 2'!Q365+'дод 2'!Q169</f>
        <v>0</v>
      </c>
      <c r="Q322" s="79">
        <f>'дод 2'!R71+'дод 2'!R365+'дод 2'!R169</f>
        <v>0</v>
      </c>
      <c r="R322" s="79">
        <f>'дод 2'!S71+'дод 2'!S365+'дод 2'!S169</f>
        <v>845998</v>
      </c>
      <c r="S322" s="79">
        <f>'дод 2'!T71+'дод 2'!T365+'дод 2'!T169</f>
        <v>1265130.74</v>
      </c>
      <c r="T322" s="79">
        <f>'дод 2'!U71+'дод 2'!U365+'дод 2'!U169</f>
        <v>845998</v>
      </c>
      <c r="U322" s="79">
        <f>'дод 2'!V71+'дод 2'!V365+'дод 2'!V169</f>
        <v>419132.74</v>
      </c>
      <c r="V322" s="79">
        <f>'дод 2'!W71+'дод 2'!W365+'дод 2'!W169</f>
        <v>0</v>
      </c>
      <c r="W322" s="79">
        <f>'дод 2'!X71+'дод 2'!X365+'дод 2'!X169</f>
        <v>0</v>
      </c>
      <c r="X322" s="79">
        <f>'дод 2'!Y71+'дод 2'!Y365+'дод 2'!Y169</f>
        <v>845998</v>
      </c>
      <c r="Y322" s="179" t="s">
        <v>778</v>
      </c>
      <c r="Z322" s="79">
        <f t="shared" si="130"/>
        <v>27632601.309999999</v>
      </c>
      <c r="AA322" s="79">
        <f>'дод 2'!AB71+'дод 2'!AB365+'дод 2'!AB169</f>
        <v>33484733.879999999</v>
      </c>
      <c r="AB322" s="220"/>
    </row>
    <row r="323" spans="1:32" s="106" customFormat="1" ht="22.5" hidden="1" customHeight="1" x14ac:dyDescent="0.25">
      <c r="A323" s="45"/>
      <c r="B323" s="23"/>
      <c r="C323" s="43" t="s">
        <v>379</v>
      </c>
      <c r="D323" s="80">
        <f>'дод 2'!E72</f>
        <v>0</v>
      </c>
      <c r="E323" s="80">
        <f>'дод 2'!F72</f>
        <v>0</v>
      </c>
      <c r="F323" s="80">
        <f>'дод 2'!G72</f>
        <v>0</v>
      </c>
      <c r="G323" s="80">
        <f>'дод 2'!H72</f>
        <v>0</v>
      </c>
      <c r="H323" s="80">
        <f>'дод 2'!I72</f>
        <v>0</v>
      </c>
      <c r="I323" s="80">
        <f>'дод 2'!J72</f>
        <v>0</v>
      </c>
      <c r="J323" s="80">
        <f>'дод 2'!K72</f>
        <v>0</v>
      </c>
      <c r="K323" s="80">
        <f>'дод 2'!L72</f>
        <v>0</v>
      </c>
      <c r="L323" s="180" t="e">
        <f t="shared" si="128"/>
        <v>#DIV/0!</v>
      </c>
      <c r="M323" s="80">
        <f>'дод 2'!N72</f>
        <v>0</v>
      </c>
      <c r="N323" s="80">
        <f>'дод 2'!O72</f>
        <v>0</v>
      </c>
      <c r="O323" s="80">
        <f>'дод 2'!P72</f>
        <v>0</v>
      </c>
      <c r="P323" s="80">
        <f>'дод 2'!Q72</f>
        <v>0</v>
      </c>
      <c r="Q323" s="80">
        <f>'дод 2'!R72</f>
        <v>0</v>
      </c>
      <c r="R323" s="80">
        <f>'дод 2'!S72</f>
        <v>0</v>
      </c>
      <c r="S323" s="80">
        <f>'дод 2'!T72</f>
        <v>0</v>
      </c>
      <c r="T323" s="80">
        <f>'дод 2'!U72</f>
        <v>0</v>
      </c>
      <c r="U323" s="80">
        <f>'дод 2'!V72</f>
        <v>0</v>
      </c>
      <c r="V323" s="80">
        <f>'дод 2'!W72</f>
        <v>0</v>
      </c>
      <c r="W323" s="80">
        <f>'дод 2'!X72</f>
        <v>0</v>
      </c>
      <c r="X323" s="80">
        <f>'дод 2'!Y72</f>
        <v>0</v>
      </c>
      <c r="Y323" s="180" t="e">
        <f t="shared" si="129"/>
        <v>#DIV/0!</v>
      </c>
      <c r="Z323" s="80">
        <f t="shared" si="130"/>
        <v>0</v>
      </c>
      <c r="AA323" s="80">
        <f>'дод 2'!AB72</f>
        <v>0</v>
      </c>
      <c r="AB323" s="220"/>
    </row>
    <row r="324" spans="1:32" s="73" customFormat="1" ht="22.5" customHeight="1" x14ac:dyDescent="0.25">
      <c r="A324" s="83" t="s">
        <v>6</v>
      </c>
      <c r="B324" s="38"/>
      <c r="C324" s="88" t="s">
        <v>8</v>
      </c>
      <c r="D324" s="77">
        <f>D327+D326+D325</f>
        <v>75000</v>
      </c>
      <c r="E324" s="77">
        <f t="shared" ref="E324:X324" si="165">E327+E326+E325</f>
        <v>75000</v>
      </c>
      <c r="F324" s="77">
        <f t="shared" si="165"/>
        <v>0</v>
      </c>
      <c r="G324" s="77">
        <f t="shared" si="165"/>
        <v>0</v>
      </c>
      <c r="H324" s="77">
        <f t="shared" si="165"/>
        <v>0</v>
      </c>
      <c r="I324" s="77">
        <f t="shared" si="165"/>
        <v>31477.89</v>
      </c>
      <c r="J324" s="77">
        <f t="shared" si="165"/>
        <v>0</v>
      </c>
      <c r="K324" s="77">
        <f t="shared" si="165"/>
        <v>0</v>
      </c>
      <c r="L324" s="136">
        <f t="shared" si="128"/>
        <v>41.97052</v>
      </c>
      <c r="M324" s="77">
        <f t="shared" si="165"/>
        <v>2227500</v>
      </c>
      <c r="N324" s="77">
        <f t="shared" si="165"/>
        <v>0</v>
      </c>
      <c r="O324" s="77">
        <f t="shared" si="165"/>
        <v>1635500</v>
      </c>
      <c r="P324" s="77">
        <f t="shared" si="165"/>
        <v>0</v>
      </c>
      <c r="Q324" s="77">
        <f t="shared" si="165"/>
        <v>0</v>
      </c>
      <c r="R324" s="77">
        <f t="shared" si="165"/>
        <v>592000</v>
      </c>
      <c r="S324" s="77">
        <f t="shared" si="165"/>
        <v>1388253.7100000002</v>
      </c>
      <c r="T324" s="77">
        <f t="shared" si="165"/>
        <v>0</v>
      </c>
      <c r="U324" s="77">
        <f t="shared" si="165"/>
        <v>1246253.7100000002</v>
      </c>
      <c r="V324" s="77">
        <f t="shared" si="165"/>
        <v>0</v>
      </c>
      <c r="W324" s="77">
        <f t="shared" si="165"/>
        <v>0</v>
      </c>
      <c r="X324" s="77">
        <f t="shared" si="165"/>
        <v>142000</v>
      </c>
      <c r="Y324" s="136">
        <f t="shared" si="129"/>
        <v>62.323398877665547</v>
      </c>
      <c r="Z324" s="77">
        <f t="shared" si="130"/>
        <v>1419731.6</v>
      </c>
      <c r="AA324" s="77">
        <f>AA327+AA326+AA325</f>
        <v>2302500</v>
      </c>
      <c r="AB324" s="220"/>
      <c r="AD324" s="196">
        <f>D324+M324</f>
        <v>2302500</v>
      </c>
      <c r="AF324" s="73">
        <f>Z324/AD324*100</f>
        <v>61.66043865363735</v>
      </c>
    </row>
    <row r="325" spans="1:32" s="73" customFormat="1" ht="22.5" hidden="1" customHeight="1" x14ac:dyDescent="0.25">
      <c r="A325" s="45">
        <v>8312</v>
      </c>
      <c r="B325" s="22" t="s">
        <v>614</v>
      </c>
      <c r="C325" s="33" t="s">
        <v>615</v>
      </c>
      <c r="D325" s="79">
        <f>'дод 2'!E366</f>
        <v>0</v>
      </c>
      <c r="E325" s="79">
        <f>'дод 2'!F366</f>
        <v>0</v>
      </c>
      <c r="F325" s="79">
        <f>'дод 2'!G366</f>
        <v>0</v>
      </c>
      <c r="G325" s="79">
        <f>'дод 2'!H366</f>
        <v>0</v>
      </c>
      <c r="H325" s="79">
        <f>'дод 2'!I366</f>
        <v>0</v>
      </c>
      <c r="I325" s="79">
        <f>'дод 2'!J366</f>
        <v>0</v>
      </c>
      <c r="J325" s="79">
        <f>'дод 2'!K366</f>
        <v>0</v>
      </c>
      <c r="K325" s="79">
        <f>'дод 2'!L366</f>
        <v>0</v>
      </c>
      <c r="L325" s="179" t="e">
        <f t="shared" si="128"/>
        <v>#DIV/0!</v>
      </c>
      <c r="M325" s="79">
        <f>'дод 2'!N366</f>
        <v>0</v>
      </c>
      <c r="N325" s="79">
        <f>'дод 2'!O366</f>
        <v>0</v>
      </c>
      <c r="O325" s="79">
        <f>'дод 2'!P366</f>
        <v>0</v>
      </c>
      <c r="P325" s="79">
        <f>'дод 2'!Q366</f>
        <v>0</v>
      </c>
      <c r="Q325" s="79">
        <f>'дод 2'!R366</f>
        <v>0</v>
      </c>
      <c r="R325" s="79">
        <f>'дод 2'!S366</f>
        <v>0</v>
      </c>
      <c r="S325" s="79">
        <f>'дод 2'!T366</f>
        <v>0</v>
      </c>
      <c r="T325" s="79">
        <f>'дод 2'!U366</f>
        <v>0</v>
      </c>
      <c r="U325" s="79">
        <f>'дод 2'!V366</f>
        <v>0</v>
      </c>
      <c r="V325" s="79">
        <f>'дод 2'!W366</f>
        <v>0</v>
      </c>
      <c r="W325" s="79">
        <f>'дод 2'!X366</f>
        <v>0</v>
      </c>
      <c r="X325" s="79">
        <f>'дод 2'!Y366</f>
        <v>0</v>
      </c>
      <c r="Y325" s="179" t="e">
        <f t="shared" si="129"/>
        <v>#DIV/0!</v>
      </c>
      <c r="Z325" s="79">
        <f t="shared" si="130"/>
        <v>0</v>
      </c>
      <c r="AA325" s="79">
        <f>'дод 2'!AB366</f>
        <v>0</v>
      </c>
      <c r="AB325" s="220"/>
    </row>
    <row r="326" spans="1:32" s="73" customFormat="1" ht="33.75" customHeight="1" x14ac:dyDescent="0.25">
      <c r="A326" s="45">
        <v>8330</v>
      </c>
      <c r="B326" s="34" t="s">
        <v>88</v>
      </c>
      <c r="C326" s="33" t="s">
        <v>334</v>
      </c>
      <c r="D326" s="79">
        <f>'дод 2'!E470</f>
        <v>75000</v>
      </c>
      <c r="E326" s="79">
        <f>'дод 2'!F470</f>
        <v>75000</v>
      </c>
      <c r="F326" s="79">
        <f>'дод 2'!G470</f>
        <v>0</v>
      </c>
      <c r="G326" s="79">
        <f>'дод 2'!H470</f>
        <v>0</v>
      </c>
      <c r="H326" s="79">
        <f>'дод 2'!I470</f>
        <v>0</v>
      </c>
      <c r="I326" s="79">
        <f>'дод 2'!J470</f>
        <v>31477.89</v>
      </c>
      <c r="J326" s="79">
        <f>'дод 2'!K470</f>
        <v>0</v>
      </c>
      <c r="K326" s="79">
        <f>'дод 2'!L470</f>
        <v>0</v>
      </c>
      <c r="L326" s="179">
        <f t="shared" si="128"/>
        <v>41.97052</v>
      </c>
      <c r="M326" s="79">
        <f>'дод 2'!N470</f>
        <v>0</v>
      </c>
      <c r="N326" s="79">
        <f>'дод 2'!O470</f>
        <v>0</v>
      </c>
      <c r="O326" s="79">
        <f>'дод 2'!P470</f>
        <v>0</v>
      </c>
      <c r="P326" s="79">
        <f>'дод 2'!Q470</f>
        <v>0</v>
      </c>
      <c r="Q326" s="79">
        <f>'дод 2'!R470</f>
        <v>0</v>
      </c>
      <c r="R326" s="79">
        <f>'дод 2'!S470</f>
        <v>0</v>
      </c>
      <c r="S326" s="79">
        <f>'дод 2'!T470</f>
        <v>0</v>
      </c>
      <c r="T326" s="79">
        <f>'дод 2'!U470</f>
        <v>0</v>
      </c>
      <c r="U326" s="79">
        <f>'дод 2'!V470</f>
        <v>0</v>
      </c>
      <c r="V326" s="79">
        <f>'дод 2'!W470</f>
        <v>0</v>
      </c>
      <c r="W326" s="79">
        <f>'дод 2'!X470</f>
        <v>0</v>
      </c>
      <c r="X326" s="79">
        <f>'дод 2'!Y470</f>
        <v>0</v>
      </c>
      <c r="Y326" s="179"/>
      <c r="Z326" s="79">
        <f t="shared" si="130"/>
        <v>31477.89</v>
      </c>
      <c r="AA326" s="79">
        <f>'дод 2'!AB470</f>
        <v>75000</v>
      </c>
      <c r="AB326" s="220"/>
    </row>
    <row r="327" spans="1:32" s="73" customFormat="1" ht="27" customHeight="1" x14ac:dyDescent="0.25">
      <c r="A327" s="45" t="s">
        <v>9</v>
      </c>
      <c r="B327" s="45" t="s">
        <v>88</v>
      </c>
      <c r="C327" s="33" t="s">
        <v>10</v>
      </c>
      <c r="D327" s="79">
        <f>'дод 2'!E73+'дод 2'!E170+'дод 2'!E367+'дод 2'!E471+'дод 2'!E294</f>
        <v>0</v>
      </c>
      <c r="E327" s="79">
        <f>'дод 2'!F73+'дод 2'!F170+'дод 2'!F367+'дод 2'!F471+'дод 2'!F294</f>
        <v>0</v>
      </c>
      <c r="F327" s="79">
        <f>'дод 2'!G73+'дод 2'!G170+'дод 2'!G367+'дод 2'!G471+'дод 2'!G294</f>
        <v>0</v>
      </c>
      <c r="G327" s="79">
        <f>'дод 2'!H73+'дод 2'!H170+'дод 2'!H367+'дод 2'!H471+'дод 2'!H294</f>
        <v>0</v>
      </c>
      <c r="H327" s="79">
        <f>'дод 2'!I73+'дод 2'!I170+'дод 2'!I367+'дод 2'!I471+'дод 2'!I294</f>
        <v>0</v>
      </c>
      <c r="I327" s="79">
        <f>'дод 2'!J73+'дод 2'!J170+'дод 2'!J367+'дод 2'!J471+'дод 2'!J294</f>
        <v>0</v>
      </c>
      <c r="J327" s="79">
        <f>'дод 2'!K73+'дод 2'!K170+'дод 2'!K367+'дод 2'!K471+'дод 2'!K294</f>
        <v>0</v>
      </c>
      <c r="K327" s="79">
        <f>'дод 2'!L73+'дод 2'!L170+'дод 2'!L367+'дод 2'!L471+'дод 2'!L294</f>
        <v>0</v>
      </c>
      <c r="L327" s="179"/>
      <c r="M327" s="79">
        <f>'дод 2'!N73+'дод 2'!N170+'дод 2'!N367+'дод 2'!N471+'дод 2'!N294</f>
        <v>2227500</v>
      </c>
      <c r="N327" s="79">
        <f>'дод 2'!O73+'дод 2'!O170+'дод 2'!O367+'дод 2'!O471+'дод 2'!O294</f>
        <v>0</v>
      </c>
      <c r="O327" s="79">
        <f>'дод 2'!P73+'дод 2'!P170+'дод 2'!P367+'дод 2'!P471+'дод 2'!P294</f>
        <v>1635500</v>
      </c>
      <c r="P327" s="79">
        <f>'дод 2'!Q73+'дод 2'!Q170+'дод 2'!Q367+'дод 2'!Q471+'дод 2'!Q294</f>
        <v>0</v>
      </c>
      <c r="Q327" s="79">
        <f>'дод 2'!R73+'дод 2'!R170+'дод 2'!R367+'дод 2'!R471+'дод 2'!R294</f>
        <v>0</v>
      </c>
      <c r="R327" s="79">
        <f>'дод 2'!S73+'дод 2'!S170+'дод 2'!S367+'дод 2'!S471+'дод 2'!S294</f>
        <v>592000</v>
      </c>
      <c r="S327" s="79">
        <f>'дод 2'!T73+'дод 2'!T170+'дод 2'!T367+'дод 2'!T471+'дод 2'!T294</f>
        <v>1388253.7100000002</v>
      </c>
      <c r="T327" s="79">
        <f>'дод 2'!U73+'дод 2'!U170+'дод 2'!U367+'дод 2'!U471+'дод 2'!U294</f>
        <v>0</v>
      </c>
      <c r="U327" s="79">
        <f>'дод 2'!V73+'дод 2'!V170+'дод 2'!V367+'дод 2'!V471+'дод 2'!V294</f>
        <v>1246253.7100000002</v>
      </c>
      <c r="V327" s="79">
        <f>'дод 2'!W73+'дод 2'!W170+'дод 2'!W367+'дод 2'!W471+'дод 2'!W294</f>
        <v>0</v>
      </c>
      <c r="W327" s="79">
        <f>'дод 2'!X73+'дод 2'!X170+'дод 2'!X367+'дод 2'!X471+'дод 2'!X294</f>
        <v>0</v>
      </c>
      <c r="X327" s="79">
        <f>'дод 2'!Y73+'дод 2'!Y170+'дод 2'!Y367+'дод 2'!Y471+'дод 2'!Y294</f>
        <v>142000</v>
      </c>
      <c r="Y327" s="179">
        <f t="shared" si="129"/>
        <v>62.323398877665547</v>
      </c>
      <c r="Z327" s="79">
        <f t="shared" si="130"/>
        <v>1388253.7100000002</v>
      </c>
      <c r="AA327" s="79">
        <f>'дод 2'!AB73+'дод 2'!AB170+'дод 2'!AB367+'дод 2'!AB471+'дод 2'!AB294</f>
        <v>2227500</v>
      </c>
      <c r="AB327" s="220"/>
    </row>
    <row r="328" spans="1:32" s="73" customFormat="1" ht="20.25" hidden="1" customHeight="1" x14ac:dyDescent="0.25">
      <c r="A328" s="83" t="s">
        <v>127</v>
      </c>
      <c r="B328" s="38"/>
      <c r="C328" s="88" t="s">
        <v>72</v>
      </c>
      <c r="D328" s="77">
        <f t="shared" ref="D328:AA328" si="166">D329</f>
        <v>0</v>
      </c>
      <c r="E328" s="77">
        <f t="shared" si="166"/>
        <v>0</v>
      </c>
      <c r="F328" s="77">
        <f t="shared" si="166"/>
        <v>0</v>
      </c>
      <c r="G328" s="77">
        <f t="shared" si="166"/>
        <v>0</v>
      </c>
      <c r="H328" s="77">
        <f t="shared" si="166"/>
        <v>0</v>
      </c>
      <c r="I328" s="77">
        <f t="shared" si="166"/>
        <v>0</v>
      </c>
      <c r="J328" s="77">
        <f t="shared" si="166"/>
        <v>0</v>
      </c>
      <c r="K328" s="77">
        <f t="shared" si="166"/>
        <v>0</v>
      </c>
      <c r="L328" s="136"/>
      <c r="M328" s="77">
        <f t="shared" si="166"/>
        <v>0</v>
      </c>
      <c r="N328" s="77">
        <f t="shared" si="166"/>
        <v>0</v>
      </c>
      <c r="O328" s="77">
        <f t="shared" si="166"/>
        <v>0</v>
      </c>
      <c r="P328" s="77">
        <f t="shared" si="166"/>
        <v>0</v>
      </c>
      <c r="Q328" s="77">
        <f t="shared" si="166"/>
        <v>0</v>
      </c>
      <c r="R328" s="77">
        <f t="shared" si="166"/>
        <v>0</v>
      </c>
      <c r="S328" s="77">
        <f t="shared" si="166"/>
        <v>0</v>
      </c>
      <c r="T328" s="77">
        <f t="shared" si="166"/>
        <v>0</v>
      </c>
      <c r="U328" s="77">
        <f t="shared" si="166"/>
        <v>0</v>
      </c>
      <c r="V328" s="77">
        <f t="shared" si="166"/>
        <v>0</v>
      </c>
      <c r="W328" s="77">
        <f t="shared" si="166"/>
        <v>0</v>
      </c>
      <c r="X328" s="77">
        <f t="shared" si="166"/>
        <v>0</v>
      </c>
      <c r="Y328" s="136" t="e">
        <f t="shared" si="129"/>
        <v>#DIV/0!</v>
      </c>
      <c r="Z328" s="77">
        <f t="shared" si="130"/>
        <v>0</v>
      </c>
      <c r="AA328" s="77">
        <f t="shared" si="166"/>
        <v>0</v>
      </c>
      <c r="AB328" s="220"/>
    </row>
    <row r="329" spans="1:32" s="73" customFormat="1" ht="21" hidden="1" customHeight="1" x14ac:dyDescent="0.25">
      <c r="A329" s="45" t="s">
        <v>246</v>
      </c>
      <c r="B329" s="23" t="s">
        <v>73</v>
      </c>
      <c r="C329" s="33" t="s">
        <v>247</v>
      </c>
      <c r="D329" s="79">
        <f>'дод 2'!E74</f>
        <v>0</v>
      </c>
      <c r="E329" s="79">
        <f>'дод 2'!F74</f>
        <v>0</v>
      </c>
      <c r="F329" s="79">
        <f>'дод 2'!G74</f>
        <v>0</v>
      </c>
      <c r="G329" s="79">
        <f>'дод 2'!H74</f>
        <v>0</v>
      </c>
      <c r="H329" s="79">
        <f>'дод 2'!I74</f>
        <v>0</v>
      </c>
      <c r="I329" s="79">
        <f>'дод 2'!J74</f>
        <v>0</v>
      </c>
      <c r="J329" s="79">
        <f>'дод 2'!K74</f>
        <v>0</v>
      </c>
      <c r="K329" s="79">
        <f>'дод 2'!L74</f>
        <v>0</v>
      </c>
      <c r="L329" s="179"/>
      <c r="M329" s="79">
        <f>'дод 2'!N74</f>
        <v>0</v>
      </c>
      <c r="N329" s="79">
        <f>'дод 2'!O74</f>
        <v>0</v>
      </c>
      <c r="O329" s="79">
        <f>'дод 2'!P74</f>
        <v>0</v>
      </c>
      <c r="P329" s="79">
        <f>'дод 2'!Q74</f>
        <v>0</v>
      </c>
      <c r="Q329" s="79">
        <f>'дод 2'!R74</f>
        <v>0</v>
      </c>
      <c r="R329" s="79">
        <f>'дод 2'!S74</f>
        <v>0</v>
      </c>
      <c r="S329" s="79">
        <f>'дод 2'!T74</f>
        <v>0</v>
      </c>
      <c r="T329" s="79">
        <f>'дод 2'!U74</f>
        <v>0</v>
      </c>
      <c r="U329" s="79">
        <f>'дод 2'!V74</f>
        <v>0</v>
      </c>
      <c r="V329" s="79">
        <f>'дод 2'!W74</f>
        <v>0</v>
      </c>
      <c r="W329" s="79">
        <f>'дод 2'!X74</f>
        <v>0</v>
      </c>
      <c r="X329" s="79">
        <f>'дод 2'!Y74</f>
        <v>0</v>
      </c>
      <c r="Y329" s="179" t="e">
        <f t="shared" si="129"/>
        <v>#DIV/0!</v>
      </c>
      <c r="Z329" s="79">
        <f t="shared" si="130"/>
        <v>0</v>
      </c>
      <c r="AA329" s="79">
        <f>'дод 2'!AB74</f>
        <v>0</v>
      </c>
      <c r="AB329" s="220"/>
    </row>
    <row r="330" spans="1:32" s="73" customFormat="1" ht="31.5" x14ac:dyDescent="0.25">
      <c r="A330" s="83">
        <v>8500</v>
      </c>
      <c r="B330" s="37" t="s">
        <v>43</v>
      </c>
      <c r="C330" s="39" t="s">
        <v>751</v>
      </c>
      <c r="D330" s="77">
        <f>'дод 2'!E472</f>
        <v>0</v>
      </c>
      <c r="E330" s="77">
        <f>'дод 2'!F472</f>
        <v>0</v>
      </c>
      <c r="F330" s="77">
        <f>'дод 2'!G472</f>
        <v>0</v>
      </c>
      <c r="G330" s="77">
        <f>'дод 2'!H472</f>
        <v>0</v>
      </c>
      <c r="H330" s="77">
        <f>'дод 2'!I472</f>
        <v>0</v>
      </c>
      <c r="I330" s="77">
        <f>'дод 2'!J472</f>
        <v>0</v>
      </c>
      <c r="J330" s="77">
        <f>'дод 2'!K472</f>
        <v>0</v>
      </c>
      <c r="K330" s="77">
        <f>'дод 2'!L472</f>
        <v>0</v>
      </c>
      <c r="L330" s="136"/>
      <c r="M330" s="77">
        <f>'дод 2'!N472</f>
        <v>2892900</v>
      </c>
      <c r="N330" s="77">
        <f>'дод 2'!O472</f>
        <v>0</v>
      </c>
      <c r="O330" s="77">
        <f>'дод 2'!P472</f>
        <v>2892900</v>
      </c>
      <c r="P330" s="77">
        <f>'дод 2'!Q472</f>
        <v>0</v>
      </c>
      <c r="Q330" s="77">
        <f>'дод 2'!R472</f>
        <v>0</v>
      </c>
      <c r="R330" s="77">
        <f>'дод 2'!S472</f>
        <v>0</v>
      </c>
      <c r="S330" s="77">
        <f>'дод 2'!T472</f>
        <v>0</v>
      </c>
      <c r="T330" s="77">
        <f>'дод 2'!U472</f>
        <v>0</v>
      </c>
      <c r="U330" s="77">
        <f>'дод 2'!V472</f>
        <v>0</v>
      </c>
      <c r="V330" s="77">
        <f>'дод 2'!W472</f>
        <v>0</v>
      </c>
      <c r="W330" s="77">
        <f>'дод 2'!X472</f>
        <v>0</v>
      </c>
      <c r="X330" s="77">
        <f>'дод 2'!Y472</f>
        <v>0</v>
      </c>
      <c r="Y330" s="136">
        <f t="shared" si="129"/>
        <v>0</v>
      </c>
      <c r="Z330" s="77">
        <f t="shared" si="130"/>
        <v>0</v>
      </c>
      <c r="AA330" s="77">
        <f>'дод 2'!AB472</f>
        <v>2892900</v>
      </c>
      <c r="AB330" s="220"/>
    </row>
    <row r="331" spans="1:32" s="85" customFormat="1" ht="56.65" customHeight="1" x14ac:dyDescent="0.25">
      <c r="A331" s="81"/>
      <c r="B331" s="27"/>
      <c r="C331" s="19" t="s">
        <v>752</v>
      </c>
      <c r="D331" s="78">
        <f>'дод 2'!E473</f>
        <v>0</v>
      </c>
      <c r="E331" s="78">
        <f>'дод 2'!F473</f>
        <v>0</v>
      </c>
      <c r="F331" s="78">
        <f>'дод 2'!G473</f>
        <v>0</v>
      </c>
      <c r="G331" s="78">
        <f>'дод 2'!H473</f>
        <v>0</v>
      </c>
      <c r="H331" s="78">
        <f>'дод 2'!I473</f>
        <v>0</v>
      </c>
      <c r="I331" s="78">
        <f>'дод 2'!J473</f>
        <v>0</v>
      </c>
      <c r="J331" s="78">
        <f>'дод 2'!K473</f>
        <v>0</v>
      </c>
      <c r="K331" s="78">
        <f>'дод 2'!L473</f>
        <v>0</v>
      </c>
      <c r="L331" s="178"/>
      <c r="M331" s="78">
        <f>'дод 2'!N473</f>
        <v>2892900</v>
      </c>
      <c r="N331" s="78">
        <f>'дод 2'!O473</f>
        <v>0</v>
      </c>
      <c r="O331" s="78">
        <f>'дод 2'!P473</f>
        <v>2892900</v>
      </c>
      <c r="P331" s="78">
        <f>'дод 2'!Q473</f>
        <v>0</v>
      </c>
      <c r="Q331" s="78">
        <f>'дод 2'!R473</f>
        <v>0</v>
      </c>
      <c r="R331" s="78">
        <f>'дод 2'!S473</f>
        <v>0</v>
      </c>
      <c r="S331" s="78">
        <f>'дод 2'!T473</f>
        <v>0</v>
      </c>
      <c r="T331" s="78">
        <f>'дод 2'!U473</f>
        <v>0</v>
      </c>
      <c r="U331" s="78">
        <f>'дод 2'!V473</f>
        <v>0</v>
      </c>
      <c r="V331" s="78">
        <f>'дод 2'!W473</f>
        <v>0</v>
      </c>
      <c r="W331" s="78">
        <f>'дод 2'!X473</f>
        <v>0</v>
      </c>
      <c r="X331" s="78">
        <f>'дод 2'!Y473</f>
        <v>0</v>
      </c>
      <c r="Y331" s="178">
        <f t="shared" si="129"/>
        <v>0</v>
      </c>
      <c r="Z331" s="78">
        <f t="shared" si="130"/>
        <v>0</v>
      </c>
      <c r="AA331" s="78">
        <f>'дод 2'!AB473</f>
        <v>2892900</v>
      </c>
      <c r="AB331" s="220"/>
      <c r="AD331" s="197">
        <v>27464.76</v>
      </c>
      <c r="AE331" s="197"/>
      <c r="AF331" s="197"/>
    </row>
    <row r="332" spans="1:32" s="73" customFormat="1" ht="31.15" customHeight="1" x14ac:dyDescent="0.25">
      <c r="A332" s="83" t="s">
        <v>91</v>
      </c>
      <c r="B332" s="83" t="s">
        <v>86</v>
      </c>
      <c r="C332" s="88" t="s">
        <v>11</v>
      </c>
      <c r="D332" s="77">
        <f>'дод 2'!E474</f>
        <v>1617069</v>
      </c>
      <c r="E332" s="77">
        <f>'дод 2'!F474</f>
        <v>1617069</v>
      </c>
      <c r="F332" s="77">
        <f>'дод 2'!G474</f>
        <v>0</v>
      </c>
      <c r="G332" s="77">
        <f>'дод 2'!H474</f>
        <v>0</v>
      </c>
      <c r="H332" s="77">
        <f>'дод 2'!I474</f>
        <v>0</v>
      </c>
      <c r="I332" s="77">
        <f>'дод 2'!J474</f>
        <v>1574262.02</v>
      </c>
      <c r="J332" s="77">
        <f>'дод 2'!K474</f>
        <v>0</v>
      </c>
      <c r="K332" s="77">
        <f>'дод 2'!L474</f>
        <v>0</v>
      </c>
      <c r="L332" s="136">
        <f t="shared" si="128"/>
        <v>97.352804363944884</v>
      </c>
      <c r="M332" s="77">
        <f>'дод 2'!N474</f>
        <v>0</v>
      </c>
      <c r="N332" s="77">
        <f>'дод 2'!O474</f>
        <v>0</v>
      </c>
      <c r="O332" s="77">
        <f>'дод 2'!P474</f>
        <v>0</v>
      </c>
      <c r="P332" s="77">
        <f>'дод 2'!Q474</f>
        <v>0</v>
      </c>
      <c r="Q332" s="77">
        <f>'дод 2'!R474</f>
        <v>0</v>
      </c>
      <c r="R332" s="77">
        <f>'дод 2'!S474</f>
        <v>0</v>
      </c>
      <c r="S332" s="77">
        <f>'дод 2'!T474</f>
        <v>0</v>
      </c>
      <c r="T332" s="77">
        <f>'дод 2'!U474</f>
        <v>0</v>
      </c>
      <c r="U332" s="77">
        <f>'дод 2'!V474</f>
        <v>0</v>
      </c>
      <c r="V332" s="77">
        <f>'дод 2'!W474</f>
        <v>0</v>
      </c>
      <c r="W332" s="77">
        <f>'дод 2'!X474</f>
        <v>0</v>
      </c>
      <c r="X332" s="77">
        <f>'дод 2'!Y474</f>
        <v>0</v>
      </c>
      <c r="Y332" s="136"/>
      <c r="Z332" s="77">
        <f t="shared" si="130"/>
        <v>1574262.02</v>
      </c>
      <c r="AA332" s="77">
        <f>'дод 2'!AB474</f>
        <v>1617069</v>
      </c>
      <c r="AB332" s="220"/>
      <c r="AD332" s="196">
        <f>D332+M332</f>
        <v>1617069</v>
      </c>
      <c r="AF332" s="73">
        <f>Z332/AD332*100</f>
        <v>97.352804363944884</v>
      </c>
    </row>
    <row r="333" spans="1:32" s="73" customFormat="1" ht="21" customHeight="1" x14ac:dyDescent="0.25">
      <c r="A333" s="83">
        <v>8700</v>
      </c>
      <c r="B333" s="83"/>
      <c r="C333" s="88" t="s">
        <v>749</v>
      </c>
      <c r="D333" s="77">
        <f>D334</f>
        <v>147822.98000000053</v>
      </c>
      <c r="E333" s="77">
        <f t="shared" ref="E333:X333" si="167">E334</f>
        <v>0</v>
      </c>
      <c r="F333" s="77">
        <f t="shared" si="167"/>
        <v>0</v>
      </c>
      <c r="G333" s="77">
        <f t="shared" si="167"/>
        <v>0</v>
      </c>
      <c r="H333" s="77">
        <f t="shared" si="167"/>
        <v>0</v>
      </c>
      <c r="I333" s="77">
        <f t="shared" si="167"/>
        <v>0</v>
      </c>
      <c r="J333" s="77">
        <f t="shared" si="167"/>
        <v>0</v>
      </c>
      <c r="K333" s="77">
        <f t="shared" si="167"/>
        <v>0</v>
      </c>
      <c r="L333" s="136">
        <f t="shared" si="128"/>
        <v>0</v>
      </c>
      <c r="M333" s="77">
        <f t="shared" si="167"/>
        <v>0</v>
      </c>
      <c r="N333" s="77">
        <f t="shared" si="167"/>
        <v>0</v>
      </c>
      <c r="O333" s="77">
        <f t="shared" si="167"/>
        <v>0</v>
      </c>
      <c r="P333" s="77">
        <f t="shared" si="167"/>
        <v>0</v>
      </c>
      <c r="Q333" s="77">
        <f t="shared" si="167"/>
        <v>0</v>
      </c>
      <c r="R333" s="77">
        <f t="shared" si="167"/>
        <v>0</v>
      </c>
      <c r="S333" s="77">
        <f t="shared" si="167"/>
        <v>0</v>
      </c>
      <c r="T333" s="77">
        <f t="shared" si="167"/>
        <v>0</v>
      </c>
      <c r="U333" s="77">
        <f t="shared" si="167"/>
        <v>0</v>
      </c>
      <c r="V333" s="77">
        <f t="shared" si="167"/>
        <v>0</v>
      </c>
      <c r="W333" s="77">
        <f t="shared" si="167"/>
        <v>0</v>
      </c>
      <c r="X333" s="77">
        <f t="shared" si="167"/>
        <v>0</v>
      </c>
      <c r="Y333" s="136"/>
      <c r="Z333" s="77">
        <f t="shared" si="130"/>
        <v>0</v>
      </c>
      <c r="AA333" s="77">
        <f t="shared" ref="AA333" si="168">AA334</f>
        <v>147822.98000000053</v>
      </c>
      <c r="AB333" s="220"/>
    </row>
    <row r="334" spans="1:32" ht="37.15" customHeight="1" x14ac:dyDescent="0.25">
      <c r="A334" s="45">
        <v>8710</v>
      </c>
      <c r="B334" s="45" t="s">
        <v>89</v>
      </c>
      <c r="C334" s="33" t="s">
        <v>738</v>
      </c>
      <c r="D334" s="79">
        <f>'дод 2'!E475</f>
        <v>147822.98000000053</v>
      </c>
      <c r="E334" s="79">
        <f>'дод 2'!F475</f>
        <v>0</v>
      </c>
      <c r="F334" s="79">
        <f>'дод 2'!G475</f>
        <v>0</v>
      </c>
      <c r="G334" s="79">
        <f>'дод 2'!H475</f>
        <v>0</v>
      </c>
      <c r="H334" s="79">
        <f>'дод 2'!I475</f>
        <v>0</v>
      </c>
      <c r="I334" s="79">
        <f>'дод 2'!J475</f>
        <v>0</v>
      </c>
      <c r="J334" s="79">
        <f>'дод 2'!K475</f>
        <v>0</v>
      </c>
      <c r="K334" s="79">
        <f>'дод 2'!L475</f>
        <v>0</v>
      </c>
      <c r="L334" s="179">
        <f t="shared" si="128"/>
        <v>0</v>
      </c>
      <c r="M334" s="79">
        <f>'дод 2'!N475</f>
        <v>0</v>
      </c>
      <c r="N334" s="79">
        <f>'дод 2'!O475</f>
        <v>0</v>
      </c>
      <c r="O334" s="79">
        <f>'дод 2'!P475</f>
        <v>0</v>
      </c>
      <c r="P334" s="79">
        <f>'дод 2'!Q475</f>
        <v>0</v>
      </c>
      <c r="Q334" s="79">
        <f>'дод 2'!R475</f>
        <v>0</v>
      </c>
      <c r="R334" s="79">
        <f>'дод 2'!S475</f>
        <v>0</v>
      </c>
      <c r="S334" s="79">
        <f>'дод 2'!T475</f>
        <v>0</v>
      </c>
      <c r="T334" s="79">
        <f>'дод 2'!U475</f>
        <v>0</v>
      </c>
      <c r="U334" s="79">
        <f>'дод 2'!V475</f>
        <v>0</v>
      </c>
      <c r="V334" s="79">
        <f>'дод 2'!W475</f>
        <v>0</v>
      </c>
      <c r="W334" s="79">
        <f>'дод 2'!X475</f>
        <v>0</v>
      </c>
      <c r="X334" s="79">
        <f>'дод 2'!Y475</f>
        <v>0</v>
      </c>
      <c r="Y334" s="179"/>
      <c r="Z334" s="79">
        <f t="shared" si="130"/>
        <v>0</v>
      </c>
      <c r="AA334" s="79">
        <f>'дод 2'!AB475</f>
        <v>147822.98000000053</v>
      </c>
      <c r="AB334" s="220"/>
      <c r="AD334" s="67">
        <f>SUM(AD19:AD333)</f>
        <v>4211684235.7900009</v>
      </c>
      <c r="AE334" s="67">
        <f t="shared" ref="AE334:AF334" si="169">SUM(AE19:AE333)</f>
        <v>0</v>
      </c>
      <c r="AF334" s="67">
        <f t="shared" si="169"/>
        <v>989.88779213025043</v>
      </c>
    </row>
    <row r="335" spans="1:32" s="73" customFormat="1" ht="24" customHeight="1" x14ac:dyDescent="0.25">
      <c r="A335" s="83" t="s">
        <v>12</v>
      </c>
      <c r="B335" s="83"/>
      <c r="C335" s="88" t="s">
        <v>739</v>
      </c>
      <c r="D335" s="77">
        <f t="shared" ref="D335:AA335" si="170">D337+D339+D343+D347</f>
        <v>24133612.98</v>
      </c>
      <c r="E335" s="77">
        <f t="shared" ref="E335:X335" si="171">E337+E339+E343+E347</f>
        <v>24133612.98</v>
      </c>
      <c r="F335" s="77">
        <f t="shared" si="171"/>
        <v>0</v>
      </c>
      <c r="G335" s="77">
        <f t="shared" si="171"/>
        <v>0</v>
      </c>
      <c r="H335" s="77">
        <f t="shared" si="171"/>
        <v>0</v>
      </c>
      <c r="I335" s="77">
        <f t="shared" si="171"/>
        <v>23504626.550000001</v>
      </c>
      <c r="J335" s="77">
        <f t="shared" si="171"/>
        <v>0</v>
      </c>
      <c r="K335" s="77">
        <f t="shared" si="171"/>
        <v>0</v>
      </c>
      <c r="L335" s="136">
        <f t="shared" si="128"/>
        <v>97.393732838422281</v>
      </c>
      <c r="M335" s="77">
        <f t="shared" si="171"/>
        <v>58638912.600000001</v>
      </c>
      <c r="N335" s="77">
        <f t="shared" si="171"/>
        <v>58638912.600000001</v>
      </c>
      <c r="O335" s="77">
        <f t="shared" si="171"/>
        <v>0</v>
      </c>
      <c r="P335" s="77">
        <f t="shared" si="171"/>
        <v>0</v>
      </c>
      <c r="Q335" s="77">
        <f t="shared" si="171"/>
        <v>0</v>
      </c>
      <c r="R335" s="77">
        <f t="shared" si="171"/>
        <v>58638912.600000001</v>
      </c>
      <c r="S335" s="77">
        <f t="shared" si="171"/>
        <v>55063229.329999998</v>
      </c>
      <c r="T335" s="77">
        <f t="shared" si="171"/>
        <v>55063229.329999998</v>
      </c>
      <c r="U335" s="77">
        <f t="shared" si="171"/>
        <v>0</v>
      </c>
      <c r="V335" s="77">
        <f t="shared" si="171"/>
        <v>0</v>
      </c>
      <c r="W335" s="77">
        <f t="shared" si="171"/>
        <v>0</v>
      </c>
      <c r="X335" s="77">
        <f t="shared" si="171"/>
        <v>55063229.329999998</v>
      </c>
      <c r="Y335" s="136">
        <f t="shared" si="129"/>
        <v>93.902200584122014</v>
      </c>
      <c r="Z335" s="77">
        <f t="shared" si="130"/>
        <v>78567855.879999995</v>
      </c>
      <c r="AA335" s="77">
        <f t="shared" si="170"/>
        <v>82772525.579999998</v>
      </c>
      <c r="AB335" s="220"/>
    </row>
    <row r="336" spans="1:32" s="73" customFormat="1" ht="36.75" hidden="1" customHeight="1" x14ac:dyDescent="0.25">
      <c r="A336" s="83"/>
      <c r="B336" s="83"/>
      <c r="C336" s="19" t="s">
        <v>491</v>
      </c>
      <c r="D336" s="78">
        <f>D340</f>
        <v>0</v>
      </c>
      <c r="E336" s="78">
        <f t="shared" ref="E336:X336" si="172">E340</f>
        <v>0</v>
      </c>
      <c r="F336" s="78">
        <f t="shared" si="172"/>
        <v>0</v>
      </c>
      <c r="G336" s="78">
        <f t="shared" si="172"/>
        <v>0</v>
      </c>
      <c r="H336" s="78">
        <f t="shared" si="172"/>
        <v>0</v>
      </c>
      <c r="I336" s="78">
        <f t="shared" si="172"/>
        <v>0</v>
      </c>
      <c r="J336" s="78">
        <f t="shared" si="172"/>
        <v>0</v>
      </c>
      <c r="K336" s="78">
        <f t="shared" si="172"/>
        <v>0</v>
      </c>
      <c r="L336" s="178" t="e">
        <f t="shared" si="128"/>
        <v>#DIV/0!</v>
      </c>
      <c r="M336" s="78">
        <f t="shared" si="172"/>
        <v>0</v>
      </c>
      <c r="N336" s="78">
        <f t="shared" si="172"/>
        <v>0</v>
      </c>
      <c r="O336" s="78">
        <f t="shared" si="172"/>
        <v>0</v>
      </c>
      <c r="P336" s="78">
        <f t="shared" si="172"/>
        <v>0</v>
      </c>
      <c r="Q336" s="78">
        <f t="shared" si="172"/>
        <v>0</v>
      </c>
      <c r="R336" s="78">
        <f t="shared" si="172"/>
        <v>0</v>
      </c>
      <c r="S336" s="78">
        <f t="shared" si="172"/>
        <v>0</v>
      </c>
      <c r="T336" s="78">
        <f t="shared" si="172"/>
        <v>0</v>
      </c>
      <c r="U336" s="78">
        <f t="shared" si="172"/>
        <v>0</v>
      </c>
      <c r="V336" s="78">
        <f t="shared" si="172"/>
        <v>0</v>
      </c>
      <c r="W336" s="78">
        <f t="shared" si="172"/>
        <v>0</v>
      </c>
      <c r="X336" s="78">
        <f t="shared" si="172"/>
        <v>0</v>
      </c>
      <c r="Y336" s="178" t="e">
        <f t="shared" si="129"/>
        <v>#DIV/0!</v>
      </c>
      <c r="Z336" s="78">
        <f t="shared" si="130"/>
        <v>0</v>
      </c>
      <c r="AA336" s="78">
        <f t="shared" ref="AA336" si="173">AA340</f>
        <v>0</v>
      </c>
      <c r="AB336" s="220"/>
    </row>
    <row r="337" spans="1:32" s="73" customFormat="1" ht="21.75" hidden="1" customHeight="1" x14ac:dyDescent="0.25">
      <c r="A337" s="83" t="s">
        <v>244</v>
      </c>
      <c r="B337" s="83"/>
      <c r="C337" s="88" t="s">
        <v>285</v>
      </c>
      <c r="D337" s="77">
        <f t="shared" ref="D337:AA337" si="174">D338</f>
        <v>0</v>
      </c>
      <c r="E337" s="77">
        <f t="shared" si="174"/>
        <v>0</v>
      </c>
      <c r="F337" s="77">
        <f t="shared" si="174"/>
        <v>0</v>
      </c>
      <c r="G337" s="77">
        <f t="shared" si="174"/>
        <v>0</v>
      </c>
      <c r="H337" s="77">
        <f t="shared" si="174"/>
        <v>0</v>
      </c>
      <c r="I337" s="77">
        <f t="shared" si="174"/>
        <v>0</v>
      </c>
      <c r="J337" s="77">
        <f t="shared" si="174"/>
        <v>0</v>
      </c>
      <c r="K337" s="77">
        <f t="shared" si="174"/>
        <v>0</v>
      </c>
      <c r="L337" s="136" t="e">
        <f t="shared" si="128"/>
        <v>#DIV/0!</v>
      </c>
      <c r="M337" s="77">
        <f t="shared" si="174"/>
        <v>0</v>
      </c>
      <c r="N337" s="77">
        <f t="shared" si="174"/>
        <v>0</v>
      </c>
      <c r="O337" s="77">
        <f t="shared" si="174"/>
        <v>0</v>
      </c>
      <c r="P337" s="77">
        <f t="shared" si="174"/>
        <v>0</v>
      </c>
      <c r="Q337" s="77">
        <f t="shared" si="174"/>
        <v>0</v>
      </c>
      <c r="R337" s="77">
        <f t="shared" si="174"/>
        <v>0</v>
      </c>
      <c r="S337" s="77">
        <f t="shared" si="174"/>
        <v>0</v>
      </c>
      <c r="T337" s="77">
        <f t="shared" si="174"/>
        <v>0</v>
      </c>
      <c r="U337" s="77">
        <f t="shared" si="174"/>
        <v>0</v>
      </c>
      <c r="V337" s="77">
        <f t="shared" si="174"/>
        <v>0</v>
      </c>
      <c r="W337" s="77">
        <f t="shared" si="174"/>
        <v>0</v>
      </c>
      <c r="X337" s="77">
        <f t="shared" si="174"/>
        <v>0</v>
      </c>
      <c r="Y337" s="136" t="e">
        <f t="shared" si="129"/>
        <v>#DIV/0!</v>
      </c>
      <c r="Z337" s="77">
        <f t="shared" si="130"/>
        <v>0</v>
      </c>
      <c r="AA337" s="77">
        <f t="shared" si="174"/>
        <v>0</v>
      </c>
      <c r="AB337" s="220"/>
    </row>
    <row r="338" spans="1:32" s="73" customFormat="1" ht="21" hidden="1" customHeight="1" x14ac:dyDescent="0.25">
      <c r="A338" s="45" t="s">
        <v>87</v>
      </c>
      <c r="B338" s="23" t="s">
        <v>43</v>
      </c>
      <c r="C338" s="33" t="s">
        <v>106</v>
      </c>
      <c r="D338" s="79">
        <f>'дод 2'!E476</f>
        <v>0</v>
      </c>
      <c r="E338" s="79">
        <f>'дод 2'!F476</f>
        <v>0</v>
      </c>
      <c r="F338" s="79">
        <f>'дод 2'!G476</f>
        <v>0</v>
      </c>
      <c r="G338" s="79">
        <f>'дод 2'!H476</f>
        <v>0</v>
      </c>
      <c r="H338" s="79">
        <f>'дод 2'!I476</f>
        <v>0</v>
      </c>
      <c r="I338" s="79">
        <f>'дод 2'!J476</f>
        <v>0</v>
      </c>
      <c r="J338" s="79">
        <f>'дод 2'!K476</f>
        <v>0</v>
      </c>
      <c r="K338" s="79">
        <f>'дод 2'!L476</f>
        <v>0</v>
      </c>
      <c r="L338" s="179" t="e">
        <f t="shared" si="128"/>
        <v>#DIV/0!</v>
      </c>
      <c r="M338" s="79">
        <f>'дод 2'!N476</f>
        <v>0</v>
      </c>
      <c r="N338" s="79">
        <f>'дод 2'!O476</f>
        <v>0</v>
      </c>
      <c r="O338" s="79">
        <f>'дод 2'!P476</f>
        <v>0</v>
      </c>
      <c r="P338" s="79">
        <f>'дод 2'!Q476</f>
        <v>0</v>
      </c>
      <c r="Q338" s="79">
        <f>'дод 2'!R476</f>
        <v>0</v>
      </c>
      <c r="R338" s="79">
        <f>'дод 2'!S476</f>
        <v>0</v>
      </c>
      <c r="S338" s="79">
        <f>'дод 2'!T476</f>
        <v>0</v>
      </c>
      <c r="T338" s="79">
        <f>'дод 2'!U476</f>
        <v>0</v>
      </c>
      <c r="U338" s="79">
        <f>'дод 2'!V476</f>
        <v>0</v>
      </c>
      <c r="V338" s="79">
        <f>'дод 2'!W476</f>
        <v>0</v>
      </c>
      <c r="W338" s="79">
        <f>'дод 2'!X476</f>
        <v>0</v>
      </c>
      <c r="X338" s="79">
        <f>'дод 2'!Y476</f>
        <v>0</v>
      </c>
      <c r="Y338" s="179" t="e">
        <f t="shared" si="129"/>
        <v>#DIV/0!</v>
      </c>
      <c r="Z338" s="79">
        <f t="shared" si="130"/>
        <v>0</v>
      </c>
      <c r="AA338" s="79">
        <f>'дод 2'!AB476</f>
        <v>0</v>
      </c>
      <c r="AB338" s="220"/>
      <c r="AD338" s="73" t="s">
        <v>623</v>
      </c>
    </row>
    <row r="339" spans="1:32" s="73" customFormat="1" ht="63" hidden="1" customHeight="1" x14ac:dyDescent="0.25">
      <c r="A339" s="83">
        <v>9300</v>
      </c>
      <c r="B339" s="37"/>
      <c r="C339" s="88" t="s">
        <v>488</v>
      </c>
      <c r="D339" s="77">
        <f>D341</f>
        <v>0</v>
      </c>
      <c r="E339" s="77">
        <f t="shared" ref="E339:X339" si="175">E341</f>
        <v>0</v>
      </c>
      <c r="F339" s="77">
        <f t="shared" si="175"/>
        <v>0</v>
      </c>
      <c r="G339" s="77">
        <f t="shared" si="175"/>
        <v>0</v>
      </c>
      <c r="H339" s="77">
        <f t="shared" si="175"/>
        <v>0</v>
      </c>
      <c r="I339" s="77">
        <f t="shared" si="175"/>
        <v>0</v>
      </c>
      <c r="J339" s="77">
        <f t="shared" si="175"/>
        <v>0</v>
      </c>
      <c r="K339" s="77">
        <f t="shared" si="175"/>
        <v>0</v>
      </c>
      <c r="L339" s="136" t="e">
        <f t="shared" si="128"/>
        <v>#DIV/0!</v>
      </c>
      <c r="M339" s="77">
        <f t="shared" si="175"/>
        <v>0</v>
      </c>
      <c r="N339" s="77">
        <f t="shared" si="175"/>
        <v>0</v>
      </c>
      <c r="O339" s="77">
        <f t="shared" si="175"/>
        <v>0</v>
      </c>
      <c r="P339" s="77">
        <f t="shared" si="175"/>
        <v>0</v>
      </c>
      <c r="Q339" s="77">
        <f t="shared" si="175"/>
        <v>0</v>
      </c>
      <c r="R339" s="77">
        <f t="shared" si="175"/>
        <v>0</v>
      </c>
      <c r="S339" s="77">
        <f t="shared" si="175"/>
        <v>0</v>
      </c>
      <c r="T339" s="77">
        <f t="shared" si="175"/>
        <v>0</v>
      </c>
      <c r="U339" s="77">
        <f t="shared" si="175"/>
        <v>0</v>
      </c>
      <c r="V339" s="77">
        <f t="shared" si="175"/>
        <v>0</v>
      </c>
      <c r="W339" s="77">
        <f t="shared" si="175"/>
        <v>0</v>
      </c>
      <c r="X339" s="77">
        <f t="shared" si="175"/>
        <v>0</v>
      </c>
      <c r="Y339" s="136" t="e">
        <f t="shared" si="129"/>
        <v>#DIV/0!</v>
      </c>
      <c r="Z339" s="77">
        <f t="shared" si="130"/>
        <v>0</v>
      </c>
      <c r="AA339" s="77">
        <f t="shared" ref="AA339" si="176">AA341</f>
        <v>0</v>
      </c>
      <c r="AB339" s="220"/>
    </row>
    <row r="340" spans="1:32" s="73" customFormat="1" ht="31.5" hidden="1" customHeight="1" x14ac:dyDescent="0.25">
      <c r="A340" s="83"/>
      <c r="B340" s="22"/>
      <c r="C340" s="19" t="s">
        <v>491</v>
      </c>
      <c r="D340" s="78">
        <f>D342</f>
        <v>0</v>
      </c>
      <c r="E340" s="78">
        <f t="shared" ref="E340:X340" si="177">E342</f>
        <v>0</v>
      </c>
      <c r="F340" s="78">
        <f t="shared" si="177"/>
        <v>0</v>
      </c>
      <c r="G340" s="78">
        <f t="shared" si="177"/>
        <v>0</v>
      </c>
      <c r="H340" s="78">
        <f t="shared" si="177"/>
        <v>0</v>
      </c>
      <c r="I340" s="78">
        <f t="shared" si="177"/>
        <v>0</v>
      </c>
      <c r="J340" s="78">
        <f t="shared" si="177"/>
        <v>0</v>
      </c>
      <c r="K340" s="78">
        <f t="shared" si="177"/>
        <v>0</v>
      </c>
      <c r="L340" s="178" t="e">
        <f t="shared" ref="L340:L352" si="178">I340/D340*100</f>
        <v>#DIV/0!</v>
      </c>
      <c r="M340" s="78">
        <f t="shared" si="177"/>
        <v>0</v>
      </c>
      <c r="N340" s="78">
        <f t="shared" si="177"/>
        <v>0</v>
      </c>
      <c r="O340" s="78">
        <f t="shared" si="177"/>
        <v>0</v>
      </c>
      <c r="P340" s="78">
        <f t="shared" si="177"/>
        <v>0</v>
      </c>
      <c r="Q340" s="78">
        <f t="shared" si="177"/>
        <v>0</v>
      </c>
      <c r="R340" s="78">
        <f t="shared" si="177"/>
        <v>0</v>
      </c>
      <c r="S340" s="78">
        <f t="shared" si="177"/>
        <v>0</v>
      </c>
      <c r="T340" s="78">
        <f t="shared" si="177"/>
        <v>0</v>
      </c>
      <c r="U340" s="78">
        <f t="shared" si="177"/>
        <v>0</v>
      </c>
      <c r="V340" s="78">
        <f t="shared" si="177"/>
        <v>0</v>
      </c>
      <c r="W340" s="78">
        <f t="shared" si="177"/>
        <v>0</v>
      </c>
      <c r="X340" s="78">
        <f t="shared" si="177"/>
        <v>0</v>
      </c>
      <c r="Y340" s="178" t="e">
        <f t="shared" ref="Y340:Y354" si="179">S340/M340*100</f>
        <v>#DIV/0!</v>
      </c>
      <c r="Z340" s="78">
        <f t="shared" ref="Z340:Z354" si="180">S340+I340</f>
        <v>0</v>
      </c>
      <c r="AA340" s="78">
        <f t="shared" ref="AA340" si="181">AA342</f>
        <v>0</v>
      </c>
      <c r="AB340" s="220"/>
    </row>
    <row r="341" spans="1:32" s="73" customFormat="1" ht="47.25" hidden="1" customHeight="1" x14ac:dyDescent="0.25">
      <c r="A341" s="45">
        <v>9320</v>
      </c>
      <c r="B341" s="22" t="s">
        <v>43</v>
      </c>
      <c r="C341" s="35" t="s">
        <v>489</v>
      </c>
      <c r="D341" s="79">
        <f>'дод 2'!E171</f>
        <v>0</v>
      </c>
      <c r="E341" s="79">
        <f>'дод 2'!F171</f>
        <v>0</v>
      </c>
      <c r="F341" s="79">
        <f>'дод 2'!G171</f>
        <v>0</v>
      </c>
      <c r="G341" s="79">
        <f>'дод 2'!H171</f>
        <v>0</v>
      </c>
      <c r="H341" s="79">
        <f>'дод 2'!I171</f>
        <v>0</v>
      </c>
      <c r="I341" s="79">
        <f>'дод 2'!J171</f>
        <v>0</v>
      </c>
      <c r="J341" s="79">
        <f>'дод 2'!K171</f>
        <v>0</v>
      </c>
      <c r="K341" s="79">
        <f>'дод 2'!L171</f>
        <v>0</v>
      </c>
      <c r="L341" s="179" t="e">
        <f t="shared" si="178"/>
        <v>#DIV/0!</v>
      </c>
      <c r="M341" s="79">
        <f>'дод 2'!N171</f>
        <v>0</v>
      </c>
      <c r="N341" s="79">
        <f>'дод 2'!O171</f>
        <v>0</v>
      </c>
      <c r="O341" s="79">
        <f>'дод 2'!P171</f>
        <v>0</v>
      </c>
      <c r="P341" s="79">
        <f>'дод 2'!Q171</f>
        <v>0</v>
      </c>
      <c r="Q341" s="79">
        <f>'дод 2'!R171</f>
        <v>0</v>
      </c>
      <c r="R341" s="79">
        <f>'дод 2'!S171</f>
        <v>0</v>
      </c>
      <c r="S341" s="79">
        <f>'дод 2'!T171</f>
        <v>0</v>
      </c>
      <c r="T341" s="79">
        <f>'дод 2'!U171</f>
        <v>0</v>
      </c>
      <c r="U341" s="79">
        <f>'дод 2'!V171</f>
        <v>0</v>
      </c>
      <c r="V341" s="79">
        <f>'дод 2'!W171</f>
        <v>0</v>
      </c>
      <c r="W341" s="79">
        <f>'дод 2'!X171</f>
        <v>0</v>
      </c>
      <c r="X341" s="79">
        <f>'дод 2'!Y171</f>
        <v>0</v>
      </c>
      <c r="Y341" s="179" t="e">
        <f t="shared" si="179"/>
        <v>#DIV/0!</v>
      </c>
      <c r="Z341" s="79">
        <f t="shared" si="180"/>
        <v>0</v>
      </c>
      <c r="AA341" s="79">
        <f>'дод 2'!AB171</f>
        <v>0</v>
      </c>
      <c r="AB341" s="220"/>
    </row>
    <row r="342" spans="1:32" s="85" customFormat="1" ht="31.5" hidden="1" customHeight="1" x14ac:dyDescent="0.25">
      <c r="A342" s="81"/>
      <c r="B342" s="27"/>
      <c r="C342" s="29" t="s">
        <v>491</v>
      </c>
      <c r="D342" s="80">
        <f>'дод 2'!E172</f>
        <v>0</v>
      </c>
      <c r="E342" s="80">
        <f>'дод 2'!F172</f>
        <v>0</v>
      </c>
      <c r="F342" s="80">
        <f>'дод 2'!G172</f>
        <v>0</v>
      </c>
      <c r="G342" s="80">
        <f>'дод 2'!H172</f>
        <v>0</v>
      </c>
      <c r="H342" s="80">
        <f>'дод 2'!I172</f>
        <v>0</v>
      </c>
      <c r="I342" s="80">
        <f>'дод 2'!J172</f>
        <v>0</v>
      </c>
      <c r="J342" s="80">
        <f>'дод 2'!K172</f>
        <v>0</v>
      </c>
      <c r="K342" s="80">
        <f>'дод 2'!L172</f>
        <v>0</v>
      </c>
      <c r="L342" s="180" t="e">
        <f t="shared" si="178"/>
        <v>#DIV/0!</v>
      </c>
      <c r="M342" s="80">
        <f>'дод 2'!N172</f>
        <v>0</v>
      </c>
      <c r="N342" s="80">
        <f>'дод 2'!O172</f>
        <v>0</v>
      </c>
      <c r="O342" s="80">
        <f>'дод 2'!P172</f>
        <v>0</v>
      </c>
      <c r="P342" s="80">
        <f>'дод 2'!Q172</f>
        <v>0</v>
      </c>
      <c r="Q342" s="80">
        <f>'дод 2'!R172</f>
        <v>0</v>
      </c>
      <c r="R342" s="80">
        <f>'дод 2'!S172</f>
        <v>0</v>
      </c>
      <c r="S342" s="80">
        <f>'дод 2'!T172</f>
        <v>0</v>
      </c>
      <c r="T342" s="80">
        <f>'дод 2'!U172</f>
        <v>0</v>
      </c>
      <c r="U342" s="80">
        <f>'дод 2'!V172</f>
        <v>0</v>
      </c>
      <c r="V342" s="80">
        <f>'дод 2'!W172</f>
        <v>0</v>
      </c>
      <c r="W342" s="80">
        <f>'дод 2'!X172</f>
        <v>0</v>
      </c>
      <c r="X342" s="80">
        <f>'дод 2'!Y172</f>
        <v>0</v>
      </c>
      <c r="Y342" s="180" t="e">
        <f t="shared" si="179"/>
        <v>#DIV/0!</v>
      </c>
      <c r="Z342" s="80">
        <f t="shared" si="180"/>
        <v>0</v>
      </c>
      <c r="AA342" s="80">
        <f>'дод 2'!AB172</f>
        <v>0</v>
      </c>
      <c r="AB342" s="220"/>
    </row>
    <row r="343" spans="1:32" s="73" customFormat="1" ht="57" customHeight="1" x14ac:dyDescent="0.25">
      <c r="A343" s="83" t="s">
        <v>13</v>
      </c>
      <c r="B343" s="37"/>
      <c r="C343" s="88" t="s">
        <v>333</v>
      </c>
      <c r="D343" s="77">
        <f>D344+D345+D346</f>
        <v>6055597</v>
      </c>
      <c r="E343" s="77">
        <f t="shared" ref="E343:X343" si="182">E344+E345+E346</f>
        <v>6055597</v>
      </c>
      <c r="F343" s="77">
        <f t="shared" si="182"/>
        <v>0</v>
      </c>
      <c r="G343" s="77">
        <f t="shared" si="182"/>
        <v>0</v>
      </c>
      <c r="H343" s="77">
        <f t="shared" si="182"/>
        <v>0</v>
      </c>
      <c r="I343" s="77">
        <f t="shared" si="182"/>
        <v>6055522</v>
      </c>
      <c r="J343" s="77">
        <f t="shared" si="182"/>
        <v>0</v>
      </c>
      <c r="K343" s="77">
        <f t="shared" si="182"/>
        <v>0</v>
      </c>
      <c r="L343" s="136">
        <f t="shared" si="178"/>
        <v>99.998761476366411</v>
      </c>
      <c r="M343" s="77">
        <f t="shared" si="182"/>
        <v>15205251</v>
      </c>
      <c r="N343" s="77">
        <f t="shared" si="182"/>
        <v>15205251</v>
      </c>
      <c r="O343" s="77">
        <f t="shared" si="182"/>
        <v>0</v>
      </c>
      <c r="P343" s="77">
        <f t="shared" si="182"/>
        <v>0</v>
      </c>
      <c r="Q343" s="77">
        <f t="shared" si="182"/>
        <v>0</v>
      </c>
      <c r="R343" s="77">
        <f t="shared" si="182"/>
        <v>15205251</v>
      </c>
      <c r="S343" s="77">
        <f t="shared" si="182"/>
        <v>15201076.790000001</v>
      </c>
      <c r="T343" s="77">
        <f t="shared" si="182"/>
        <v>15201076.790000001</v>
      </c>
      <c r="U343" s="77">
        <f t="shared" si="182"/>
        <v>0</v>
      </c>
      <c r="V343" s="77">
        <f t="shared" si="182"/>
        <v>0</v>
      </c>
      <c r="W343" s="77">
        <f t="shared" si="182"/>
        <v>0</v>
      </c>
      <c r="X343" s="77">
        <f t="shared" si="182"/>
        <v>15201076.790000001</v>
      </c>
      <c r="Y343" s="136">
        <f t="shared" si="179"/>
        <v>99.97254757583417</v>
      </c>
      <c r="Z343" s="77">
        <f t="shared" si="180"/>
        <v>21256598.789999999</v>
      </c>
      <c r="AA343" s="77">
        <f t="shared" ref="AA343" si="183">AA344+AA345+AA346</f>
        <v>21260848</v>
      </c>
      <c r="AB343" s="220"/>
    </row>
    <row r="344" spans="1:32" s="73" customFormat="1" ht="79.5" hidden="1" customHeight="1" x14ac:dyDescent="0.25">
      <c r="A344" s="23">
        <v>9730</v>
      </c>
      <c r="B344" s="22" t="s">
        <v>43</v>
      </c>
      <c r="C344" s="24" t="s">
        <v>516</v>
      </c>
      <c r="D344" s="79">
        <f>'дод 2'!E370</f>
        <v>0</v>
      </c>
      <c r="E344" s="79">
        <f>'дод 2'!F370</f>
        <v>0</v>
      </c>
      <c r="F344" s="79">
        <f>'дод 2'!G370</f>
        <v>0</v>
      </c>
      <c r="G344" s="79">
        <f>'дод 2'!H370</f>
        <v>0</v>
      </c>
      <c r="H344" s="79">
        <f>'дод 2'!I370</f>
        <v>0</v>
      </c>
      <c r="I344" s="79">
        <f>'дод 2'!J370</f>
        <v>0</v>
      </c>
      <c r="J344" s="79">
        <f>'дод 2'!K370</f>
        <v>0</v>
      </c>
      <c r="K344" s="79">
        <f>'дод 2'!L370</f>
        <v>0</v>
      </c>
      <c r="L344" s="179" t="e">
        <f t="shared" si="178"/>
        <v>#DIV/0!</v>
      </c>
      <c r="M344" s="79">
        <f>'дод 2'!N370</f>
        <v>0</v>
      </c>
      <c r="N344" s="79">
        <f>'дод 2'!O370</f>
        <v>0</v>
      </c>
      <c r="O344" s="79">
        <f>'дод 2'!P370</f>
        <v>0</v>
      </c>
      <c r="P344" s="79">
        <f>'дод 2'!Q370</f>
        <v>0</v>
      </c>
      <c r="Q344" s="79">
        <f>'дод 2'!R370</f>
        <v>0</v>
      </c>
      <c r="R344" s="79">
        <f>'дод 2'!S370</f>
        <v>0</v>
      </c>
      <c r="S344" s="79">
        <f>'дод 2'!T370</f>
        <v>0</v>
      </c>
      <c r="T344" s="79">
        <f>'дод 2'!U370</f>
        <v>0</v>
      </c>
      <c r="U344" s="79">
        <f>'дод 2'!V370</f>
        <v>0</v>
      </c>
      <c r="V344" s="79">
        <f>'дод 2'!W370</f>
        <v>0</v>
      </c>
      <c r="W344" s="79">
        <f>'дод 2'!X370</f>
        <v>0</v>
      </c>
      <c r="X344" s="79">
        <f>'дод 2'!Y370</f>
        <v>0</v>
      </c>
      <c r="Y344" s="179" t="e">
        <f t="shared" si="179"/>
        <v>#DIV/0!</v>
      </c>
      <c r="Z344" s="79">
        <f t="shared" si="180"/>
        <v>0</v>
      </c>
      <c r="AA344" s="79">
        <f>'дод 2'!AB370</f>
        <v>0</v>
      </c>
      <c r="AB344" s="220"/>
    </row>
    <row r="345" spans="1:32" ht="31.5" hidden="1" customHeight="1" x14ac:dyDescent="0.25">
      <c r="A345" s="45">
        <v>9750</v>
      </c>
      <c r="B345" s="23" t="s">
        <v>43</v>
      </c>
      <c r="C345" s="24" t="s">
        <v>481</v>
      </c>
      <c r="D345" s="79">
        <f>'дод 2'!E371</f>
        <v>0</v>
      </c>
      <c r="E345" s="79">
        <f>'дод 2'!F371</f>
        <v>0</v>
      </c>
      <c r="F345" s="79">
        <f>'дод 2'!G371</f>
        <v>0</v>
      </c>
      <c r="G345" s="79">
        <f>'дод 2'!H371</f>
        <v>0</v>
      </c>
      <c r="H345" s="79">
        <f>'дод 2'!I371</f>
        <v>0</v>
      </c>
      <c r="I345" s="79">
        <f>'дод 2'!J371</f>
        <v>0</v>
      </c>
      <c r="J345" s="79">
        <f>'дод 2'!K371</f>
        <v>0</v>
      </c>
      <c r="K345" s="79">
        <f>'дод 2'!L371</f>
        <v>0</v>
      </c>
      <c r="L345" s="179" t="e">
        <f t="shared" si="178"/>
        <v>#DIV/0!</v>
      </c>
      <c r="M345" s="79">
        <f>'дод 2'!N371</f>
        <v>0</v>
      </c>
      <c r="N345" s="79">
        <f>'дод 2'!O371</f>
        <v>0</v>
      </c>
      <c r="O345" s="79">
        <f>'дод 2'!P371</f>
        <v>0</v>
      </c>
      <c r="P345" s="79">
        <f>'дод 2'!Q371</f>
        <v>0</v>
      </c>
      <c r="Q345" s="79">
        <f>'дод 2'!R371</f>
        <v>0</v>
      </c>
      <c r="R345" s="79">
        <f>'дод 2'!S371</f>
        <v>0</v>
      </c>
      <c r="S345" s="79">
        <f>'дод 2'!T371</f>
        <v>0</v>
      </c>
      <c r="T345" s="79">
        <f>'дод 2'!U371</f>
        <v>0</v>
      </c>
      <c r="U345" s="79">
        <f>'дод 2'!V371</f>
        <v>0</v>
      </c>
      <c r="V345" s="79">
        <f>'дод 2'!W371</f>
        <v>0</v>
      </c>
      <c r="W345" s="79">
        <f>'дод 2'!X371</f>
        <v>0</v>
      </c>
      <c r="X345" s="79">
        <f>'дод 2'!Y371</f>
        <v>0</v>
      </c>
      <c r="Y345" s="179" t="e">
        <f t="shared" si="179"/>
        <v>#DIV/0!</v>
      </c>
      <c r="Z345" s="79">
        <f t="shared" si="180"/>
        <v>0</v>
      </c>
      <c r="AA345" s="79">
        <f>'дод 2'!AB371</f>
        <v>0</v>
      </c>
      <c r="AB345" s="220"/>
    </row>
    <row r="346" spans="1:32" s="73" customFormat="1" ht="24" customHeight="1" x14ac:dyDescent="0.25">
      <c r="A346" s="45" t="s">
        <v>14</v>
      </c>
      <c r="B346" s="23" t="s">
        <v>43</v>
      </c>
      <c r="C346" s="35" t="s">
        <v>342</v>
      </c>
      <c r="D346" s="79">
        <f>'дод 2'!E173+'дод 2'!E219+'дод 2'!E272+'дод 2'!E372+'дод 2'!E75+'дод 2'!E295+'дод 2'!E477</f>
        <v>6055597</v>
      </c>
      <c r="E346" s="79">
        <f>'дод 2'!F173+'дод 2'!F219+'дод 2'!F272+'дод 2'!F372+'дод 2'!F75+'дод 2'!F295+'дод 2'!F477</f>
        <v>6055597</v>
      </c>
      <c r="F346" s="79">
        <f>'дод 2'!G173+'дод 2'!G219+'дод 2'!G272+'дод 2'!G372+'дод 2'!G75+'дод 2'!G295+'дод 2'!G477</f>
        <v>0</v>
      </c>
      <c r="G346" s="79">
        <f>'дод 2'!H173+'дод 2'!H219+'дод 2'!H272+'дод 2'!H372+'дод 2'!H75+'дод 2'!H295+'дод 2'!H477</f>
        <v>0</v>
      </c>
      <c r="H346" s="79">
        <f>'дод 2'!I173+'дод 2'!I219+'дод 2'!I272+'дод 2'!I372+'дод 2'!I75+'дод 2'!I295+'дод 2'!I477</f>
        <v>0</v>
      </c>
      <c r="I346" s="79">
        <f>'дод 2'!J173+'дод 2'!J219+'дод 2'!J272+'дод 2'!J372+'дод 2'!J75+'дод 2'!J295+'дод 2'!J477</f>
        <v>6055522</v>
      </c>
      <c r="J346" s="79">
        <f>'дод 2'!K173+'дод 2'!K219+'дод 2'!K272+'дод 2'!K372+'дод 2'!K75+'дод 2'!K295+'дод 2'!K477</f>
        <v>0</v>
      </c>
      <c r="K346" s="79">
        <f>'дод 2'!L173+'дод 2'!L219+'дод 2'!L272+'дод 2'!L372+'дод 2'!L75+'дод 2'!L295+'дод 2'!L477</f>
        <v>0</v>
      </c>
      <c r="L346" s="179">
        <f t="shared" si="178"/>
        <v>99.998761476366411</v>
      </c>
      <c r="M346" s="79">
        <f>'дод 2'!N173+'дод 2'!N219+'дод 2'!N272+'дод 2'!N372+'дод 2'!N75+'дод 2'!N295+'дод 2'!N477</f>
        <v>15205251</v>
      </c>
      <c r="N346" s="79">
        <f>'дод 2'!O173+'дод 2'!O219+'дод 2'!O272+'дод 2'!O372+'дод 2'!O75+'дод 2'!O295+'дод 2'!O477</f>
        <v>15205251</v>
      </c>
      <c r="O346" s="79">
        <f>'дод 2'!P173+'дод 2'!P219+'дод 2'!P272+'дод 2'!P372+'дод 2'!P75+'дод 2'!P295+'дод 2'!P477</f>
        <v>0</v>
      </c>
      <c r="P346" s="79">
        <f>'дод 2'!Q173+'дод 2'!Q219+'дод 2'!Q272+'дод 2'!Q372+'дод 2'!Q75+'дод 2'!Q295+'дод 2'!Q477</f>
        <v>0</v>
      </c>
      <c r="Q346" s="79">
        <f>'дод 2'!R173+'дод 2'!R219+'дод 2'!R272+'дод 2'!R372+'дод 2'!R75+'дод 2'!R295+'дод 2'!R477</f>
        <v>0</v>
      </c>
      <c r="R346" s="79">
        <f>'дод 2'!S173+'дод 2'!S219+'дод 2'!S272+'дод 2'!S372+'дод 2'!S75+'дод 2'!S295+'дод 2'!S477</f>
        <v>15205251</v>
      </c>
      <c r="S346" s="79">
        <f>'дод 2'!T173+'дод 2'!T219+'дод 2'!T272+'дод 2'!T372+'дод 2'!T75+'дод 2'!T295+'дод 2'!T477</f>
        <v>15201076.790000001</v>
      </c>
      <c r="T346" s="79">
        <f>'дод 2'!U173+'дод 2'!U219+'дод 2'!U272+'дод 2'!U372+'дод 2'!U75+'дод 2'!U295+'дод 2'!U477</f>
        <v>15201076.790000001</v>
      </c>
      <c r="U346" s="79">
        <f>'дод 2'!V173+'дод 2'!V219+'дод 2'!V272+'дод 2'!V372+'дод 2'!V75+'дод 2'!V295+'дод 2'!V477</f>
        <v>0</v>
      </c>
      <c r="V346" s="79">
        <f>'дод 2'!W173+'дод 2'!W219+'дод 2'!W272+'дод 2'!W372+'дод 2'!W75+'дод 2'!W295+'дод 2'!W477</f>
        <v>0</v>
      </c>
      <c r="W346" s="79">
        <f>'дод 2'!X173+'дод 2'!X219+'дод 2'!X272+'дод 2'!X372+'дод 2'!X75+'дод 2'!X295+'дод 2'!X477</f>
        <v>0</v>
      </c>
      <c r="X346" s="79">
        <f>'дод 2'!Y173+'дод 2'!Y219+'дод 2'!Y272+'дод 2'!Y372+'дод 2'!Y75+'дод 2'!Y295+'дод 2'!Y477</f>
        <v>15201076.790000001</v>
      </c>
      <c r="Y346" s="179">
        <f t="shared" si="179"/>
        <v>99.97254757583417</v>
      </c>
      <c r="Z346" s="79">
        <f t="shared" si="180"/>
        <v>21256598.789999999</v>
      </c>
      <c r="AA346" s="79">
        <f>'дод 2'!AB173+'дод 2'!AB219+'дод 2'!AB272+'дод 2'!AB372+'дод 2'!AB75+'дод 2'!AB295+'дод 2'!AB477</f>
        <v>21260848</v>
      </c>
      <c r="AB346" s="220"/>
    </row>
    <row r="347" spans="1:32" s="73" customFormat="1" ht="51" customHeight="1" x14ac:dyDescent="0.25">
      <c r="A347" s="83">
        <v>9800</v>
      </c>
      <c r="B347" s="38" t="s">
        <v>43</v>
      </c>
      <c r="C347" s="76" t="s">
        <v>353</v>
      </c>
      <c r="D347" s="77">
        <f>'дод 2'!E174+'дод 2'!E76+'дод 2'!E373</f>
        <v>18078015.98</v>
      </c>
      <c r="E347" s="77">
        <f>'дод 2'!F174+'дод 2'!F76+'дод 2'!F373</f>
        <v>18078015.98</v>
      </c>
      <c r="F347" s="77">
        <f>'дод 2'!G174+'дод 2'!G76+'дод 2'!G373</f>
        <v>0</v>
      </c>
      <c r="G347" s="77">
        <f>'дод 2'!H174+'дод 2'!H76+'дод 2'!H373</f>
        <v>0</v>
      </c>
      <c r="H347" s="77">
        <f>'дод 2'!I174+'дод 2'!I76+'дод 2'!I373</f>
        <v>0</v>
      </c>
      <c r="I347" s="77">
        <f>'дод 2'!J174+'дод 2'!J76+'дод 2'!J373</f>
        <v>17449104.550000001</v>
      </c>
      <c r="J347" s="77">
        <f>'дод 2'!K174+'дод 2'!K76+'дод 2'!K373</f>
        <v>0</v>
      </c>
      <c r="K347" s="77">
        <f>'дод 2'!L174+'дод 2'!L76+'дод 2'!L373</f>
        <v>0</v>
      </c>
      <c r="L347" s="136">
        <f t="shared" si="178"/>
        <v>96.521125821020547</v>
      </c>
      <c r="M347" s="77">
        <f>'дод 2'!N174+'дод 2'!N76+'дод 2'!N373</f>
        <v>43433661.600000001</v>
      </c>
      <c r="N347" s="77">
        <f>'дод 2'!O174+'дод 2'!O76+'дод 2'!O373</f>
        <v>43433661.600000001</v>
      </c>
      <c r="O347" s="77">
        <f>'дод 2'!P174+'дод 2'!P76+'дод 2'!P373</f>
        <v>0</v>
      </c>
      <c r="P347" s="77">
        <f>'дод 2'!Q174+'дод 2'!Q76+'дод 2'!Q373</f>
        <v>0</v>
      </c>
      <c r="Q347" s="77">
        <f>'дод 2'!R174+'дод 2'!R76+'дод 2'!R373</f>
        <v>0</v>
      </c>
      <c r="R347" s="77">
        <f>'дод 2'!S174+'дод 2'!S76+'дод 2'!S373</f>
        <v>43433661.600000001</v>
      </c>
      <c r="S347" s="77">
        <f>'дод 2'!T174+'дод 2'!T76+'дод 2'!T373</f>
        <v>39862152.539999999</v>
      </c>
      <c r="T347" s="77">
        <f>'дод 2'!U174+'дод 2'!U76+'дод 2'!U373</f>
        <v>39862152.539999999</v>
      </c>
      <c r="U347" s="77">
        <f>'дод 2'!V174+'дод 2'!V76+'дод 2'!V373</f>
        <v>0</v>
      </c>
      <c r="V347" s="77">
        <f>'дод 2'!W174+'дод 2'!W76+'дод 2'!W373</f>
        <v>0</v>
      </c>
      <c r="W347" s="77">
        <f>'дод 2'!X174+'дод 2'!X76+'дод 2'!X373</f>
        <v>0</v>
      </c>
      <c r="X347" s="77">
        <f>'дод 2'!Y174+'дод 2'!Y76+'дод 2'!Y373</f>
        <v>39862152.539999999</v>
      </c>
      <c r="Y347" s="136">
        <f t="shared" si="179"/>
        <v>91.777094243419711</v>
      </c>
      <c r="Z347" s="77">
        <f t="shared" si="180"/>
        <v>57311257.090000004</v>
      </c>
      <c r="AA347" s="77">
        <f>'дод 2'!AB174+'дод 2'!AB76+'дод 2'!AB373</f>
        <v>61511677.579999998</v>
      </c>
      <c r="AB347" s="220"/>
    </row>
    <row r="348" spans="1:32" s="73" customFormat="1" ht="31.15" customHeight="1" x14ac:dyDescent="0.25">
      <c r="A348" s="74"/>
      <c r="B348" s="74"/>
      <c r="C348" s="88" t="s">
        <v>388</v>
      </c>
      <c r="D348" s="77">
        <f t="shared" ref="D348:AA348" si="184">D19+D28+D111+D135+D188+D195+D206+D223+D305+D335</f>
        <v>3097198343.6500001</v>
      </c>
      <c r="E348" s="77">
        <f t="shared" ref="E348:X348" si="185">E19+E28+E111+E135+E188+E195+E206+E223+E305+E335</f>
        <v>2884120326.5</v>
      </c>
      <c r="F348" s="77">
        <f t="shared" si="185"/>
        <v>1394849312</v>
      </c>
      <c r="G348" s="77">
        <f t="shared" si="185"/>
        <v>198262168.58000001</v>
      </c>
      <c r="H348" s="77">
        <f t="shared" si="185"/>
        <v>212930194.17000002</v>
      </c>
      <c r="I348" s="77">
        <f t="shared" si="185"/>
        <v>3000974020.4000001</v>
      </c>
      <c r="J348" s="77">
        <f t="shared" si="185"/>
        <v>1388769017.8100002</v>
      </c>
      <c r="K348" s="77">
        <f t="shared" si="185"/>
        <v>172953190.72000003</v>
      </c>
      <c r="L348" s="136">
        <f t="shared" si="178"/>
        <v>96.893181754172033</v>
      </c>
      <c r="M348" s="77">
        <f t="shared" si="185"/>
        <v>1227588610.9399998</v>
      </c>
      <c r="N348" s="77">
        <f t="shared" si="185"/>
        <v>994879965.43999994</v>
      </c>
      <c r="O348" s="77">
        <f t="shared" si="185"/>
        <v>144567839</v>
      </c>
      <c r="P348" s="77">
        <f t="shared" si="185"/>
        <v>10161379</v>
      </c>
      <c r="Q348" s="77">
        <f t="shared" si="185"/>
        <v>5905712</v>
      </c>
      <c r="R348" s="77">
        <f t="shared" si="185"/>
        <v>1083020771.9399998</v>
      </c>
      <c r="S348" s="77">
        <f t="shared" si="185"/>
        <v>959937576.5999999</v>
      </c>
      <c r="T348" s="77">
        <f t="shared" si="185"/>
        <v>719718745.21999991</v>
      </c>
      <c r="U348" s="77">
        <f t="shared" si="185"/>
        <v>115142032.46999998</v>
      </c>
      <c r="V348" s="77">
        <f t="shared" si="185"/>
        <v>17119523.579999998</v>
      </c>
      <c r="W348" s="77">
        <f t="shared" si="185"/>
        <v>5081628.22</v>
      </c>
      <c r="X348" s="77">
        <f t="shared" si="185"/>
        <v>844795544.13000011</v>
      </c>
      <c r="Y348" s="136">
        <f t="shared" si="179"/>
        <v>78.19700900165148</v>
      </c>
      <c r="Z348" s="77">
        <f t="shared" si="180"/>
        <v>3960911597</v>
      </c>
      <c r="AA348" s="77">
        <f t="shared" si="184"/>
        <v>4324786954.5900011</v>
      </c>
      <c r="AB348" s="220"/>
      <c r="AD348" s="196">
        <f>D348+M348</f>
        <v>4324786954.5900002</v>
      </c>
      <c r="AF348" s="73">
        <f>Z348/AD348*100</f>
        <v>91.586282482566901</v>
      </c>
    </row>
    <row r="349" spans="1:32" s="85" customFormat="1" ht="21" customHeight="1" x14ac:dyDescent="0.25">
      <c r="A349" s="97"/>
      <c r="B349" s="97"/>
      <c r="C349" s="19" t="s">
        <v>728</v>
      </c>
      <c r="D349" s="78">
        <f>D29+D30+D139+D31+D140+D43+D112+D32+D34+D308+D229+D20+D113+D189+D207+D33+D141+D197+D306</f>
        <v>665070485.88999999</v>
      </c>
      <c r="E349" s="78">
        <f t="shared" ref="E349:X349" si="186">E29+E30+E139+E31+E140+E43+E112+E32+E34+E308+E229+E20+E113+E189+E207+E33+E141+E197+E306</f>
        <v>652966458.88999999</v>
      </c>
      <c r="F349" s="78">
        <f t="shared" si="186"/>
        <v>455205701</v>
      </c>
      <c r="G349" s="78">
        <f t="shared" si="186"/>
        <v>0</v>
      </c>
      <c r="H349" s="78">
        <f t="shared" si="186"/>
        <v>12104027</v>
      </c>
      <c r="I349" s="78">
        <f t="shared" si="186"/>
        <v>647786666.54999995</v>
      </c>
      <c r="J349" s="78">
        <f t="shared" si="186"/>
        <v>452533749.14999998</v>
      </c>
      <c r="K349" s="78">
        <f t="shared" si="186"/>
        <v>0</v>
      </c>
      <c r="L349" s="178">
        <f t="shared" si="178"/>
        <v>97.40120487877752</v>
      </c>
      <c r="M349" s="78">
        <f t="shared" si="186"/>
        <v>267689767</v>
      </c>
      <c r="N349" s="78">
        <f t="shared" si="186"/>
        <v>242263267</v>
      </c>
      <c r="O349" s="78">
        <f t="shared" si="186"/>
        <v>25426500</v>
      </c>
      <c r="P349" s="78">
        <f t="shared" si="186"/>
        <v>0</v>
      </c>
      <c r="Q349" s="78">
        <f t="shared" si="186"/>
        <v>0</v>
      </c>
      <c r="R349" s="78">
        <f t="shared" si="186"/>
        <v>242263267</v>
      </c>
      <c r="S349" s="78">
        <f t="shared" si="186"/>
        <v>172257588.87</v>
      </c>
      <c r="T349" s="78">
        <f t="shared" si="186"/>
        <v>172257588.87</v>
      </c>
      <c r="U349" s="78">
        <f t="shared" si="186"/>
        <v>0</v>
      </c>
      <c r="V349" s="78">
        <f t="shared" si="186"/>
        <v>0</v>
      </c>
      <c r="W349" s="78">
        <f t="shared" si="186"/>
        <v>0</v>
      </c>
      <c r="X349" s="78">
        <f t="shared" si="186"/>
        <v>172257588.87</v>
      </c>
      <c r="Y349" s="178">
        <f t="shared" si="179"/>
        <v>64.349710039532454</v>
      </c>
      <c r="Z349" s="78">
        <f t="shared" si="180"/>
        <v>820044255.41999996</v>
      </c>
      <c r="AA349" s="78">
        <f t="shared" ref="AA349" si="187">AA29+AA30+AA139+AA31+AA140+AA43+AA112+AA32+AA34+AA308+AA229+AA20+AA113+AA189+AA207+AA33+AA141+AA197+AA306</f>
        <v>932760252.88999999</v>
      </c>
      <c r="AB349" s="220"/>
    </row>
    <row r="350" spans="1:32" s="85" customFormat="1" ht="94.5" x14ac:dyDescent="0.25">
      <c r="A350" s="97"/>
      <c r="B350" s="97"/>
      <c r="C350" s="54" t="s">
        <v>618</v>
      </c>
      <c r="D350" s="78">
        <f t="shared" ref="D350:AA350" si="188">D20+D34+D113+D140+D189+D207+D229+D308-D74+D197+D139</f>
        <v>97857572</v>
      </c>
      <c r="E350" s="78">
        <f t="shared" ref="E350:X350" si="189">E20+E34+E113+E140+E189+E207+E229+E308-E74+E197+E139</f>
        <v>85753545</v>
      </c>
      <c r="F350" s="78">
        <f t="shared" si="189"/>
        <v>2531101</v>
      </c>
      <c r="G350" s="78">
        <f t="shared" si="189"/>
        <v>0</v>
      </c>
      <c r="H350" s="78">
        <f t="shared" si="189"/>
        <v>12104027</v>
      </c>
      <c r="I350" s="78">
        <f t="shared" si="189"/>
        <v>97111384.290000007</v>
      </c>
      <c r="J350" s="78">
        <f t="shared" si="189"/>
        <v>2531101</v>
      </c>
      <c r="K350" s="78">
        <f t="shared" si="189"/>
        <v>0</v>
      </c>
      <c r="L350" s="178">
        <f t="shared" si="178"/>
        <v>99.237475757113629</v>
      </c>
      <c r="M350" s="78">
        <f t="shared" si="189"/>
        <v>12511985</v>
      </c>
      <c r="N350" s="78">
        <f t="shared" si="189"/>
        <v>12511985</v>
      </c>
      <c r="O350" s="78">
        <f t="shared" si="189"/>
        <v>0</v>
      </c>
      <c r="P350" s="78">
        <f t="shared" si="189"/>
        <v>0</v>
      </c>
      <c r="Q350" s="78">
        <f t="shared" si="189"/>
        <v>0</v>
      </c>
      <c r="R350" s="78">
        <f t="shared" si="189"/>
        <v>12511985</v>
      </c>
      <c r="S350" s="78">
        <f t="shared" si="189"/>
        <v>10389939.880000001</v>
      </c>
      <c r="T350" s="78">
        <f t="shared" si="189"/>
        <v>10389939.880000001</v>
      </c>
      <c r="U350" s="78">
        <f t="shared" si="189"/>
        <v>0</v>
      </c>
      <c r="V350" s="78">
        <f t="shared" si="189"/>
        <v>0</v>
      </c>
      <c r="W350" s="78">
        <f t="shared" si="189"/>
        <v>0</v>
      </c>
      <c r="X350" s="78">
        <f t="shared" si="189"/>
        <v>10389939.880000001</v>
      </c>
      <c r="Y350" s="178">
        <f t="shared" si="179"/>
        <v>83.039900383512304</v>
      </c>
      <c r="Z350" s="78">
        <f t="shared" si="180"/>
        <v>107501324.17</v>
      </c>
      <c r="AA350" s="78">
        <f t="shared" si="188"/>
        <v>110369557</v>
      </c>
      <c r="AB350" s="220"/>
    </row>
    <row r="351" spans="1:32" s="85" customFormat="1" ht="42.75" customHeight="1" x14ac:dyDescent="0.25">
      <c r="A351" s="97"/>
      <c r="B351" s="97"/>
      <c r="C351" s="19" t="s">
        <v>650</v>
      </c>
      <c r="D351" s="78">
        <f t="shared" ref="D351:AA351" si="190">D35+D36+D228+D37+D39+D142+D143+D38+D183+D145</f>
        <v>8187970.5999999996</v>
      </c>
      <c r="E351" s="78">
        <f t="shared" ref="E351:X351" si="191">E35+E36+E228+E37+E39+E142+E143+E38+E183+E145</f>
        <v>8187970.5999999996</v>
      </c>
      <c r="F351" s="78">
        <f t="shared" si="191"/>
        <v>4411615</v>
      </c>
      <c r="G351" s="78">
        <f t="shared" si="191"/>
        <v>0</v>
      </c>
      <c r="H351" s="78">
        <f t="shared" si="191"/>
        <v>0</v>
      </c>
      <c r="I351" s="78">
        <f t="shared" si="191"/>
        <v>7234966.2600000007</v>
      </c>
      <c r="J351" s="78">
        <f t="shared" si="191"/>
        <v>4256912.1500000004</v>
      </c>
      <c r="K351" s="78">
        <f t="shared" si="191"/>
        <v>0</v>
      </c>
      <c r="L351" s="178">
        <f t="shared" si="178"/>
        <v>88.360921325242685</v>
      </c>
      <c r="M351" s="78">
        <f t="shared" si="191"/>
        <v>135237612.44999999</v>
      </c>
      <c r="N351" s="78">
        <f t="shared" si="191"/>
        <v>50018655.789999999</v>
      </c>
      <c r="O351" s="78">
        <f t="shared" si="191"/>
        <v>4558902</v>
      </c>
      <c r="P351" s="78">
        <f t="shared" si="191"/>
        <v>0</v>
      </c>
      <c r="Q351" s="78">
        <f t="shared" si="191"/>
        <v>0</v>
      </c>
      <c r="R351" s="78">
        <f t="shared" si="191"/>
        <v>130678710.44999999</v>
      </c>
      <c r="S351" s="78">
        <f t="shared" si="191"/>
        <v>122027970.52</v>
      </c>
      <c r="T351" s="78">
        <f t="shared" si="191"/>
        <v>45028368.879999995</v>
      </c>
      <c r="U351" s="78">
        <f t="shared" si="191"/>
        <v>3507058.64</v>
      </c>
      <c r="V351" s="78">
        <f t="shared" si="191"/>
        <v>0</v>
      </c>
      <c r="W351" s="78">
        <f t="shared" si="191"/>
        <v>0</v>
      </c>
      <c r="X351" s="78">
        <f t="shared" si="191"/>
        <v>118520911.88</v>
      </c>
      <c r="Y351" s="178">
        <f t="shared" si="179"/>
        <v>90.232272153662976</v>
      </c>
      <c r="Z351" s="78">
        <f t="shared" si="180"/>
        <v>129262936.78</v>
      </c>
      <c r="AA351" s="78">
        <f t="shared" si="190"/>
        <v>143425583.04999998</v>
      </c>
      <c r="AB351" s="220"/>
    </row>
    <row r="352" spans="1:32" s="85" customFormat="1" ht="24" customHeight="1" x14ac:dyDescent="0.25">
      <c r="A352" s="97"/>
      <c r="B352" s="97"/>
      <c r="C352" s="19" t="s">
        <v>651</v>
      </c>
      <c r="D352" s="78">
        <f t="shared" ref="D352:AA352" si="192">D138+D307+D42+D309+D114+D230</f>
        <v>11797475.810000001</v>
      </c>
      <c r="E352" s="78">
        <f t="shared" ref="E352:X352" si="193">E138+E307+E42+E309+E114+E230</f>
        <v>11797475.810000001</v>
      </c>
      <c r="F352" s="78">
        <f t="shared" si="193"/>
        <v>336800</v>
      </c>
      <c r="G352" s="78">
        <f t="shared" si="193"/>
        <v>0</v>
      </c>
      <c r="H352" s="78">
        <f t="shared" si="193"/>
        <v>0</v>
      </c>
      <c r="I352" s="78">
        <f t="shared" si="193"/>
        <v>6096721.1399999997</v>
      </c>
      <c r="J352" s="78">
        <f t="shared" si="193"/>
        <v>336750</v>
      </c>
      <c r="K352" s="78">
        <f t="shared" si="193"/>
        <v>0</v>
      </c>
      <c r="L352" s="178">
        <f t="shared" si="178"/>
        <v>51.678183012947407</v>
      </c>
      <c r="M352" s="78">
        <f t="shared" si="193"/>
        <v>7792296</v>
      </c>
      <c r="N352" s="78">
        <f t="shared" si="193"/>
        <v>1228100</v>
      </c>
      <c r="O352" s="78">
        <f t="shared" si="193"/>
        <v>6564196</v>
      </c>
      <c r="P352" s="78">
        <f t="shared" si="193"/>
        <v>0</v>
      </c>
      <c r="Q352" s="78">
        <f t="shared" si="193"/>
        <v>0</v>
      </c>
      <c r="R352" s="78">
        <f t="shared" si="193"/>
        <v>1228100</v>
      </c>
      <c r="S352" s="78">
        <f t="shared" si="193"/>
        <v>2046111.5</v>
      </c>
      <c r="T352" s="78">
        <f t="shared" si="193"/>
        <v>1034500</v>
      </c>
      <c r="U352" s="78">
        <f t="shared" si="193"/>
        <v>1011611.5</v>
      </c>
      <c r="V352" s="78">
        <f t="shared" si="193"/>
        <v>0</v>
      </c>
      <c r="W352" s="78">
        <f t="shared" si="193"/>
        <v>0</v>
      </c>
      <c r="X352" s="78">
        <f t="shared" si="193"/>
        <v>1034500</v>
      </c>
      <c r="Y352" s="178">
        <f t="shared" si="179"/>
        <v>26.25813367459347</v>
      </c>
      <c r="Z352" s="78">
        <f t="shared" si="180"/>
        <v>8142832.6399999997</v>
      </c>
      <c r="AA352" s="78">
        <f t="shared" si="192"/>
        <v>19589771.810000002</v>
      </c>
      <c r="AB352" s="220"/>
    </row>
    <row r="353" spans="1:30" s="85" customFormat="1" ht="23.25" customHeight="1" x14ac:dyDescent="0.25">
      <c r="A353" s="84"/>
      <c r="B353" s="84"/>
      <c r="C353" s="19" t="s">
        <v>399</v>
      </c>
      <c r="D353" s="78">
        <f t="shared" ref="D353:AA353" si="194">D231+D233</f>
        <v>0</v>
      </c>
      <c r="E353" s="78">
        <f t="shared" ref="E353:X353" si="195">E231+E233</f>
        <v>0</v>
      </c>
      <c r="F353" s="78">
        <f t="shared" si="195"/>
        <v>0</v>
      </c>
      <c r="G353" s="78">
        <f t="shared" si="195"/>
        <v>0</v>
      </c>
      <c r="H353" s="78">
        <f t="shared" si="195"/>
        <v>0</v>
      </c>
      <c r="I353" s="78">
        <f t="shared" si="195"/>
        <v>0</v>
      </c>
      <c r="J353" s="78">
        <f t="shared" si="195"/>
        <v>0</v>
      </c>
      <c r="K353" s="78">
        <f t="shared" si="195"/>
        <v>0</v>
      </c>
      <c r="L353" s="178"/>
      <c r="M353" s="78">
        <f t="shared" si="195"/>
        <v>104076609</v>
      </c>
      <c r="N353" s="78">
        <f t="shared" si="195"/>
        <v>104076609</v>
      </c>
      <c r="O353" s="78">
        <f t="shared" si="195"/>
        <v>0</v>
      </c>
      <c r="P353" s="78">
        <f t="shared" si="195"/>
        <v>0</v>
      </c>
      <c r="Q353" s="78">
        <f t="shared" si="195"/>
        <v>0</v>
      </c>
      <c r="R353" s="78">
        <f t="shared" si="195"/>
        <v>104076609</v>
      </c>
      <c r="S353" s="78">
        <f t="shared" si="195"/>
        <v>1136625.77</v>
      </c>
      <c r="T353" s="78">
        <f t="shared" si="195"/>
        <v>1136625.77</v>
      </c>
      <c r="U353" s="78">
        <f t="shared" si="195"/>
        <v>0</v>
      </c>
      <c r="V353" s="78">
        <f t="shared" si="195"/>
        <v>0</v>
      </c>
      <c r="W353" s="78">
        <f t="shared" si="195"/>
        <v>0</v>
      </c>
      <c r="X353" s="78">
        <f t="shared" si="195"/>
        <v>1136625.77</v>
      </c>
      <c r="Y353" s="178">
        <f t="shared" si="179"/>
        <v>1.0921049224422752</v>
      </c>
      <c r="Z353" s="78">
        <f t="shared" si="180"/>
        <v>1136625.77</v>
      </c>
      <c r="AA353" s="78">
        <f t="shared" si="194"/>
        <v>104076609</v>
      </c>
      <c r="AB353" s="220"/>
      <c r="AD353" s="98"/>
    </row>
    <row r="354" spans="1:30" s="85" customFormat="1" ht="23.25" customHeight="1" x14ac:dyDescent="0.25">
      <c r="A354" s="84"/>
      <c r="B354" s="84"/>
      <c r="C354" s="19" t="s">
        <v>597</v>
      </c>
      <c r="D354" s="78">
        <f t="shared" ref="D354:AA354" si="196">D232</f>
        <v>0</v>
      </c>
      <c r="E354" s="78">
        <f t="shared" ref="E354:X354" si="197">E232</f>
        <v>0</v>
      </c>
      <c r="F354" s="78">
        <f t="shared" si="197"/>
        <v>0</v>
      </c>
      <c r="G354" s="78">
        <f t="shared" si="197"/>
        <v>0</v>
      </c>
      <c r="H354" s="78">
        <f t="shared" si="197"/>
        <v>0</v>
      </c>
      <c r="I354" s="78">
        <f t="shared" si="197"/>
        <v>0</v>
      </c>
      <c r="J354" s="78">
        <f t="shared" si="197"/>
        <v>0</v>
      </c>
      <c r="K354" s="78">
        <f t="shared" si="197"/>
        <v>0</v>
      </c>
      <c r="L354" s="178"/>
      <c r="M354" s="78">
        <f t="shared" si="197"/>
        <v>5904588</v>
      </c>
      <c r="N354" s="78">
        <f t="shared" si="197"/>
        <v>0</v>
      </c>
      <c r="O354" s="78">
        <f t="shared" si="197"/>
        <v>447641</v>
      </c>
      <c r="P354" s="78">
        <f t="shared" si="197"/>
        <v>0</v>
      </c>
      <c r="Q354" s="78">
        <f t="shared" si="197"/>
        <v>0</v>
      </c>
      <c r="R354" s="78">
        <f t="shared" si="197"/>
        <v>5456947</v>
      </c>
      <c r="S354" s="78">
        <f t="shared" si="197"/>
        <v>5715593.0999999996</v>
      </c>
      <c r="T354" s="78">
        <f t="shared" si="197"/>
        <v>0</v>
      </c>
      <c r="U354" s="78">
        <f t="shared" si="197"/>
        <v>415601.1</v>
      </c>
      <c r="V354" s="78">
        <f t="shared" si="197"/>
        <v>0</v>
      </c>
      <c r="W354" s="78">
        <f t="shared" si="197"/>
        <v>0</v>
      </c>
      <c r="X354" s="78">
        <f t="shared" si="197"/>
        <v>5299992</v>
      </c>
      <c r="Y354" s="178">
        <f t="shared" si="179"/>
        <v>96.799185650209623</v>
      </c>
      <c r="Z354" s="78">
        <f t="shared" si="180"/>
        <v>5715593.0999999996</v>
      </c>
      <c r="AA354" s="78">
        <f t="shared" si="196"/>
        <v>5904588</v>
      </c>
      <c r="AB354" s="220"/>
    </row>
    <row r="355" spans="1:30" s="85" customFormat="1" ht="112.5" customHeight="1" x14ac:dyDescent="0.25">
      <c r="A355" s="99"/>
      <c r="B355" s="99"/>
      <c r="C355" s="58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220"/>
    </row>
    <row r="356" spans="1:30" s="85" customFormat="1" ht="66.75" customHeight="1" x14ac:dyDescent="0.25">
      <c r="A356" s="223" t="s">
        <v>760</v>
      </c>
      <c r="B356" s="223"/>
      <c r="C356" s="223"/>
      <c r="D356" s="223"/>
      <c r="E356" s="223"/>
      <c r="F356" s="223"/>
      <c r="G356" s="110"/>
      <c r="H356" s="110"/>
      <c r="I356" s="110"/>
      <c r="J356" s="110"/>
      <c r="K356" s="110"/>
      <c r="L356" s="110"/>
      <c r="M356" s="171"/>
      <c r="N356" s="110"/>
      <c r="O356" s="110"/>
      <c r="P356" s="110"/>
      <c r="Q356" s="110"/>
      <c r="R356" s="110"/>
      <c r="S356" s="110"/>
      <c r="T356" s="67"/>
      <c r="U356" s="67"/>
      <c r="V356" s="67"/>
      <c r="W356" s="67"/>
      <c r="X356" s="224" t="s">
        <v>761</v>
      </c>
      <c r="Y356" s="224"/>
      <c r="Z356" s="224"/>
      <c r="AA356" s="224"/>
      <c r="AB356" s="220"/>
    </row>
    <row r="357" spans="1:30" ht="65.45" customHeight="1" x14ac:dyDescent="0.25">
      <c r="A357" s="172"/>
      <c r="B357" s="172"/>
      <c r="C357" s="172"/>
      <c r="D357" s="172"/>
      <c r="E357" s="172"/>
      <c r="F357" s="172"/>
      <c r="G357" s="110"/>
      <c r="H357" s="110"/>
      <c r="I357" s="110"/>
      <c r="J357" s="110"/>
      <c r="K357" s="110"/>
      <c r="L357" s="110"/>
      <c r="M357" s="171"/>
      <c r="N357" s="110"/>
      <c r="O357" s="110"/>
      <c r="P357" s="110"/>
      <c r="Q357" s="110"/>
      <c r="R357" s="110"/>
      <c r="S357" s="110"/>
      <c r="X357" s="173"/>
      <c r="Y357" s="173"/>
      <c r="Z357" s="173"/>
      <c r="AA357" s="173"/>
      <c r="AB357" s="220"/>
    </row>
    <row r="358" spans="1:30" ht="38.25" x14ac:dyDescent="0.25">
      <c r="A358" s="174" t="s">
        <v>780</v>
      </c>
      <c r="B358" s="3"/>
      <c r="C358" s="3"/>
      <c r="D358" s="4"/>
      <c r="E358" s="110"/>
      <c r="F358" s="110"/>
      <c r="G358" s="110"/>
      <c r="H358" s="110"/>
      <c r="I358" s="110"/>
      <c r="J358" s="110"/>
      <c r="K358" s="110"/>
      <c r="L358" s="110"/>
      <c r="M358" s="171"/>
      <c r="N358" s="110"/>
      <c r="O358" s="175"/>
      <c r="P358" s="110"/>
      <c r="Q358" s="110"/>
      <c r="R358" s="110"/>
      <c r="S358" s="110"/>
      <c r="Z358" s="176"/>
      <c r="AA358" s="177"/>
      <c r="AB358" s="220"/>
    </row>
    <row r="359" spans="1:30" x14ac:dyDescent="0.25">
      <c r="AB359" s="220"/>
    </row>
    <row r="360" spans="1:30" x14ac:dyDescent="0.25">
      <c r="AB360" s="220"/>
    </row>
    <row r="361" spans="1:30" x14ac:dyDescent="0.25">
      <c r="AB361" s="220"/>
    </row>
    <row r="362" spans="1:30" x14ac:dyDescent="0.25">
      <c r="AB362" s="220"/>
    </row>
    <row r="363" spans="1:30" x14ac:dyDescent="0.25">
      <c r="AB363" s="220"/>
    </row>
    <row r="364" spans="1:30" x14ac:dyDescent="0.25">
      <c r="AB364" s="220"/>
    </row>
  </sheetData>
  <mergeCells count="49">
    <mergeCell ref="T1:W1"/>
    <mergeCell ref="A356:F356"/>
    <mergeCell ref="X356:AA356"/>
    <mergeCell ref="Y15:Y18"/>
    <mergeCell ref="Z15:Z18"/>
    <mergeCell ref="M15:X15"/>
    <mergeCell ref="M16:R16"/>
    <mergeCell ref="S16:X16"/>
    <mergeCell ref="S17:S18"/>
    <mergeCell ref="T17:T18"/>
    <mergeCell ref="U17:U18"/>
    <mergeCell ref="V17:W17"/>
    <mergeCell ref="X17:X18"/>
    <mergeCell ref="N17:N18"/>
    <mergeCell ref="H17:H18"/>
    <mergeCell ref="M17:M18"/>
    <mergeCell ref="J17:K17"/>
    <mergeCell ref="AB211:AB244"/>
    <mergeCell ref="AB247:AB295"/>
    <mergeCell ref="AB296:AB318"/>
    <mergeCell ref="AB319:AB364"/>
    <mergeCell ref="R17:R18"/>
    <mergeCell ref="AA15:AA18"/>
    <mergeCell ref="AB143:AB161"/>
    <mergeCell ref="AB162:AB178"/>
    <mergeCell ref="AB179:AB183"/>
    <mergeCell ref="AB184:AB210"/>
    <mergeCell ref="AC1:AC124"/>
    <mergeCell ref="AB1:AB37"/>
    <mergeCell ref="AB38:AB73"/>
    <mergeCell ref="AB74:AB97"/>
    <mergeCell ref="AB99:AB118"/>
    <mergeCell ref="AB119:AB142"/>
    <mergeCell ref="A12:AA12"/>
    <mergeCell ref="A13:AA13"/>
    <mergeCell ref="A11:AA11"/>
    <mergeCell ref="B15:B18"/>
    <mergeCell ref="C15:C18"/>
    <mergeCell ref="A15:A18"/>
    <mergeCell ref="D17:D18"/>
    <mergeCell ref="P17:Q17"/>
    <mergeCell ref="E17:E18"/>
    <mergeCell ref="O17:O18"/>
    <mergeCell ref="L15:L18"/>
    <mergeCell ref="F17:G17"/>
    <mergeCell ref="D15:K15"/>
    <mergeCell ref="D16:H16"/>
    <mergeCell ref="I16:K16"/>
    <mergeCell ref="I17:I18"/>
  </mergeCells>
  <phoneticPr fontId="3" type="noConversion"/>
  <printOptions horizontalCentered="1"/>
  <pageMargins left="0" right="0" top="0.82677165354330717" bottom="0.31496062992125984" header="0.43307086614173229" footer="0.11811023622047245"/>
  <pageSetup paperSize="9" scale="28" fitToHeight="100" orientation="landscape" verticalDpi="300" r:id="rId1"/>
  <headerFooter scaleWithDoc="0" alignWithMargins="0">
    <oddFooter>&amp;R&amp;6Сторінка &amp;P</oddFooter>
  </headerFooter>
  <rowBreaks count="1" manualBreakCount="1">
    <brk id="20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2</vt:lpstr>
      <vt:lpstr>дод 5</vt:lpstr>
      <vt:lpstr>'дод 2'!Заголовки_для_печати</vt:lpstr>
      <vt:lpstr>'дод 5'!Заголовки_для_печати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Щелінська Юлія Миколаївна</cp:lastModifiedBy>
  <cp:lastPrinted>2026-02-26T07:23:39Z</cp:lastPrinted>
  <dcterms:created xsi:type="dcterms:W3CDTF">2014-01-17T10:52:16Z</dcterms:created>
  <dcterms:modified xsi:type="dcterms:W3CDTF">2026-02-26T07:25:15Z</dcterms:modified>
</cp:coreProperties>
</file>