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11580" activeTab="0"/>
  </bookViews>
  <sheets>
    <sheet name="дод 5 (в)" sheetId="1" r:id="rId1"/>
  </sheets>
  <definedNames>
    <definedName name="_xlnm.Print_Area" localSheetId="0">'дод 5 (в)'!$A$1:$K$204</definedName>
  </definedNames>
  <calcPr fullCalcOnLoad="1"/>
</workbook>
</file>

<file path=xl/sharedStrings.xml><?xml version="1.0" encoding="utf-8"?>
<sst xmlns="http://schemas.openxmlformats.org/spreadsheetml/2006/main" count="337" uniqueCount="232">
  <si>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</si>
  <si>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</si>
  <si>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</si>
  <si>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</si>
  <si>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</si>
  <si>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</si>
  <si>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</si>
  <si>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</si>
  <si>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</si>
  <si>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</si>
  <si>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</si>
  <si>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</si>
  <si>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</si>
  <si>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</si>
  <si>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</si>
  <si>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</si>
  <si>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</si>
  <si>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</si>
  <si>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</si>
  <si>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</si>
  <si>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</si>
  <si>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</si>
  <si>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</si>
  <si>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</si>
  <si>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</si>
  <si>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</si>
  <si>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</si>
  <si>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</si>
  <si>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</si>
  <si>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</si>
  <si>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</si>
  <si>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</si>
  <si>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</si>
  <si>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</si>
  <si>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</si>
  <si>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</si>
  <si>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</si>
  <si>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</si>
  <si>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</si>
  <si>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</si>
  <si>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</si>
  <si>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</si>
  <si>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</si>
  <si>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</si>
  <si>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</si>
  <si>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</si>
  <si>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</si>
  <si>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</si>
  <si>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</si>
  <si>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</si>
  <si>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</si>
  <si>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</si>
  <si>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</si>
  <si>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</si>
  <si>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</si>
  <si>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</si>
  <si>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</si>
  <si>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</si>
  <si>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</si>
  <si>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</si>
  <si>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</si>
  <si>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</si>
  <si>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</si>
  <si>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</si>
  <si>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</si>
  <si>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</si>
  <si>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</si>
  <si>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</si>
  <si>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</si>
  <si>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</si>
  <si>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</si>
  <si>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</si>
  <si>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</si>
  <si>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</si>
  <si>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</si>
  <si>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</si>
  <si>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</si>
  <si>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</si>
  <si>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</si>
  <si>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</si>
  <si>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</si>
  <si>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</si>
  <si>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</si>
  <si>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</si>
  <si>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</si>
  <si>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</si>
  <si>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</si>
  <si>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</si>
  <si>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</si>
  <si>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</si>
  <si>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</si>
  <si>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</si>
  <si>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</si>
  <si>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</si>
  <si>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</si>
  <si>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</si>
  <si>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</si>
  <si>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</si>
  <si>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</si>
  <si>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</si>
  <si>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</si>
  <si>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</si>
  <si>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</si>
  <si>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</si>
  <si>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</si>
  <si>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</si>
  <si>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</si>
  <si>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</si>
  <si>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</si>
  <si>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</si>
  <si>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</si>
  <si>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</si>
  <si>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</si>
  <si>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</si>
  <si>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</si>
  <si>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</si>
  <si>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</si>
  <si>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</si>
  <si>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</si>
  <si>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</si>
  <si>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</si>
  <si>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</si>
  <si>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</si>
  <si>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</si>
  <si>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</si>
  <si>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</si>
  <si>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</si>
  <si>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</si>
  <si>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</si>
  <si>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</si>
  <si>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</si>
  <si>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</si>
  <si>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</si>
  <si>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</si>
  <si>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</si>
  <si>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</si>
  <si>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</si>
  <si>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</si>
  <si>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</si>
  <si>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</si>
  <si>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</si>
  <si>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</si>
  <si>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</si>
  <si>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</si>
  <si>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</si>
  <si>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</si>
  <si>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</si>
  <si>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</si>
  <si>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</si>
  <si>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</si>
  <si>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</si>
  <si>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</si>
  <si>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</si>
  <si>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</si>
  <si>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</si>
  <si>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</si>
  <si>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</si>
  <si>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</si>
  <si>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</si>
  <si>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</si>
  <si>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</si>
  <si>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</si>
  <si>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</si>
  <si>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</si>
  <si>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</si>
  <si>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</si>
  <si>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</si>
  <si>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</si>
  <si>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</si>
  <si>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</si>
  <si>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</si>
  <si>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</si>
  <si>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</si>
  <si>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</si>
  <si>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</si>
  <si>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</si>
  <si>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</si>
  <si>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</si>
  <si>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</si>
  <si>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</si>
  <si>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</si>
  <si>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</si>
  <si>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</si>
  <si>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</si>
  <si>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</si>
  <si>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</si>
  <si>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</si>
  <si>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</si>
  <si>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</si>
  <si>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</si>
  <si>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</si>
  <si>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</si>
  <si>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Будівництво водоводу від Токарівського водозабору до Пришибського водозабору в м. Суми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</si>
  <si>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</si>
  <si>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</si>
  <si>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</si>
  <si>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</si>
  <si>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</si>
  <si>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</si>
  <si>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</si>
  <si>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</si>
  <si>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</si>
  <si>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</si>
  <si>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</si>
  <si>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</si>
  <si>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</si>
  <si>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</si>
  <si>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</si>
  <si>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</si>
  <si>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</si>
  <si>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</si>
  <si>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</si>
  <si>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</si>
  <si>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</si>
  <si>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</si>
  <si>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</si>
  <si>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</si>
  <si>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</si>
  <si>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</si>
  <si>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</si>
  <si>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</si>
  <si>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</si>
  <si>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</si>
  <si>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46 Управління «Інспекція державного архітектурно - будівельного контролю»  Сумської міської ради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</si>
  <si>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</si>
  <si>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</si>
  <si>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до рішення виконавчого комітету</t>
  </si>
  <si>
    <t>від  21.06.2016 № 297</t>
  </si>
  <si>
    <t xml:space="preserve">Директор департаменту фінансів, </t>
  </si>
  <si>
    <t>економіки та інвестицій</t>
  </si>
  <si>
    <t>С.А. Липова</t>
  </si>
  <si>
    <t xml:space="preserve">                    Додаток 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</si>
</sst>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vertical="center" textRotation="180"/>
    </xf>
    <xf numFmtId="3" fontId="1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textRotation="180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19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9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18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4" fontId="1" fillId="24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192" fontId="7" fillId="24" borderId="0" xfId="0" applyNumberFormat="1" applyFont="1" applyFill="1" applyBorder="1" applyAlignment="1">
      <alignment vertical="center"/>
    </xf>
    <xf numFmtId="0" fontId="16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 vertical="distributed" wrapText="1"/>
    </xf>
    <xf numFmtId="0" fontId="6" fillId="24" borderId="0" xfId="0" applyFont="1" applyFill="1" applyBorder="1" applyAlignment="1">
      <alignment/>
    </xf>
    <xf numFmtId="0" fontId="16" fillId="24" borderId="0" xfId="0" applyFont="1" applyFill="1" applyAlignment="1">
      <alignment vertical="center"/>
    </xf>
    <xf numFmtId="1" fontId="16" fillId="24" borderId="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14" fillId="24" borderId="0" xfId="0" applyFont="1" applyFill="1" applyBorder="1" applyAlignment="1">
      <alignment vertical="center" textRotation="180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vertical="center" textRotation="180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 vertical="center" textRotation="180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0" fontId="14" fillId="24" borderId="12" xfId="0" applyFont="1" applyFill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Y303"/>
  <sheetViews>
    <sheetView tabSelected="1" view="pageBreakPreview" zoomScale="40" zoomScaleNormal="75" zoomScaleSheetLayoutView="40" zoomScalePageLayoutView="0" workbookViewId="0" topLeftCell="A1">
      <selection activeCell="I27" sqref="I27"/>
    </sheetView>
  </sheetViews>
  <sheetFormatPr defaultColWidth="9.125" defaultRowHeight="12.75"/>
  <cols>
    <col min="1" max="1" width="15.75390625" style="21" customWidth="1"/>
    <col min="2" max="2" width="19.375" style="21" customWidth="1"/>
    <col min="3" max="3" width="43.375" style="21" customWidth="1"/>
    <col min="4" max="4" width="51.25390625" style="21" customWidth="1"/>
    <col min="5" max="5" width="19.25390625" style="21" customWidth="1"/>
    <col min="6" max="6" width="15.00390625" style="21" customWidth="1"/>
    <col min="7" max="7" width="20.25390625" style="21" customWidth="1"/>
    <col min="8" max="8" width="21.25390625" style="83" customWidth="1"/>
    <col min="9" max="9" width="18.25390625" style="78" customWidth="1"/>
    <col min="10" max="10" width="20.75390625" style="76" customWidth="1"/>
    <col min="11" max="11" width="8.75390625" style="99" customWidth="1"/>
    <col min="12" max="154" width="9.125" style="2" customWidth="1"/>
    <col min="155" max="16384" width="9.125" style="1" customWidth="1"/>
  </cols>
  <sheetData>
    <row r="1" spans="5:11" ht="33">
      <c r="E1" s="22"/>
      <c r="F1" s="104" t="s">
        <v>231</v>
      </c>
      <c r="G1" s="104"/>
      <c r="H1" s="104"/>
      <c r="I1" s="104"/>
      <c r="J1" s="104"/>
      <c r="K1" s="106">
        <v>43</v>
      </c>
    </row>
    <row r="2" spans="5:11" ht="33">
      <c r="E2" s="22"/>
      <c r="F2" s="104" t="s">
        <v>226</v>
      </c>
      <c r="G2" s="104"/>
      <c r="H2" s="104"/>
      <c r="I2" s="104"/>
      <c r="J2" s="104"/>
      <c r="K2" s="106"/>
    </row>
    <row r="3" spans="4:11" ht="33">
      <c r="D3" s="76"/>
      <c r="F3" s="104" t="s">
        <v>227</v>
      </c>
      <c r="G3" s="104"/>
      <c r="H3" s="104"/>
      <c r="I3" s="104"/>
      <c r="J3" s="104"/>
      <c r="K3" s="106"/>
    </row>
    <row r="4" spans="6:11" ht="33">
      <c r="F4" s="88"/>
      <c r="G4" s="88"/>
      <c r="H4" s="88"/>
      <c r="I4" s="88"/>
      <c r="J4" s="88"/>
      <c r="K4" s="106"/>
    </row>
    <row r="5" spans="6:11" ht="33">
      <c r="F5" s="23"/>
      <c r="G5" s="23"/>
      <c r="H5" s="23"/>
      <c r="I5" s="23"/>
      <c r="J5" s="23"/>
      <c r="K5" s="106"/>
    </row>
    <row r="6" spans="6:11" ht="33">
      <c r="F6" s="23"/>
      <c r="G6" s="23"/>
      <c r="H6" s="23"/>
      <c r="I6" s="23"/>
      <c r="J6" s="23"/>
      <c r="K6" s="106"/>
    </row>
    <row r="7" spans="1:154" s="4" customFormat="1" ht="27">
      <c r="A7" s="105" t="s">
        <v>29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</row>
    <row r="8" spans="1:154" s="4" customFormat="1" ht="27">
      <c r="A8" s="109" t="s">
        <v>138</v>
      </c>
      <c r="B8" s="109"/>
      <c r="C8" s="109"/>
      <c r="D8" s="109"/>
      <c r="E8" s="109"/>
      <c r="F8" s="109"/>
      <c r="G8" s="109"/>
      <c r="H8" s="109"/>
      <c r="I8" s="109"/>
      <c r="J8" s="109"/>
      <c r="K8" s="10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 s="4" customFormat="1" ht="27">
      <c r="A9" s="25"/>
      <c r="B9" s="25"/>
      <c r="C9" s="24"/>
      <c r="D9" s="24"/>
      <c r="E9" s="24"/>
      <c r="F9" s="24"/>
      <c r="G9" s="24"/>
      <c r="H9" s="26"/>
      <c r="I9" s="27"/>
      <c r="J9" s="28" t="s">
        <v>116</v>
      </c>
      <c r="K9" s="10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</row>
    <row r="10" spans="1:154" s="4" customFormat="1" ht="38.25" customHeight="1">
      <c r="A10" s="102" t="s">
        <v>84</v>
      </c>
      <c r="B10" s="102" t="s">
        <v>117</v>
      </c>
      <c r="C10" s="102" t="s">
        <v>114</v>
      </c>
      <c r="D10" s="102" t="s">
        <v>0</v>
      </c>
      <c r="E10" s="103" t="s">
        <v>1</v>
      </c>
      <c r="F10" s="108" t="s">
        <v>9</v>
      </c>
      <c r="G10" s="103" t="s">
        <v>2</v>
      </c>
      <c r="H10" s="107" t="s">
        <v>3</v>
      </c>
      <c r="I10" s="102" t="s">
        <v>119</v>
      </c>
      <c r="J10" s="102" t="s">
        <v>120</v>
      </c>
      <c r="K10" s="10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</row>
    <row r="11" spans="1:11" ht="121.5" customHeight="1">
      <c r="A11" s="102"/>
      <c r="B11" s="102"/>
      <c r="C11" s="102"/>
      <c r="D11" s="102"/>
      <c r="E11" s="103"/>
      <c r="F11" s="108"/>
      <c r="G11" s="103"/>
      <c r="H11" s="107"/>
      <c r="I11" s="102"/>
      <c r="J11" s="102"/>
      <c r="K11" s="106"/>
    </row>
    <row r="12" spans="1:11" ht="18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2">
        <v>8</v>
      </c>
      <c r="I12" s="32">
        <v>9</v>
      </c>
      <c r="J12" s="32">
        <v>10</v>
      </c>
      <c r="K12" s="106"/>
    </row>
    <row r="13" spans="1:154" s="6" customFormat="1" ht="39">
      <c r="A13" s="33"/>
      <c r="B13" s="33"/>
      <c r="C13" s="34" t="s">
        <v>107</v>
      </c>
      <c r="D13" s="35"/>
      <c r="E13" s="36"/>
      <c r="F13" s="36"/>
      <c r="G13" s="36"/>
      <c r="H13" s="37">
        <f>SUM(H14:H20)+H22+H23</f>
        <v>56749758</v>
      </c>
      <c r="I13" s="37">
        <f>SUM(I14:I20)+I22+I23</f>
        <v>1117466</v>
      </c>
      <c r="J13" s="37">
        <f>SUM(J14:J20)+J22+J23</f>
        <v>57867224</v>
      </c>
      <c r="K13" s="10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s="6" customFormat="1" ht="18.75">
      <c r="A14" s="38" t="s">
        <v>10</v>
      </c>
      <c r="B14" s="38" t="s">
        <v>85</v>
      </c>
      <c r="C14" s="35" t="s">
        <v>11</v>
      </c>
      <c r="D14" s="39" t="s">
        <v>12</v>
      </c>
      <c r="E14" s="36"/>
      <c r="F14" s="36"/>
      <c r="G14" s="36"/>
      <c r="H14" s="40">
        <v>4043480</v>
      </c>
      <c r="I14" s="40">
        <f>1211765-92299</f>
        <v>1119466</v>
      </c>
      <c r="J14" s="40">
        <f aca="true" t="shared" si="0" ref="J14:J19">I14+H14</f>
        <v>5162946</v>
      </c>
      <c r="K14" s="10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s="6" customFormat="1" ht="18.75">
      <c r="A15" s="38" t="s">
        <v>135</v>
      </c>
      <c r="B15" s="38" t="s">
        <v>137</v>
      </c>
      <c r="C15" s="35" t="s">
        <v>136</v>
      </c>
      <c r="D15" s="39" t="s">
        <v>12</v>
      </c>
      <c r="E15" s="36"/>
      <c r="F15" s="36"/>
      <c r="G15" s="36"/>
      <c r="H15" s="40">
        <v>9645</v>
      </c>
      <c r="I15" s="40"/>
      <c r="J15" s="40">
        <f t="shared" si="0"/>
        <v>9645</v>
      </c>
      <c r="K15" s="10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s="6" customFormat="1" ht="37.5">
      <c r="A16" s="38" t="s">
        <v>67</v>
      </c>
      <c r="B16" s="38" t="s">
        <v>86</v>
      </c>
      <c r="C16" s="35" t="s">
        <v>43</v>
      </c>
      <c r="D16" s="39" t="s">
        <v>12</v>
      </c>
      <c r="E16" s="36"/>
      <c r="F16" s="36"/>
      <c r="G16" s="36"/>
      <c r="H16" s="40">
        <f>74759+42000</f>
        <v>116759</v>
      </c>
      <c r="I16" s="40"/>
      <c r="J16" s="40">
        <f t="shared" si="0"/>
        <v>116759</v>
      </c>
      <c r="K16" s="10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s="6" customFormat="1" ht="56.25">
      <c r="A17" s="38" t="s">
        <v>34</v>
      </c>
      <c r="B17" s="38" t="s">
        <v>87</v>
      </c>
      <c r="C17" s="35" t="s">
        <v>35</v>
      </c>
      <c r="D17" s="39" t="s">
        <v>12</v>
      </c>
      <c r="E17" s="36"/>
      <c r="F17" s="36"/>
      <c r="G17" s="36"/>
      <c r="H17" s="40">
        <v>210000</v>
      </c>
      <c r="I17" s="40">
        <f>-13000</f>
        <v>-13000</v>
      </c>
      <c r="J17" s="40">
        <f t="shared" si="0"/>
        <v>197000</v>
      </c>
      <c r="K17" s="10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s="6" customFormat="1" ht="37.5">
      <c r="A18" s="38" t="s">
        <v>24</v>
      </c>
      <c r="B18" s="38" t="s">
        <v>87</v>
      </c>
      <c r="C18" s="35" t="s">
        <v>40</v>
      </c>
      <c r="D18" s="39" t="s">
        <v>12</v>
      </c>
      <c r="E18" s="41"/>
      <c r="F18" s="41"/>
      <c r="G18" s="41"/>
      <c r="H18" s="40">
        <v>500000</v>
      </c>
      <c r="I18" s="40"/>
      <c r="J18" s="40">
        <f t="shared" si="0"/>
        <v>500000</v>
      </c>
      <c r="K18" s="10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s="20" customFormat="1" ht="112.5">
      <c r="A19" s="38" t="s">
        <v>220</v>
      </c>
      <c r="B19" s="38" t="s">
        <v>87</v>
      </c>
      <c r="C19" s="35" t="s">
        <v>221</v>
      </c>
      <c r="D19" s="39" t="s">
        <v>12</v>
      </c>
      <c r="E19" s="41"/>
      <c r="F19" s="41"/>
      <c r="G19" s="41"/>
      <c r="H19" s="40">
        <v>12000</v>
      </c>
      <c r="I19" s="40">
        <v>11000</v>
      </c>
      <c r="J19" s="40">
        <f t="shared" si="0"/>
        <v>23000</v>
      </c>
      <c r="K19" s="10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</row>
    <row r="20" spans="1:154" s="6" customFormat="1" ht="93.75">
      <c r="A20" s="32">
        <v>180409</v>
      </c>
      <c r="B20" s="38" t="s">
        <v>88</v>
      </c>
      <c r="C20" s="35" t="s">
        <v>31</v>
      </c>
      <c r="D20" s="39" t="s">
        <v>12</v>
      </c>
      <c r="E20" s="42"/>
      <c r="F20" s="42"/>
      <c r="G20" s="42"/>
      <c r="H20" s="40">
        <f>H21</f>
        <v>51400000</v>
      </c>
      <c r="I20" s="40">
        <f>I21</f>
        <v>0</v>
      </c>
      <c r="J20" s="40">
        <f>J21</f>
        <v>51400000</v>
      </c>
      <c r="K20" s="10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s="6" customFormat="1" ht="37.5">
      <c r="A21" s="32"/>
      <c r="B21" s="32"/>
      <c r="C21" s="35"/>
      <c r="D21" s="35" t="s">
        <v>66</v>
      </c>
      <c r="E21" s="42"/>
      <c r="F21" s="42"/>
      <c r="G21" s="42"/>
      <c r="H21" s="40">
        <f>50000000-4000000+5400000</f>
        <v>51400000</v>
      </c>
      <c r="I21" s="40"/>
      <c r="J21" s="40">
        <f>I21+H21</f>
        <v>51400000</v>
      </c>
      <c r="K21" s="10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s="6" customFormat="1" ht="75">
      <c r="A22" s="32">
        <v>210106</v>
      </c>
      <c r="B22" s="38" t="s">
        <v>89</v>
      </c>
      <c r="C22" s="35" t="s">
        <v>50</v>
      </c>
      <c r="D22" s="39" t="s">
        <v>12</v>
      </c>
      <c r="E22" s="36"/>
      <c r="F22" s="36"/>
      <c r="G22" s="36"/>
      <c r="H22" s="40">
        <f>500000-156126</f>
        <v>343874</v>
      </c>
      <c r="I22" s="43"/>
      <c r="J22" s="40">
        <f>I22+H22</f>
        <v>343874</v>
      </c>
      <c r="K22" s="113">
        <v>44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s="6" customFormat="1" ht="18.75">
      <c r="A23" s="32">
        <v>250404</v>
      </c>
      <c r="B23" s="38" t="s">
        <v>131</v>
      </c>
      <c r="C23" s="35" t="s">
        <v>130</v>
      </c>
      <c r="D23" s="39" t="s">
        <v>12</v>
      </c>
      <c r="E23" s="36"/>
      <c r="F23" s="36"/>
      <c r="G23" s="36"/>
      <c r="H23" s="40">
        <v>114000</v>
      </c>
      <c r="I23" s="40"/>
      <c r="J23" s="40">
        <f>I23+H23</f>
        <v>114000</v>
      </c>
      <c r="K23" s="1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s="6" customFormat="1" ht="39">
      <c r="A24" s="33"/>
      <c r="B24" s="33"/>
      <c r="C24" s="34" t="s">
        <v>108</v>
      </c>
      <c r="D24" s="39"/>
      <c r="E24" s="36"/>
      <c r="F24" s="36"/>
      <c r="G24" s="36"/>
      <c r="H24" s="37">
        <f>SUM(H25:H32)</f>
        <v>16936323.45</v>
      </c>
      <c r="I24" s="37">
        <f>SUM(I25:I32)</f>
        <v>403110</v>
      </c>
      <c r="J24" s="37">
        <f>SUM(J25:J32)</f>
        <v>17339433.45</v>
      </c>
      <c r="K24" s="1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s="6" customFormat="1" ht="18.75">
      <c r="A25" s="38" t="s">
        <v>10</v>
      </c>
      <c r="B25" s="38" t="s">
        <v>85</v>
      </c>
      <c r="C25" s="35" t="s">
        <v>11</v>
      </c>
      <c r="D25" s="39" t="s">
        <v>12</v>
      </c>
      <c r="E25" s="36"/>
      <c r="F25" s="36"/>
      <c r="G25" s="36"/>
      <c r="H25" s="40">
        <f>170000+18000</f>
        <v>188000</v>
      </c>
      <c r="I25" s="40">
        <v>6600</v>
      </c>
      <c r="J25" s="40">
        <f aca="true" t="shared" si="1" ref="J25:J32">I25+H25</f>
        <v>194600</v>
      </c>
      <c r="K25" s="1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s="6" customFormat="1" ht="18.75">
      <c r="A26" s="38" t="s">
        <v>13</v>
      </c>
      <c r="B26" s="38" t="s">
        <v>90</v>
      </c>
      <c r="C26" s="35" t="s">
        <v>14</v>
      </c>
      <c r="D26" s="39" t="s">
        <v>12</v>
      </c>
      <c r="E26" s="36"/>
      <c r="F26" s="36"/>
      <c r="G26" s="36"/>
      <c r="H26" s="40">
        <f>3832900+120392</f>
        <v>3953292</v>
      </c>
      <c r="I26" s="40">
        <f>5000-2600</f>
        <v>2400</v>
      </c>
      <c r="J26" s="40">
        <f t="shared" si="1"/>
        <v>3955692</v>
      </c>
      <c r="K26" s="11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s="6" customFormat="1" ht="75">
      <c r="A27" s="38" t="s">
        <v>73</v>
      </c>
      <c r="B27" s="38" t="s">
        <v>91</v>
      </c>
      <c r="C27" s="35" t="s">
        <v>78</v>
      </c>
      <c r="D27" s="39" t="s">
        <v>12</v>
      </c>
      <c r="E27" s="36"/>
      <c r="F27" s="36"/>
      <c r="G27" s="36"/>
      <c r="H27" s="40">
        <f>11144755+712693.45</f>
        <v>11857448.45</v>
      </c>
      <c r="I27" s="87">
        <f>384410-3580+16300</f>
        <v>397130</v>
      </c>
      <c r="J27" s="40">
        <f t="shared" si="1"/>
        <v>12254578.45</v>
      </c>
      <c r="K27" s="11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s="6" customFormat="1" ht="93.75">
      <c r="A28" s="38" t="s">
        <v>74</v>
      </c>
      <c r="B28" s="38" t="s">
        <v>92</v>
      </c>
      <c r="C28" s="35" t="s">
        <v>79</v>
      </c>
      <c r="D28" s="39" t="s">
        <v>12</v>
      </c>
      <c r="E28" s="36"/>
      <c r="F28" s="36"/>
      <c r="G28" s="36"/>
      <c r="H28" s="40">
        <f>150000-26417</f>
        <v>123583</v>
      </c>
      <c r="I28" s="40"/>
      <c r="J28" s="40">
        <f t="shared" si="1"/>
        <v>123583</v>
      </c>
      <c r="K28" s="1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s="6" customFormat="1" ht="37.5">
      <c r="A29" s="38" t="s">
        <v>75</v>
      </c>
      <c r="B29" s="38" t="s">
        <v>93</v>
      </c>
      <c r="C29" s="35" t="s">
        <v>80</v>
      </c>
      <c r="D29" s="39" t="s">
        <v>12</v>
      </c>
      <c r="E29" s="36"/>
      <c r="F29" s="36"/>
      <c r="G29" s="36"/>
      <c r="H29" s="40">
        <f>525000-75000</f>
        <v>450000</v>
      </c>
      <c r="I29" s="40"/>
      <c r="J29" s="40">
        <f t="shared" si="1"/>
        <v>450000</v>
      </c>
      <c r="K29" s="1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s="6" customFormat="1" ht="37.5">
      <c r="A30" s="38" t="s">
        <v>159</v>
      </c>
      <c r="B30" s="38" t="s">
        <v>94</v>
      </c>
      <c r="C30" s="35" t="s">
        <v>161</v>
      </c>
      <c r="D30" s="39" t="s">
        <v>12</v>
      </c>
      <c r="E30" s="36"/>
      <c r="F30" s="36"/>
      <c r="G30" s="36"/>
      <c r="H30" s="40">
        <v>121000</v>
      </c>
      <c r="I30" s="40">
        <v>-2270</v>
      </c>
      <c r="J30" s="40">
        <f t="shared" si="1"/>
        <v>118730</v>
      </c>
      <c r="K30" s="1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s="6" customFormat="1" ht="56.25">
      <c r="A31" s="38" t="s">
        <v>160</v>
      </c>
      <c r="B31" s="38" t="s">
        <v>94</v>
      </c>
      <c r="C31" s="35" t="s">
        <v>162</v>
      </c>
      <c r="D31" s="39" t="s">
        <v>12</v>
      </c>
      <c r="E31" s="36"/>
      <c r="F31" s="36"/>
      <c r="G31" s="36"/>
      <c r="H31" s="40">
        <f>75000+18000</f>
        <v>93000</v>
      </c>
      <c r="I31" s="40">
        <v>-750</v>
      </c>
      <c r="J31" s="40">
        <f t="shared" si="1"/>
        <v>92250</v>
      </c>
      <c r="K31" s="1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s="6" customFormat="1" ht="18.75">
      <c r="A32" s="38" t="s">
        <v>76</v>
      </c>
      <c r="B32" s="38" t="s">
        <v>94</v>
      </c>
      <c r="C32" s="35" t="s">
        <v>81</v>
      </c>
      <c r="D32" s="39" t="s">
        <v>12</v>
      </c>
      <c r="E32" s="36"/>
      <c r="F32" s="36"/>
      <c r="G32" s="36"/>
      <c r="H32" s="40">
        <v>150000</v>
      </c>
      <c r="I32" s="40"/>
      <c r="J32" s="40">
        <f t="shared" si="1"/>
        <v>150000</v>
      </c>
      <c r="K32" s="1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s="6" customFormat="1" ht="39">
      <c r="A33" s="33"/>
      <c r="B33" s="33"/>
      <c r="C33" s="34" t="s">
        <v>109</v>
      </c>
      <c r="D33" s="39"/>
      <c r="E33" s="36"/>
      <c r="F33" s="36"/>
      <c r="G33" s="36"/>
      <c r="H33" s="37">
        <f>SUM(H34:H40)</f>
        <v>23602564</v>
      </c>
      <c r="I33" s="37">
        <f>SUM(I34:I40)</f>
        <v>35000</v>
      </c>
      <c r="J33" s="37">
        <f>SUM(J34:J40)</f>
        <v>23637564</v>
      </c>
      <c r="K33" s="1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s="6" customFormat="1" ht="18.75">
      <c r="A34" s="38" t="s">
        <v>10</v>
      </c>
      <c r="B34" s="38" t="s">
        <v>85</v>
      </c>
      <c r="C34" s="35" t="s">
        <v>11</v>
      </c>
      <c r="D34" s="39" t="s">
        <v>12</v>
      </c>
      <c r="E34" s="36"/>
      <c r="F34" s="36"/>
      <c r="G34" s="36"/>
      <c r="H34" s="40">
        <f>333200+114700</f>
        <v>447900</v>
      </c>
      <c r="I34" s="40"/>
      <c r="J34" s="40">
        <f aca="true" t="shared" si="2" ref="J34:J40">I34+H34</f>
        <v>447900</v>
      </c>
      <c r="K34" s="1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1:154" s="6" customFormat="1" ht="18.75">
      <c r="A35" s="38" t="s">
        <v>15</v>
      </c>
      <c r="B35" s="38" t="s">
        <v>95</v>
      </c>
      <c r="C35" s="35" t="s">
        <v>16</v>
      </c>
      <c r="D35" s="39" t="s">
        <v>12</v>
      </c>
      <c r="E35" s="36"/>
      <c r="F35" s="36"/>
      <c r="G35" s="36"/>
      <c r="H35" s="40">
        <f>16431400+350200</f>
        <v>16781600</v>
      </c>
      <c r="I35" s="40">
        <v>35000</v>
      </c>
      <c r="J35" s="40">
        <f t="shared" si="2"/>
        <v>16816600</v>
      </c>
      <c r="K35" s="11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:154" s="6" customFormat="1" ht="37.5">
      <c r="A36" s="38" t="s">
        <v>33</v>
      </c>
      <c r="B36" s="38" t="s">
        <v>96</v>
      </c>
      <c r="C36" s="35" t="s">
        <v>38</v>
      </c>
      <c r="D36" s="39" t="s">
        <v>12</v>
      </c>
      <c r="E36" s="36"/>
      <c r="F36" s="36"/>
      <c r="G36" s="36"/>
      <c r="H36" s="40">
        <v>2894064</v>
      </c>
      <c r="I36" s="40"/>
      <c r="J36" s="40">
        <f t="shared" si="2"/>
        <v>2894064</v>
      </c>
      <c r="K36" s="1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1:154" s="6" customFormat="1" ht="37.5">
      <c r="A37" s="38" t="s">
        <v>69</v>
      </c>
      <c r="B37" s="38" t="s">
        <v>97</v>
      </c>
      <c r="C37" s="35" t="s">
        <v>82</v>
      </c>
      <c r="D37" s="39"/>
      <c r="E37" s="36"/>
      <c r="F37" s="36"/>
      <c r="G37" s="36"/>
      <c r="H37" s="40">
        <v>1000000</v>
      </c>
      <c r="I37" s="40"/>
      <c r="J37" s="40">
        <f t="shared" si="2"/>
        <v>1000000</v>
      </c>
      <c r="K37" s="11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1:154" s="6" customFormat="1" ht="37.5">
      <c r="A38" s="38" t="s">
        <v>47</v>
      </c>
      <c r="B38" s="38" t="s">
        <v>98</v>
      </c>
      <c r="C38" s="35" t="s">
        <v>49</v>
      </c>
      <c r="D38" s="39" t="s">
        <v>12</v>
      </c>
      <c r="E38" s="36"/>
      <c r="F38" s="36"/>
      <c r="G38" s="36"/>
      <c r="H38" s="40">
        <v>2419000</v>
      </c>
      <c r="I38" s="40"/>
      <c r="J38" s="40">
        <f t="shared" si="2"/>
        <v>2419000</v>
      </c>
      <c r="K38" s="11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1:154" s="6" customFormat="1" ht="18.75">
      <c r="A39" s="38" t="s">
        <v>157</v>
      </c>
      <c r="B39" s="38" t="s">
        <v>99</v>
      </c>
      <c r="C39" s="35" t="s">
        <v>158</v>
      </c>
      <c r="D39" s="39" t="s">
        <v>12</v>
      </c>
      <c r="E39" s="36"/>
      <c r="F39" s="36"/>
      <c r="G39" s="36"/>
      <c r="H39" s="40">
        <v>20000</v>
      </c>
      <c r="I39" s="40"/>
      <c r="J39" s="40">
        <f t="shared" si="2"/>
        <v>20000</v>
      </c>
      <c r="K39" s="11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1:154" s="6" customFormat="1" ht="112.5">
      <c r="A40" s="38" t="s">
        <v>77</v>
      </c>
      <c r="B40" s="38" t="s">
        <v>99</v>
      </c>
      <c r="C40" s="35" t="s">
        <v>100</v>
      </c>
      <c r="D40" s="39"/>
      <c r="E40" s="36"/>
      <c r="F40" s="36"/>
      <c r="G40" s="36"/>
      <c r="H40" s="40">
        <v>40000</v>
      </c>
      <c r="I40" s="40"/>
      <c r="J40" s="40">
        <f t="shared" si="2"/>
        <v>40000</v>
      </c>
      <c r="K40" s="11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1:154" s="6" customFormat="1" ht="54.75" customHeight="1">
      <c r="A41" s="33"/>
      <c r="B41" s="33"/>
      <c r="C41" s="34" t="s">
        <v>208</v>
      </c>
      <c r="D41" s="39"/>
      <c r="E41" s="36"/>
      <c r="F41" s="36"/>
      <c r="G41" s="36"/>
      <c r="H41" s="37">
        <f>SUM(H42:H44)</f>
        <v>883500</v>
      </c>
      <c r="I41" s="37">
        <f>SUM(I42:I44)</f>
        <v>-3097</v>
      </c>
      <c r="J41" s="37">
        <f>SUM(J42:J44)</f>
        <v>880403</v>
      </c>
      <c r="K41" s="11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1:154" s="6" customFormat="1" ht="18.75">
      <c r="A42" s="38" t="s">
        <v>10</v>
      </c>
      <c r="B42" s="38" t="s">
        <v>85</v>
      </c>
      <c r="C42" s="35" t="s">
        <v>11</v>
      </c>
      <c r="D42" s="39" t="s">
        <v>12</v>
      </c>
      <c r="E42" s="36"/>
      <c r="F42" s="36"/>
      <c r="G42" s="36"/>
      <c r="H42" s="40">
        <f>80000+120000</f>
        <v>200000</v>
      </c>
      <c r="I42" s="43"/>
      <c r="J42" s="40">
        <f>I42+H42</f>
        <v>200000</v>
      </c>
      <c r="K42" s="11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1:154" s="6" customFormat="1" ht="56.25">
      <c r="A43" s="38" t="s">
        <v>163</v>
      </c>
      <c r="B43" s="38" t="s">
        <v>164</v>
      </c>
      <c r="C43" s="35" t="s">
        <v>165</v>
      </c>
      <c r="D43" s="39" t="s">
        <v>12</v>
      </c>
      <c r="E43" s="36"/>
      <c r="F43" s="36"/>
      <c r="G43" s="36"/>
      <c r="H43" s="40">
        <f>308000+132000</f>
        <v>440000</v>
      </c>
      <c r="I43" s="40">
        <v>-3097</v>
      </c>
      <c r="J43" s="40">
        <f>I43+H43</f>
        <v>436903</v>
      </c>
      <c r="K43" s="11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1:154" s="6" customFormat="1" ht="18.75">
      <c r="A44" s="38" t="s">
        <v>25</v>
      </c>
      <c r="B44" s="38" t="s">
        <v>101</v>
      </c>
      <c r="C44" s="39" t="s">
        <v>26</v>
      </c>
      <c r="D44" s="39" t="s">
        <v>12</v>
      </c>
      <c r="E44" s="36"/>
      <c r="F44" s="36"/>
      <c r="G44" s="36"/>
      <c r="H44" s="40">
        <v>243500</v>
      </c>
      <c r="I44" s="40"/>
      <c r="J44" s="40">
        <f>I44+H44</f>
        <v>243500</v>
      </c>
      <c r="K44" s="11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1:155" s="7" customFormat="1" ht="39">
      <c r="A45" s="29"/>
      <c r="B45" s="29"/>
      <c r="C45" s="34" t="s">
        <v>115</v>
      </c>
      <c r="D45" s="39"/>
      <c r="E45" s="44"/>
      <c r="F45" s="44"/>
      <c r="G45" s="44"/>
      <c r="H45" s="37">
        <f>SUM(H46:H49)</f>
        <v>1160000</v>
      </c>
      <c r="I45" s="37">
        <f>SUM(I46:I49)</f>
        <v>0</v>
      </c>
      <c r="J45" s="37">
        <f>SUM(J46:J49)</f>
        <v>1160000</v>
      </c>
      <c r="K45" s="11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8"/>
    </row>
    <row r="46" spans="1:155" s="7" customFormat="1" ht="18.75">
      <c r="A46" s="38" t="s">
        <v>10</v>
      </c>
      <c r="B46" s="38" t="s">
        <v>85</v>
      </c>
      <c r="C46" s="35" t="s">
        <v>11</v>
      </c>
      <c r="D46" s="39" t="s">
        <v>12</v>
      </c>
      <c r="E46" s="44"/>
      <c r="F46" s="44"/>
      <c r="G46" s="44"/>
      <c r="H46" s="40">
        <v>20000</v>
      </c>
      <c r="I46" s="40"/>
      <c r="J46" s="40">
        <f>I46+H46</f>
        <v>20000</v>
      </c>
      <c r="K46" s="113">
        <v>45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8"/>
    </row>
    <row r="47" spans="1:155" s="7" customFormat="1" ht="18.75">
      <c r="A47" s="32">
        <v>110201</v>
      </c>
      <c r="B47" s="38" t="s">
        <v>102</v>
      </c>
      <c r="C47" s="39" t="s">
        <v>19</v>
      </c>
      <c r="D47" s="39" t="s">
        <v>12</v>
      </c>
      <c r="E47" s="44"/>
      <c r="F47" s="44"/>
      <c r="G47" s="44"/>
      <c r="H47" s="40">
        <f>678000+1500</f>
        <v>679500</v>
      </c>
      <c r="I47" s="40"/>
      <c r="J47" s="40">
        <f>I47+H47</f>
        <v>679500</v>
      </c>
      <c r="K47" s="11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8"/>
    </row>
    <row r="48" spans="1:11" s="5" customFormat="1" ht="18.75">
      <c r="A48" s="32">
        <v>110205</v>
      </c>
      <c r="B48" s="38" t="s">
        <v>93</v>
      </c>
      <c r="C48" s="39" t="s">
        <v>68</v>
      </c>
      <c r="D48" s="39" t="s">
        <v>12</v>
      </c>
      <c r="E48" s="44"/>
      <c r="F48" s="44"/>
      <c r="G48" s="44"/>
      <c r="H48" s="40">
        <f>435500+2000</f>
        <v>437500</v>
      </c>
      <c r="I48" s="40"/>
      <c r="J48" s="40">
        <f>I48+H48</f>
        <v>437500</v>
      </c>
      <c r="K48" s="113"/>
    </row>
    <row r="49" spans="1:11" s="5" customFormat="1" ht="37.5">
      <c r="A49" s="32">
        <v>110502</v>
      </c>
      <c r="B49" s="38" t="s">
        <v>86</v>
      </c>
      <c r="C49" s="35" t="s">
        <v>43</v>
      </c>
      <c r="D49" s="39" t="s">
        <v>12</v>
      </c>
      <c r="E49" s="44"/>
      <c r="F49" s="44"/>
      <c r="G49" s="44"/>
      <c r="H49" s="40">
        <f>30000-7000</f>
        <v>23000</v>
      </c>
      <c r="I49" s="40"/>
      <c r="J49" s="40">
        <f>I49+H49</f>
        <v>23000</v>
      </c>
      <c r="K49" s="113"/>
    </row>
    <row r="50" spans="1:154" s="10" customFormat="1" ht="58.5">
      <c r="A50" s="29"/>
      <c r="B50" s="29"/>
      <c r="C50" s="34" t="s">
        <v>110</v>
      </c>
      <c r="D50" s="34"/>
      <c r="E50" s="45"/>
      <c r="F50" s="45"/>
      <c r="G50" s="45"/>
      <c r="H50" s="37">
        <f>SUM(H51:H65)-H57</f>
        <v>104967150.34</v>
      </c>
      <c r="I50" s="37">
        <f>SUM(I51:I65)-I57</f>
        <v>2214997</v>
      </c>
      <c r="J50" s="37">
        <f>SUM(J51:J65)-J57</f>
        <v>107182147.34</v>
      </c>
      <c r="K50" s="113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</row>
    <row r="51" spans="1:154" s="6" customFormat="1" ht="18.75">
      <c r="A51" s="38" t="s">
        <v>10</v>
      </c>
      <c r="B51" s="38" t="s">
        <v>85</v>
      </c>
      <c r="C51" s="35" t="s">
        <v>11</v>
      </c>
      <c r="D51" s="39" t="s">
        <v>12</v>
      </c>
      <c r="E51" s="36"/>
      <c r="F51" s="36"/>
      <c r="G51" s="36"/>
      <c r="H51" s="40">
        <v>30000</v>
      </c>
      <c r="I51" s="40"/>
      <c r="J51" s="40">
        <f aca="true" t="shared" si="3" ref="J51:J56">I51+H51</f>
        <v>30000</v>
      </c>
      <c r="K51" s="11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  <row r="52" spans="1:154" s="6" customFormat="1" ht="37.5">
      <c r="A52" s="32">
        <v>100102</v>
      </c>
      <c r="B52" s="38" t="s">
        <v>103</v>
      </c>
      <c r="C52" s="35" t="s">
        <v>18</v>
      </c>
      <c r="D52" s="39" t="s">
        <v>12</v>
      </c>
      <c r="E52" s="44"/>
      <c r="F52" s="44"/>
      <c r="G52" s="44"/>
      <c r="H52" s="40">
        <f>51271723.14+1543208</f>
        <v>52814931.14</v>
      </c>
      <c r="I52" s="87">
        <f>120702+1902000+50000</f>
        <v>2072702</v>
      </c>
      <c r="J52" s="40">
        <f t="shared" si="3"/>
        <v>54887633.14</v>
      </c>
      <c r="K52" s="11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</row>
    <row r="53" spans="1:154" s="6" customFormat="1" ht="56.25">
      <c r="A53" s="32">
        <v>100106</v>
      </c>
      <c r="B53" s="38" t="s">
        <v>103</v>
      </c>
      <c r="C53" s="35" t="s">
        <v>36</v>
      </c>
      <c r="D53" s="39" t="s">
        <v>12</v>
      </c>
      <c r="E53" s="44"/>
      <c r="F53" s="44"/>
      <c r="G53" s="44"/>
      <c r="H53" s="40">
        <v>6000000</v>
      </c>
      <c r="I53" s="40"/>
      <c r="J53" s="40">
        <f t="shared" si="3"/>
        <v>6000000</v>
      </c>
      <c r="K53" s="11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</row>
    <row r="54" spans="1:154" s="6" customFormat="1" ht="37.5">
      <c r="A54" s="32">
        <v>100202</v>
      </c>
      <c r="B54" s="38" t="s">
        <v>104</v>
      </c>
      <c r="C54" s="35" t="s">
        <v>191</v>
      </c>
      <c r="D54" s="39" t="s">
        <v>12</v>
      </c>
      <c r="E54" s="44"/>
      <c r="F54" s="44"/>
      <c r="G54" s="44"/>
      <c r="H54" s="40">
        <f>3430202+664532</f>
        <v>4094734</v>
      </c>
      <c r="I54" s="40">
        <v>174600</v>
      </c>
      <c r="J54" s="40">
        <f t="shared" si="3"/>
        <v>4269334</v>
      </c>
      <c r="K54" s="11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</row>
    <row r="55" spans="1:154" s="6" customFormat="1" ht="18.75">
      <c r="A55" s="32">
        <v>100203</v>
      </c>
      <c r="B55" s="38" t="s">
        <v>104</v>
      </c>
      <c r="C55" s="35" t="s">
        <v>17</v>
      </c>
      <c r="D55" s="39" t="s">
        <v>12</v>
      </c>
      <c r="E55" s="44"/>
      <c r="F55" s="44"/>
      <c r="G55" s="44"/>
      <c r="H55" s="40">
        <f>21022929.2-391391</f>
        <v>20631538.2</v>
      </c>
      <c r="I55" s="40">
        <f>200000-188002+5697-50000</f>
        <v>-32305</v>
      </c>
      <c r="J55" s="40">
        <f t="shared" si="3"/>
        <v>20599233.2</v>
      </c>
      <c r="K55" s="11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</row>
    <row r="56" spans="1:154" s="6" customFormat="1" ht="75">
      <c r="A56" s="32">
        <v>100208</v>
      </c>
      <c r="B56" s="38" t="s">
        <v>104</v>
      </c>
      <c r="C56" s="35" t="s">
        <v>166</v>
      </c>
      <c r="D56" s="39" t="s">
        <v>12</v>
      </c>
      <c r="E56" s="44"/>
      <c r="F56" s="44"/>
      <c r="G56" s="44"/>
      <c r="H56" s="40">
        <v>845938</v>
      </c>
      <c r="I56" s="40"/>
      <c r="J56" s="40">
        <f t="shared" si="3"/>
        <v>845938</v>
      </c>
      <c r="K56" s="11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</row>
    <row r="57" spans="1:154" s="6" customFormat="1" ht="93.75">
      <c r="A57" s="32">
        <v>180409</v>
      </c>
      <c r="B57" s="38" t="s">
        <v>88</v>
      </c>
      <c r="C57" s="35" t="s">
        <v>31</v>
      </c>
      <c r="D57" s="42"/>
      <c r="E57" s="30"/>
      <c r="F57" s="30"/>
      <c r="G57" s="30"/>
      <c r="H57" s="40">
        <f>H58+H59+H60+H61+H62+H64+H63</f>
        <v>19799509</v>
      </c>
      <c r="I57" s="40">
        <f>I58+I59+I60+I61+I62+I64+I63</f>
        <v>0</v>
      </c>
      <c r="J57" s="40">
        <f>J58+J59+J60+J61+J62+J64+J63</f>
        <v>19799509</v>
      </c>
      <c r="K57" s="11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</row>
    <row r="58" spans="1:154" s="6" customFormat="1" ht="37.5">
      <c r="A58" s="32"/>
      <c r="B58" s="32"/>
      <c r="C58" s="35"/>
      <c r="D58" s="35" t="s">
        <v>51</v>
      </c>
      <c r="E58" s="30"/>
      <c r="F58" s="30"/>
      <c r="G58" s="30"/>
      <c r="H58" s="40">
        <f>4311200+292000</f>
        <v>4603200</v>
      </c>
      <c r="I58" s="40"/>
      <c r="J58" s="40">
        <f aca="true" t="shared" si="4" ref="J58:J65">I58+H58</f>
        <v>4603200</v>
      </c>
      <c r="K58" s="11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</row>
    <row r="59" spans="1:154" s="6" customFormat="1" ht="37.5">
      <c r="A59" s="32"/>
      <c r="B59" s="32"/>
      <c r="C59" s="35"/>
      <c r="D59" s="35" t="s">
        <v>151</v>
      </c>
      <c r="E59" s="30"/>
      <c r="F59" s="30"/>
      <c r="G59" s="30"/>
      <c r="H59" s="40">
        <v>1600000</v>
      </c>
      <c r="I59" s="40"/>
      <c r="J59" s="40">
        <f t="shared" si="4"/>
        <v>1600000</v>
      </c>
      <c r="K59" s="11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</row>
    <row r="60" spans="1:154" s="6" customFormat="1" ht="37.5">
      <c r="A60" s="32"/>
      <c r="B60" s="32"/>
      <c r="C60" s="35"/>
      <c r="D60" s="35" t="s">
        <v>41</v>
      </c>
      <c r="E60" s="30"/>
      <c r="F60" s="30"/>
      <c r="G60" s="30"/>
      <c r="H60" s="40">
        <v>2188500</v>
      </c>
      <c r="I60" s="40"/>
      <c r="J60" s="40">
        <f t="shared" si="4"/>
        <v>2188500</v>
      </c>
      <c r="K60" s="11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</row>
    <row r="61" spans="1:154" s="6" customFormat="1" ht="37.5">
      <c r="A61" s="32"/>
      <c r="B61" s="32"/>
      <c r="C61" s="35"/>
      <c r="D61" s="35" t="s">
        <v>46</v>
      </c>
      <c r="E61" s="30"/>
      <c r="F61" s="30"/>
      <c r="G61" s="30"/>
      <c r="H61" s="40">
        <v>2500000</v>
      </c>
      <c r="I61" s="40"/>
      <c r="J61" s="40">
        <f t="shared" si="4"/>
        <v>2500000</v>
      </c>
      <c r="K61" s="11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</row>
    <row r="62" spans="1:154" s="6" customFormat="1" ht="37.5">
      <c r="A62" s="32"/>
      <c r="B62" s="32"/>
      <c r="C62" s="35"/>
      <c r="D62" s="35" t="s">
        <v>128</v>
      </c>
      <c r="E62" s="30"/>
      <c r="F62" s="30"/>
      <c r="G62" s="30"/>
      <c r="H62" s="40">
        <f>8200+14159</f>
        <v>22359</v>
      </c>
      <c r="I62" s="40"/>
      <c r="J62" s="40">
        <f t="shared" si="4"/>
        <v>22359</v>
      </c>
      <c r="K62" s="11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</row>
    <row r="63" spans="1:154" s="6" customFormat="1" ht="37.5">
      <c r="A63" s="32"/>
      <c r="B63" s="32"/>
      <c r="C63" s="35"/>
      <c r="D63" s="35" t="s">
        <v>173</v>
      </c>
      <c r="E63" s="30"/>
      <c r="F63" s="30"/>
      <c r="G63" s="30"/>
      <c r="H63" s="40">
        <v>1116250</v>
      </c>
      <c r="I63" s="40"/>
      <c r="J63" s="40">
        <f t="shared" si="4"/>
        <v>1116250</v>
      </c>
      <c r="K63" s="11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</row>
    <row r="64" spans="1:154" s="6" customFormat="1" ht="18" customHeight="1">
      <c r="A64" s="32"/>
      <c r="B64" s="32"/>
      <c r="C64" s="35"/>
      <c r="D64" s="35" t="s">
        <v>52</v>
      </c>
      <c r="E64" s="30"/>
      <c r="F64" s="30"/>
      <c r="G64" s="30"/>
      <c r="H64" s="40">
        <v>7769200</v>
      </c>
      <c r="I64" s="40"/>
      <c r="J64" s="40">
        <f t="shared" si="4"/>
        <v>7769200</v>
      </c>
      <c r="K64" s="1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</row>
    <row r="65" spans="1:154" s="6" customFormat="1" ht="18.75">
      <c r="A65" s="32">
        <v>250380</v>
      </c>
      <c r="B65" s="38" t="s">
        <v>106</v>
      </c>
      <c r="C65" s="39" t="s">
        <v>21</v>
      </c>
      <c r="D65" s="39" t="s">
        <v>12</v>
      </c>
      <c r="E65" s="30"/>
      <c r="F65" s="30"/>
      <c r="G65" s="30"/>
      <c r="H65" s="40">
        <v>750500</v>
      </c>
      <c r="I65" s="40"/>
      <c r="J65" s="40">
        <f t="shared" si="4"/>
        <v>750500</v>
      </c>
      <c r="K65" s="1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1:154" s="6" customFormat="1" ht="56.25" customHeight="1">
      <c r="A66" s="33"/>
      <c r="B66" s="33"/>
      <c r="C66" s="34" t="s">
        <v>209</v>
      </c>
      <c r="D66" s="39"/>
      <c r="E66" s="30"/>
      <c r="F66" s="30"/>
      <c r="G66" s="30"/>
      <c r="H66" s="37">
        <f>H67+H68</f>
        <v>381000</v>
      </c>
      <c r="I66" s="37">
        <f>I67+I68</f>
        <v>0</v>
      </c>
      <c r="J66" s="37">
        <f>J67+J68</f>
        <v>381000</v>
      </c>
      <c r="K66" s="11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</row>
    <row r="67" spans="1:154" s="6" customFormat="1" ht="18.75">
      <c r="A67" s="38" t="s">
        <v>10</v>
      </c>
      <c r="B67" s="38" t="s">
        <v>85</v>
      </c>
      <c r="C67" s="35" t="s">
        <v>11</v>
      </c>
      <c r="D67" s="39" t="s">
        <v>12</v>
      </c>
      <c r="E67" s="30"/>
      <c r="F67" s="30"/>
      <c r="G67" s="30"/>
      <c r="H67" s="40">
        <v>240000</v>
      </c>
      <c r="I67" s="43"/>
      <c r="J67" s="40">
        <f>I67+H67</f>
        <v>240000</v>
      </c>
      <c r="K67" s="11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</row>
    <row r="68" spans="1:11" s="5" customFormat="1" ht="18.75">
      <c r="A68" s="38" t="s">
        <v>23</v>
      </c>
      <c r="B68" s="38" t="s">
        <v>105</v>
      </c>
      <c r="C68" s="35" t="s">
        <v>42</v>
      </c>
      <c r="D68" s="39" t="s">
        <v>12</v>
      </c>
      <c r="E68" s="36"/>
      <c r="F68" s="46"/>
      <c r="G68" s="36"/>
      <c r="H68" s="40">
        <v>141000</v>
      </c>
      <c r="I68" s="43"/>
      <c r="J68" s="40">
        <f>I68+H68</f>
        <v>141000</v>
      </c>
      <c r="K68" s="113"/>
    </row>
    <row r="69" spans="1:11" s="5" customFormat="1" ht="74.25" customHeight="1">
      <c r="A69" s="38"/>
      <c r="B69" s="38"/>
      <c r="C69" s="34" t="s">
        <v>223</v>
      </c>
      <c r="D69" s="39"/>
      <c r="E69" s="36"/>
      <c r="F69" s="46"/>
      <c r="G69" s="36"/>
      <c r="H69" s="37">
        <f>H70</f>
        <v>182700</v>
      </c>
      <c r="I69" s="37">
        <f>I70</f>
        <v>0</v>
      </c>
      <c r="J69" s="37">
        <f>J70</f>
        <v>182700</v>
      </c>
      <c r="K69" s="113"/>
    </row>
    <row r="70" spans="1:11" s="5" customFormat="1" ht="18.75">
      <c r="A70" s="38" t="s">
        <v>10</v>
      </c>
      <c r="B70" s="38" t="s">
        <v>85</v>
      </c>
      <c r="C70" s="35" t="s">
        <v>11</v>
      </c>
      <c r="D70" s="39" t="s">
        <v>12</v>
      </c>
      <c r="E70" s="36"/>
      <c r="F70" s="46"/>
      <c r="G70" s="36"/>
      <c r="H70" s="40">
        <f>134100+48600</f>
        <v>182700</v>
      </c>
      <c r="I70" s="40"/>
      <c r="J70" s="40">
        <f>I70+H70</f>
        <v>182700</v>
      </c>
      <c r="K70" s="113"/>
    </row>
    <row r="71" spans="1:11" ht="54" customHeight="1">
      <c r="A71" s="33"/>
      <c r="B71" s="33"/>
      <c r="C71" s="34" t="s">
        <v>111</v>
      </c>
      <c r="D71" s="39"/>
      <c r="E71" s="44"/>
      <c r="F71" s="44"/>
      <c r="G71" s="44"/>
      <c r="H71" s="37">
        <f>H72+H73+H74+H179+H178</f>
        <v>226121284.94</v>
      </c>
      <c r="I71" s="37">
        <f>I72+I73+I74+I179+I178</f>
        <v>120000</v>
      </c>
      <c r="J71" s="37">
        <f>J72+J73+J74+J179+J178</f>
        <v>226241284.94</v>
      </c>
      <c r="K71" s="113">
        <v>46</v>
      </c>
    </row>
    <row r="72" spans="1:11" ht="18.75">
      <c r="A72" s="38" t="s">
        <v>15</v>
      </c>
      <c r="B72" s="38" t="s">
        <v>95</v>
      </c>
      <c r="C72" s="35" t="s">
        <v>16</v>
      </c>
      <c r="D72" s="39"/>
      <c r="E72" s="44"/>
      <c r="F72" s="44"/>
      <c r="G72" s="44"/>
      <c r="H72" s="40">
        <v>1724000</v>
      </c>
      <c r="I72" s="40"/>
      <c r="J72" s="40">
        <f>I72+H72</f>
        <v>1724000</v>
      </c>
      <c r="K72" s="113"/>
    </row>
    <row r="73" spans="1:11" ht="18.75">
      <c r="A73" s="38" t="s">
        <v>32</v>
      </c>
      <c r="B73" s="38" t="s">
        <v>104</v>
      </c>
      <c r="C73" s="35" t="s">
        <v>17</v>
      </c>
      <c r="D73" s="39" t="s">
        <v>12</v>
      </c>
      <c r="E73" s="44"/>
      <c r="F73" s="44"/>
      <c r="G73" s="44"/>
      <c r="H73" s="40">
        <v>71252200</v>
      </c>
      <c r="I73" s="40"/>
      <c r="J73" s="40">
        <f>I73+H73</f>
        <v>71252200</v>
      </c>
      <c r="K73" s="113"/>
    </row>
    <row r="74" spans="1:11" ht="18.75">
      <c r="A74" s="31">
        <v>150101</v>
      </c>
      <c r="B74" s="38" t="s">
        <v>88</v>
      </c>
      <c r="C74" s="47" t="s">
        <v>4</v>
      </c>
      <c r="D74" s="39"/>
      <c r="E74" s="44">
        <f>E75+E112+E114</f>
        <v>232712048</v>
      </c>
      <c r="F74" s="44"/>
      <c r="G74" s="44">
        <f>G75+G112+G114</f>
        <v>150887994</v>
      </c>
      <c r="H74" s="37">
        <f>H75+H112+H114</f>
        <v>140945084.94</v>
      </c>
      <c r="I74" s="37">
        <f>I75+I112+I114</f>
        <v>120000</v>
      </c>
      <c r="J74" s="37">
        <f>J75+J112+J114</f>
        <v>141065084.94</v>
      </c>
      <c r="K74" s="113"/>
    </row>
    <row r="75" spans="1:11" ht="19.5">
      <c r="A75" s="31"/>
      <c r="B75" s="31"/>
      <c r="C75" s="34"/>
      <c r="D75" s="48" t="s">
        <v>5</v>
      </c>
      <c r="E75" s="86">
        <f>SUM(E76:E111)</f>
        <v>149395188</v>
      </c>
      <c r="F75" s="86"/>
      <c r="G75" s="86">
        <f>SUM(G76:G111)</f>
        <v>89651087</v>
      </c>
      <c r="H75" s="49">
        <f>SUM(H76:H111)</f>
        <v>54751798</v>
      </c>
      <c r="I75" s="49">
        <f>SUM(I76:I111)</f>
        <v>-9055000</v>
      </c>
      <c r="J75" s="49">
        <f>SUM(J76:J111)</f>
        <v>45696798</v>
      </c>
      <c r="K75" s="113"/>
    </row>
    <row r="76" spans="1:11" ht="37.5">
      <c r="A76" s="35"/>
      <c r="B76" s="35"/>
      <c r="C76" s="50"/>
      <c r="D76" s="50" t="s">
        <v>6</v>
      </c>
      <c r="E76" s="36">
        <v>28556946</v>
      </c>
      <c r="F76" s="32">
        <v>86</v>
      </c>
      <c r="G76" s="41">
        <v>24569887</v>
      </c>
      <c r="H76" s="40">
        <v>1000000</v>
      </c>
      <c r="I76" s="40">
        <v>850000</v>
      </c>
      <c r="J76" s="40">
        <f aca="true" t="shared" si="5" ref="J76:J111">I76+H76</f>
        <v>1850000</v>
      </c>
      <c r="K76" s="113"/>
    </row>
    <row r="77" spans="1:11" ht="37.5">
      <c r="A77" s="51"/>
      <c r="B77" s="51"/>
      <c r="C77" s="50"/>
      <c r="D77" s="50" t="s">
        <v>127</v>
      </c>
      <c r="E77" s="36"/>
      <c r="F77" s="46"/>
      <c r="G77" s="36"/>
      <c r="H77" s="40">
        <v>2500000</v>
      </c>
      <c r="I77" s="40"/>
      <c r="J77" s="40">
        <f t="shared" si="5"/>
        <v>2500000</v>
      </c>
      <c r="K77" s="113"/>
    </row>
    <row r="78" spans="1:11" ht="54" customHeight="1">
      <c r="A78" s="51"/>
      <c r="B78" s="51"/>
      <c r="C78" s="50"/>
      <c r="D78" s="50" t="s">
        <v>48</v>
      </c>
      <c r="E78" s="36"/>
      <c r="F78" s="46"/>
      <c r="G78" s="36"/>
      <c r="H78" s="40">
        <f>3198625-110000</f>
        <v>3088625</v>
      </c>
      <c r="I78" s="40">
        <v>-2575000</v>
      </c>
      <c r="J78" s="40">
        <f t="shared" si="5"/>
        <v>513625</v>
      </c>
      <c r="K78" s="113"/>
    </row>
    <row r="79" spans="1:11" ht="56.25">
      <c r="A79" s="51"/>
      <c r="B79" s="51"/>
      <c r="C79" s="50"/>
      <c r="D79" s="50" t="s">
        <v>53</v>
      </c>
      <c r="E79" s="36">
        <v>55700830</v>
      </c>
      <c r="F79" s="46">
        <v>45.3</v>
      </c>
      <c r="G79" s="36">
        <v>25223524</v>
      </c>
      <c r="H79" s="40">
        <v>6000000</v>
      </c>
      <c r="I79" s="40">
        <v>-6000000</v>
      </c>
      <c r="J79" s="40">
        <f t="shared" si="5"/>
        <v>0</v>
      </c>
      <c r="K79" s="113"/>
    </row>
    <row r="80" spans="1:11" ht="37.5">
      <c r="A80" s="31"/>
      <c r="B80" s="31"/>
      <c r="C80" s="50"/>
      <c r="D80" s="50" t="s">
        <v>118</v>
      </c>
      <c r="E80" s="41">
        <v>680490</v>
      </c>
      <c r="F80" s="52">
        <v>55.9</v>
      </c>
      <c r="G80" s="41">
        <v>380490</v>
      </c>
      <c r="H80" s="40">
        <f>380000-89000</f>
        <v>291000</v>
      </c>
      <c r="I80" s="40">
        <v>-230000</v>
      </c>
      <c r="J80" s="40">
        <f t="shared" si="5"/>
        <v>61000</v>
      </c>
      <c r="K80" s="113"/>
    </row>
    <row r="81" spans="1:11" ht="37.5">
      <c r="A81" s="51"/>
      <c r="B81" s="51"/>
      <c r="C81" s="50"/>
      <c r="D81" s="50" t="s">
        <v>129</v>
      </c>
      <c r="E81" s="36"/>
      <c r="F81" s="46"/>
      <c r="G81" s="36"/>
      <c r="H81" s="40">
        <v>250000</v>
      </c>
      <c r="I81" s="40"/>
      <c r="J81" s="40">
        <f t="shared" si="5"/>
        <v>250000</v>
      </c>
      <c r="K81" s="113"/>
    </row>
    <row r="82" spans="1:11" ht="56.25">
      <c r="A82" s="51"/>
      <c r="B82" s="51"/>
      <c r="C82" s="50"/>
      <c r="D82" s="50" t="s">
        <v>192</v>
      </c>
      <c r="E82" s="36"/>
      <c r="F82" s="46"/>
      <c r="G82" s="36"/>
      <c r="H82" s="40">
        <v>8000000</v>
      </c>
      <c r="I82" s="40">
        <v>-8000000</v>
      </c>
      <c r="J82" s="40">
        <f t="shared" si="5"/>
        <v>0</v>
      </c>
      <c r="K82" s="113"/>
    </row>
    <row r="83" spans="1:11" ht="37.5">
      <c r="A83" s="35"/>
      <c r="B83" s="35"/>
      <c r="C83" s="50"/>
      <c r="D83" s="50" t="s">
        <v>44</v>
      </c>
      <c r="E83" s="36">
        <v>12997832</v>
      </c>
      <c r="F83" s="32">
        <v>47.7</v>
      </c>
      <c r="G83" s="41">
        <v>6200933</v>
      </c>
      <c r="H83" s="40">
        <f>3000000+2000000</f>
        <v>5000000</v>
      </c>
      <c r="I83" s="40">
        <f>-20000-300000</f>
        <v>-320000</v>
      </c>
      <c r="J83" s="40">
        <f t="shared" si="5"/>
        <v>4680000</v>
      </c>
      <c r="K83" s="113"/>
    </row>
    <row r="84" spans="1:11" ht="37.5">
      <c r="A84" s="51"/>
      <c r="B84" s="51"/>
      <c r="C84" s="50"/>
      <c r="D84" s="50" t="s">
        <v>140</v>
      </c>
      <c r="E84" s="36"/>
      <c r="F84" s="46"/>
      <c r="G84" s="36"/>
      <c r="H84" s="40">
        <v>2000000</v>
      </c>
      <c r="I84" s="40"/>
      <c r="J84" s="40">
        <f t="shared" si="5"/>
        <v>2000000</v>
      </c>
      <c r="K84" s="113"/>
    </row>
    <row r="85" spans="1:11" ht="37.5">
      <c r="A85" s="51"/>
      <c r="B85" s="51"/>
      <c r="C85" s="50"/>
      <c r="D85" s="50" t="s">
        <v>202</v>
      </c>
      <c r="E85" s="36"/>
      <c r="F85" s="46"/>
      <c r="G85" s="36"/>
      <c r="H85" s="40">
        <v>50000</v>
      </c>
      <c r="I85" s="40"/>
      <c r="J85" s="40">
        <f t="shared" si="5"/>
        <v>50000</v>
      </c>
      <c r="K85" s="113"/>
    </row>
    <row r="86" spans="1:11" ht="37.5">
      <c r="A86" s="51"/>
      <c r="B86" s="51"/>
      <c r="C86" s="50"/>
      <c r="D86" s="50" t="s">
        <v>171</v>
      </c>
      <c r="E86" s="84"/>
      <c r="F86" s="85"/>
      <c r="G86" s="84"/>
      <c r="H86" s="40">
        <v>800000</v>
      </c>
      <c r="I86" s="40"/>
      <c r="J86" s="40">
        <f t="shared" si="5"/>
        <v>800000</v>
      </c>
      <c r="K86" s="113"/>
    </row>
    <row r="87" spans="1:11" ht="37.5">
      <c r="A87" s="51"/>
      <c r="B87" s="51"/>
      <c r="C87" s="50"/>
      <c r="D87" s="50" t="s">
        <v>224</v>
      </c>
      <c r="E87" s="84"/>
      <c r="F87" s="85"/>
      <c r="G87" s="84"/>
      <c r="H87" s="40"/>
      <c r="I87" s="40">
        <v>100000</v>
      </c>
      <c r="J87" s="40">
        <f t="shared" si="5"/>
        <v>100000</v>
      </c>
      <c r="K87" s="113"/>
    </row>
    <row r="88" spans="1:11" ht="18" customHeight="1">
      <c r="A88" s="51"/>
      <c r="B88" s="51"/>
      <c r="C88" s="50"/>
      <c r="D88" s="50" t="s">
        <v>141</v>
      </c>
      <c r="E88" s="36"/>
      <c r="F88" s="46"/>
      <c r="G88" s="36"/>
      <c r="H88" s="40">
        <v>1000000</v>
      </c>
      <c r="I88" s="40"/>
      <c r="J88" s="40">
        <f t="shared" si="5"/>
        <v>1000000</v>
      </c>
      <c r="K88" s="113"/>
    </row>
    <row r="89" spans="1:11" ht="18.75">
      <c r="A89" s="51"/>
      <c r="B89" s="51"/>
      <c r="C89" s="50"/>
      <c r="D89" s="50" t="s">
        <v>139</v>
      </c>
      <c r="E89" s="36">
        <v>19937315</v>
      </c>
      <c r="F89" s="46">
        <v>98.3</v>
      </c>
      <c r="G89" s="36">
        <v>19595302</v>
      </c>
      <c r="H89" s="40">
        <v>500000</v>
      </c>
      <c r="I89" s="40"/>
      <c r="J89" s="40">
        <f t="shared" si="5"/>
        <v>500000</v>
      </c>
      <c r="K89" s="113"/>
    </row>
    <row r="90" spans="1:11" ht="18" customHeight="1">
      <c r="A90" s="51"/>
      <c r="B90" s="51"/>
      <c r="C90" s="50"/>
      <c r="D90" s="50" t="s">
        <v>30</v>
      </c>
      <c r="E90" s="36">
        <v>27952784</v>
      </c>
      <c r="F90" s="46">
        <v>36.5</v>
      </c>
      <c r="G90" s="36">
        <v>10189981</v>
      </c>
      <c r="H90" s="40">
        <v>5000000</v>
      </c>
      <c r="I90" s="40"/>
      <c r="J90" s="40">
        <f t="shared" si="5"/>
        <v>5000000</v>
      </c>
      <c r="K90" s="113"/>
    </row>
    <row r="91" spans="1:11" ht="56.25">
      <c r="A91" s="51"/>
      <c r="B91" s="51"/>
      <c r="C91" s="50"/>
      <c r="D91" s="50" t="s">
        <v>143</v>
      </c>
      <c r="E91" s="36">
        <v>3568991</v>
      </c>
      <c r="F91" s="46">
        <v>97.8</v>
      </c>
      <c r="G91" s="36">
        <v>3490970</v>
      </c>
      <c r="H91" s="40">
        <v>5400000</v>
      </c>
      <c r="I91" s="40">
        <v>-500000</v>
      </c>
      <c r="J91" s="40">
        <f t="shared" si="5"/>
        <v>4900000</v>
      </c>
      <c r="K91" s="113"/>
    </row>
    <row r="92" spans="1:11" ht="37.5">
      <c r="A92" s="51"/>
      <c r="B92" s="51"/>
      <c r="C92" s="50"/>
      <c r="D92" s="50" t="s">
        <v>83</v>
      </c>
      <c r="E92" s="36"/>
      <c r="F92" s="46"/>
      <c r="G92" s="36"/>
      <c r="H92" s="40">
        <v>9000000</v>
      </c>
      <c r="I92" s="40">
        <v>8000000</v>
      </c>
      <c r="J92" s="40">
        <f t="shared" si="5"/>
        <v>17000000</v>
      </c>
      <c r="K92" s="113"/>
    </row>
    <row r="93" spans="1:11" ht="37.5">
      <c r="A93" s="51"/>
      <c r="B93" s="51"/>
      <c r="C93" s="50"/>
      <c r="D93" s="50" t="s">
        <v>142</v>
      </c>
      <c r="E93" s="36"/>
      <c r="F93" s="46"/>
      <c r="G93" s="36"/>
      <c r="H93" s="40">
        <v>500000</v>
      </c>
      <c r="I93" s="40">
        <v>-500000</v>
      </c>
      <c r="J93" s="40">
        <f t="shared" si="5"/>
        <v>0</v>
      </c>
      <c r="K93" s="113"/>
    </row>
    <row r="94" spans="1:11" ht="18.75">
      <c r="A94" s="51"/>
      <c r="B94" s="51"/>
      <c r="C94" s="50"/>
      <c r="D94" s="50" t="s">
        <v>152</v>
      </c>
      <c r="E94" s="36"/>
      <c r="F94" s="46"/>
      <c r="G94" s="36"/>
      <c r="H94" s="40">
        <v>500000</v>
      </c>
      <c r="I94" s="40"/>
      <c r="J94" s="40">
        <f t="shared" si="5"/>
        <v>500000</v>
      </c>
      <c r="K94" s="113"/>
    </row>
    <row r="95" spans="1:11" ht="18.75">
      <c r="A95" s="51"/>
      <c r="B95" s="51"/>
      <c r="C95" s="50"/>
      <c r="D95" s="50" t="s">
        <v>168</v>
      </c>
      <c r="E95" s="36"/>
      <c r="F95" s="46"/>
      <c r="G95" s="36"/>
      <c r="H95" s="40">
        <v>500000</v>
      </c>
      <c r="I95" s="40"/>
      <c r="J95" s="40">
        <f t="shared" si="5"/>
        <v>500000</v>
      </c>
      <c r="K95" s="113"/>
    </row>
    <row r="96" spans="1:11" ht="18.75">
      <c r="A96" s="51"/>
      <c r="B96" s="51"/>
      <c r="C96" s="50"/>
      <c r="D96" s="50" t="s">
        <v>169</v>
      </c>
      <c r="E96" s="36"/>
      <c r="F96" s="46"/>
      <c r="G96" s="36"/>
      <c r="H96" s="40">
        <v>1000000</v>
      </c>
      <c r="I96" s="40"/>
      <c r="J96" s="40">
        <f t="shared" si="5"/>
        <v>1000000</v>
      </c>
      <c r="K96" s="113"/>
    </row>
    <row r="97" spans="1:11" ht="37.5">
      <c r="A97" s="51"/>
      <c r="B97" s="51"/>
      <c r="C97" s="50"/>
      <c r="D97" s="50" t="s">
        <v>196</v>
      </c>
      <c r="E97" s="36"/>
      <c r="F97" s="46"/>
      <c r="G97" s="36"/>
      <c r="H97" s="40">
        <v>50000</v>
      </c>
      <c r="I97" s="40"/>
      <c r="J97" s="40">
        <f t="shared" si="5"/>
        <v>50000</v>
      </c>
      <c r="K97" s="113"/>
    </row>
    <row r="98" spans="1:11" ht="37.5">
      <c r="A98" s="51"/>
      <c r="B98" s="51"/>
      <c r="C98" s="50"/>
      <c r="D98" s="50" t="s">
        <v>187</v>
      </c>
      <c r="E98" s="36"/>
      <c r="F98" s="46"/>
      <c r="G98" s="36"/>
      <c r="H98" s="40">
        <f>300000-15000</f>
        <v>285000</v>
      </c>
      <c r="I98" s="40"/>
      <c r="J98" s="40">
        <f t="shared" si="5"/>
        <v>285000</v>
      </c>
      <c r="K98" s="113">
        <v>47</v>
      </c>
    </row>
    <row r="99" spans="1:11" ht="56.25">
      <c r="A99" s="51"/>
      <c r="B99" s="51"/>
      <c r="C99" s="50"/>
      <c r="D99" s="50" t="s">
        <v>197</v>
      </c>
      <c r="E99" s="36"/>
      <c r="F99" s="46"/>
      <c r="G99" s="36"/>
      <c r="H99" s="40">
        <v>80000</v>
      </c>
      <c r="I99" s="40"/>
      <c r="J99" s="40">
        <f t="shared" si="5"/>
        <v>80000</v>
      </c>
      <c r="K99" s="113"/>
    </row>
    <row r="100" spans="1:11" ht="54" customHeight="1">
      <c r="A100" s="51"/>
      <c r="B100" s="51"/>
      <c r="C100" s="50"/>
      <c r="D100" s="50" t="s">
        <v>198</v>
      </c>
      <c r="E100" s="36"/>
      <c r="F100" s="46"/>
      <c r="G100" s="36"/>
      <c r="H100" s="40">
        <v>100000</v>
      </c>
      <c r="I100" s="40"/>
      <c r="J100" s="40">
        <f t="shared" si="5"/>
        <v>100000</v>
      </c>
      <c r="K100" s="113"/>
    </row>
    <row r="101" spans="1:11" ht="37.5">
      <c r="A101" s="51"/>
      <c r="B101" s="51"/>
      <c r="C101" s="50"/>
      <c r="D101" s="50" t="s">
        <v>213</v>
      </c>
      <c r="E101" s="36"/>
      <c r="F101" s="46"/>
      <c r="G101" s="36"/>
      <c r="H101" s="40">
        <v>57000</v>
      </c>
      <c r="I101" s="40"/>
      <c r="J101" s="40">
        <f t="shared" si="5"/>
        <v>57000</v>
      </c>
      <c r="K101" s="113"/>
    </row>
    <row r="102" spans="1:11" ht="37.5">
      <c r="A102" s="51"/>
      <c r="B102" s="51"/>
      <c r="C102" s="50"/>
      <c r="D102" s="50" t="s">
        <v>125</v>
      </c>
      <c r="E102" s="36"/>
      <c r="F102" s="46"/>
      <c r="G102" s="36"/>
      <c r="H102" s="40">
        <f>1000000+40000</f>
        <v>1040000</v>
      </c>
      <c r="I102" s="87">
        <v>120000</v>
      </c>
      <c r="J102" s="40">
        <f t="shared" si="5"/>
        <v>1160000</v>
      </c>
      <c r="K102" s="113"/>
    </row>
    <row r="103" spans="1:11" ht="18.75">
      <c r="A103" s="51"/>
      <c r="B103" s="51"/>
      <c r="C103" s="50"/>
      <c r="D103" s="50"/>
      <c r="E103" s="36"/>
      <c r="F103" s="46"/>
      <c r="G103" s="36"/>
      <c r="H103" s="40"/>
      <c r="I103" s="40"/>
      <c r="J103" s="40"/>
      <c r="K103" s="113"/>
    </row>
    <row r="104" spans="1:11" ht="37.5">
      <c r="A104" s="51"/>
      <c r="B104" s="51"/>
      <c r="C104" s="50"/>
      <c r="D104" s="50" t="s">
        <v>184</v>
      </c>
      <c r="E104" s="36"/>
      <c r="F104" s="46"/>
      <c r="G104" s="36"/>
      <c r="H104" s="40">
        <v>150000</v>
      </c>
      <c r="I104" s="40"/>
      <c r="J104" s="40">
        <f t="shared" si="5"/>
        <v>150000</v>
      </c>
      <c r="K104" s="113"/>
    </row>
    <row r="105" spans="1:11" ht="37.5">
      <c r="A105" s="51"/>
      <c r="B105" s="51"/>
      <c r="C105" s="50"/>
      <c r="D105" s="50" t="s">
        <v>183</v>
      </c>
      <c r="E105" s="36"/>
      <c r="F105" s="46"/>
      <c r="G105" s="36"/>
      <c r="H105" s="40">
        <f>50000+15000</f>
        <v>65000</v>
      </c>
      <c r="I105" s="40"/>
      <c r="J105" s="40">
        <f t="shared" si="5"/>
        <v>65000</v>
      </c>
      <c r="K105" s="113"/>
    </row>
    <row r="106" spans="1:11" ht="56.25">
      <c r="A106" s="51"/>
      <c r="B106" s="51"/>
      <c r="C106" s="50"/>
      <c r="D106" s="50" t="s">
        <v>182</v>
      </c>
      <c r="E106" s="36"/>
      <c r="F106" s="46"/>
      <c r="G106" s="36"/>
      <c r="H106" s="40">
        <v>57000</v>
      </c>
      <c r="I106" s="40"/>
      <c r="J106" s="40">
        <f t="shared" si="5"/>
        <v>57000</v>
      </c>
      <c r="K106" s="113"/>
    </row>
    <row r="107" spans="1:11" ht="56.25">
      <c r="A107" s="51"/>
      <c r="B107" s="51"/>
      <c r="C107" s="50"/>
      <c r="D107" s="50" t="s">
        <v>176</v>
      </c>
      <c r="E107" s="36"/>
      <c r="F107" s="46"/>
      <c r="G107" s="36"/>
      <c r="H107" s="40">
        <v>57000</v>
      </c>
      <c r="I107" s="40"/>
      <c r="J107" s="40">
        <f t="shared" si="5"/>
        <v>57000</v>
      </c>
      <c r="K107" s="113"/>
    </row>
    <row r="108" spans="1:11" ht="56.25">
      <c r="A108" s="51"/>
      <c r="B108" s="51"/>
      <c r="C108" s="50"/>
      <c r="D108" s="50" t="s">
        <v>175</v>
      </c>
      <c r="E108" s="36"/>
      <c r="F108" s="46"/>
      <c r="G108" s="36"/>
      <c r="H108" s="40">
        <v>57000</v>
      </c>
      <c r="I108" s="40"/>
      <c r="J108" s="40">
        <f t="shared" si="5"/>
        <v>57000</v>
      </c>
      <c r="K108" s="113"/>
    </row>
    <row r="109" spans="1:11" ht="56.25">
      <c r="A109" s="51"/>
      <c r="B109" s="51"/>
      <c r="C109" s="50"/>
      <c r="D109" s="50" t="s">
        <v>174</v>
      </c>
      <c r="E109" s="36"/>
      <c r="F109" s="46"/>
      <c r="G109" s="36"/>
      <c r="H109" s="40">
        <v>122173</v>
      </c>
      <c r="I109" s="40"/>
      <c r="J109" s="40">
        <f t="shared" si="5"/>
        <v>122173</v>
      </c>
      <c r="K109" s="113"/>
    </row>
    <row r="110" spans="1:11" ht="37.5">
      <c r="A110" s="51"/>
      <c r="B110" s="51"/>
      <c r="C110" s="50"/>
      <c r="D110" s="50" t="s">
        <v>204</v>
      </c>
      <c r="E110" s="36"/>
      <c r="F110" s="46"/>
      <c r="G110" s="36"/>
      <c r="H110" s="40">
        <v>87000</v>
      </c>
      <c r="I110" s="40"/>
      <c r="J110" s="40">
        <f t="shared" si="5"/>
        <v>87000</v>
      </c>
      <c r="K110" s="113"/>
    </row>
    <row r="111" spans="1:11" ht="57" customHeight="1">
      <c r="A111" s="51"/>
      <c r="B111" s="51"/>
      <c r="C111" s="50"/>
      <c r="D111" s="50" t="s">
        <v>185</v>
      </c>
      <c r="E111" s="36"/>
      <c r="F111" s="46"/>
      <c r="G111" s="36"/>
      <c r="H111" s="40">
        <v>165000</v>
      </c>
      <c r="I111" s="40"/>
      <c r="J111" s="40">
        <f t="shared" si="5"/>
        <v>165000</v>
      </c>
      <c r="K111" s="113"/>
    </row>
    <row r="112" spans="1:11" ht="18.75">
      <c r="A112" s="51"/>
      <c r="B112" s="51"/>
      <c r="C112" s="47"/>
      <c r="D112" s="47" t="s">
        <v>7</v>
      </c>
      <c r="E112" s="30">
        <f>SUM(E113:E113)</f>
        <v>0</v>
      </c>
      <c r="F112" s="30"/>
      <c r="G112" s="30">
        <f>SUM(G113:G113)</f>
        <v>0</v>
      </c>
      <c r="H112" s="37">
        <f>SUM(H113:H113)</f>
        <v>700000</v>
      </c>
      <c r="I112" s="37">
        <f>SUM(I113:I113)</f>
        <v>-700000</v>
      </c>
      <c r="J112" s="37">
        <f>SUM(J113:J113)</f>
        <v>0</v>
      </c>
      <c r="K112" s="113"/>
    </row>
    <row r="113" spans="1:11" ht="56.25">
      <c r="A113" s="31"/>
      <c r="B113" s="31"/>
      <c r="C113" s="35"/>
      <c r="D113" s="50" t="s">
        <v>27</v>
      </c>
      <c r="E113" s="41"/>
      <c r="F113" s="52"/>
      <c r="G113" s="41"/>
      <c r="H113" s="40">
        <v>700000</v>
      </c>
      <c r="I113" s="40">
        <v>-700000</v>
      </c>
      <c r="J113" s="40">
        <f>I113+H113</f>
        <v>0</v>
      </c>
      <c r="K113" s="113"/>
    </row>
    <row r="114" spans="1:11" ht="18.75">
      <c r="A114" s="51"/>
      <c r="B114" s="51"/>
      <c r="C114" s="47"/>
      <c r="D114" s="47" t="s">
        <v>8</v>
      </c>
      <c r="E114" s="30">
        <f>SUM(E115:E175)</f>
        <v>83316860</v>
      </c>
      <c r="F114" s="30"/>
      <c r="G114" s="30">
        <f>SUM(G115:G175)</f>
        <v>61236907</v>
      </c>
      <c r="H114" s="53">
        <f>SUM(H115:H177)</f>
        <v>85493286.94</v>
      </c>
      <c r="I114" s="53">
        <f>SUM(I115:I177)</f>
        <v>9875000</v>
      </c>
      <c r="J114" s="53">
        <f>SUM(J115:J177)</f>
        <v>95368286.94</v>
      </c>
      <c r="K114" s="113"/>
    </row>
    <row r="115" spans="1:11" ht="37.5">
      <c r="A115" s="51"/>
      <c r="B115" s="51"/>
      <c r="C115" s="47"/>
      <c r="D115" s="50" t="s">
        <v>28</v>
      </c>
      <c r="E115" s="36">
        <v>9995386</v>
      </c>
      <c r="F115" s="46">
        <v>37.5</v>
      </c>
      <c r="G115" s="36">
        <v>3747696</v>
      </c>
      <c r="H115" s="40">
        <v>341000</v>
      </c>
      <c r="I115" s="40"/>
      <c r="J115" s="40">
        <f aca="true" t="shared" si="6" ref="J115:J144">I115+H115</f>
        <v>341000</v>
      </c>
      <c r="K115" s="113"/>
    </row>
    <row r="116" spans="1:11" ht="37.5">
      <c r="A116" s="51"/>
      <c r="B116" s="51"/>
      <c r="C116" s="47"/>
      <c r="D116" s="50" t="s">
        <v>39</v>
      </c>
      <c r="E116" s="36">
        <v>17687640</v>
      </c>
      <c r="F116" s="46">
        <v>63.8</v>
      </c>
      <c r="G116" s="36">
        <v>11282117</v>
      </c>
      <c r="H116" s="40">
        <v>7280000</v>
      </c>
      <c r="I116" s="40"/>
      <c r="J116" s="40">
        <f t="shared" si="6"/>
        <v>7280000</v>
      </c>
      <c r="K116" s="113"/>
    </row>
    <row r="117" spans="1:11" ht="37.5">
      <c r="A117" s="51"/>
      <c r="B117" s="51"/>
      <c r="C117" s="47"/>
      <c r="D117" s="50" t="s">
        <v>54</v>
      </c>
      <c r="E117" s="36">
        <v>3024919</v>
      </c>
      <c r="F117" s="46">
        <v>72</v>
      </c>
      <c r="G117" s="36">
        <v>2177942</v>
      </c>
      <c r="H117" s="40">
        <v>1600000</v>
      </c>
      <c r="I117" s="40">
        <v>300000</v>
      </c>
      <c r="J117" s="40">
        <f t="shared" si="6"/>
        <v>1900000</v>
      </c>
      <c r="K117" s="113"/>
    </row>
    <row r="118" spans="1:11" ht="37.5">
      <c r="A118" s="51"/>
      <c r="B118" s="51"/>
      <c r="C118" s="47"/>
      <c r="D118" s="50" t="s">
        <v>56</v>
      </c>
      <c r="E118" s="36"/>
      <c r="F118" s="46"/>
      <c r="G118" s="36"/>
      <c r="H118" s="40">
        <v>2461510</v>
      </c>
      <c r="I118" s="40"/>
      <c r="J118" s="40">
        <f t="shared" si="6"/>
        <v>2461510</v>
      </c>
      <c r="K118" s="113"/>
    </row>
    <row r="119" spans="1:11" ht="37.5">
      <c r="A119" s="51"/>
      <c r="B119" s="51"/>
      <c r="C119" s="47"/>
      <c r="D119" s="50" t="s">
        <v>132</v>
      </c>
      <c r="E119" s="36"/>
      <c r="F119" s="46"/>
      <c r="G119" s="36"/>
      <c r="H119" s="40">
        <v>250000</v>
      </c>
      <c r="I119" s="40"/>
      <c r="J119" s="40">
        <f t="shared" si="6"/>
        <v>250000</v>
      </c>
      <c r="K119" s="113"/>
    </row>
    <row r="120" spans="1:11" ht="37.5">
      <c r="A120" s="51"/>
      <c r="B120" s="51"/>
      <c r="C120" s="47"/>
      <c r="D120" s="50" t="s">
        <v>57</v>
      </c>
      <c r="E120" s="36"/>
      <c r="F120" s="46"/>
      <c r="G120" s="36"/>
      <c r="H120" s="40">
        <f>2375600+498256</f>
        <v>2873856</v>
      </c>
      <c r="I120" s="40"/>
      <c r="J120" s="40">
        <f t="shared" si="6"/>
        <v>2873856</v>
      </c>
      <c r="K120" s="113">
        <v>48</v>
      </c>
    </row>
    <row r="121" spans="1:11" ht="18.75">
      <c r="A121" s="51"/>
      <c r="B121" s="51"/>
      <c r="C121" s="47"/>
      <c r="D121" s="50" t="s">
        <v>45</v>
      </c>
      <c r="E121" s="36"/>
      <c r="F121" s="46"/>
      <c r="G121" s="36"/>
      <c r="H121" s="40">
        <f>5075+3831675</f>
        <v>3836750</v>
      </c>
      <c r="I121" s="40"/>
      <c r="J121" s="40">
        <f>I121+H121</f>
        <v>3836750</v>
      </c>
      <c r="K121" s="113"/>
    </row>
    <row r="122" spans="1:11" ht="18.75">
      <c r="A122" s="51"/>
      <c r="B122" s="51"/>
      <c r="C122" s="47"/>
      <c r="D122" s="50" t="s">
        <v>203</v>
      </c>
      <c r="E122" s="36"/>
      <c r="F122" s="46"/>
      <c r="G122" s="36"/>
      <c r="H122" s="40">
        <v>110000</v>
      </c>
      <c r="I122" s="40"/>
      <c r="J122" s="40">
        <f>I122+H122</f>
        <v>110000</v>
      </c>
      <c r="K122" s="113"/>
    </row>
    <row r="123" spans="1:11" ht="37.5">
      <c r="A123" s="51"/>
      <c r="B123" s="51"/>
      <c r="C123" s="47"/>
      <c r="D123" s="50" t="s">
        <v>133</v>
      </c>
      <c r="E123" s="36"/>
      <c r="F123" s="46"/>
      <c r="G123" s="36"/>
      <c r="H123" s="40">
        <v>431300</v>
      </c>
      <c r="I123" s="40"/>
      <c r="J123" s="40">
        <f>I123+H123</f>
        <v>431300</v>
      </c>
      <c r="K123" s="113"/>
    </row>
    <row r="124" spans="1:11" ht="18.75">
      <c r="A124" s="51"/>
      <c r="B124" s="51"/>
      <c r="C124" s="47"/>
      <c r="D124" s="50" t="s">
        <v>58</v>
      </c>
      <c r="E124" s="36">
        <v>580590</v>
      </c>
      <c r="F124" s="46">
        <v>14</v>
      </c>
      <c r="G124" s="36">
        <v>81493</v>
      </c>
      <c r="H124" s="40">
        <v>15000</v>
      </c>
      <c r="I124" s="40">
        <v>-15000</v>
      </c>
      <c r="J124" s="40">
        <f>I124+H124</f>
        <v>0</v>
      </c>
      <c r="K124" s="113"/>
    </row>
    <row r="125" spans="1:11" ht="37.5">
      <c r="A125" s="51"/>
      <c r="B125" s="51"/>
      <c r="C125" s="47"/>
      <c r="D125" s="50" t="s">
        <v>124</v>
      </c>
      <c r="E125" s="36"/>
      <c r="F125" s="46"/>
      <c r="G125" s="36"/>
      <c r="H125" s="40">
        <v>2000000</v>
      </c>
      <c r="I125" s="40"/>
      <c r="J125" s="40">
        <f>I125+H125</f>
        <v>2000000</v>
      </c>
      <c r="K125" s="113"/>
    </row>
    <row r="126" spans="1:11" ht="18.75">
      <c r="A126" s="51"/>
      <c r="B126" s="51"/>
      <c r="C126" s="47"/>
      <c r="D126" s="50" t="s">
        <v>121</v>
      </c>
      <c r="E126" s="36">
        <v>3536069</v>
      </c>
      <c r="F126" s="46">
        <v>70.3</v>
      </c>
      <c r="G126" s="36">
        <v>2484527</v>
      </c>
      <c r="H126" s="40">
        <v>2400000</v>
      </c>
      <c r="I126" s="40">
        <v>160000</v>
      </c>
      <c r="J126" s="40">
        <f t="shared" si="6"/>
        <v>2560000</v>
      </c>
      <c r="K126" s="113"/>
    </row>
    <row r="127" spans="1:11" ht="112.5">
      <c r="A127" s="51"/>
      <c r="B127" s="51"/>
      <c r="C127" s="47"/>
      <c r="D127" s="50" t="s">
        <v>172</v>
      </c>
      <c r="E127" s="36"/>
      <c r="F127" s="46"/>
      <c r="G127" s="36"/>
      <c r="H127" s="40">
        <v>1422000</v>
      </c>
      <c r="I127" s="40"/>
      <c r="J127" s="40">
        <f t="shared" si="6"/>
        <v>1422000</v>
      </c>
      <c r="K127" s="113"/>
    </row>
    <row r="128" spans="1:11" ht="126" customHeight="1">
      <c r="A128" s="51"/>
      <c r="B128" s="51"/>
      <c r="C128" s="47"/>
      <c r="D128" s="50" t="s">
        <v>170</v>
      </c>
      <c r="E128" s="36"/>
      <c r="F128" s="46"/>
      <c r="G128" s="36"/>
      <c r="H128" s="40">
        <v>1400000</v>
      </c>
      <c r="I128" s="40"/>
      <c r="J128" s="40">
        <f t="shared" si="6"/>
        <v>1400000</v>
      </c>
      <c r="K128" s="113"/>
    </row>
    <row r="129" spans="1:11" ht="37.5">
      <c r="A129" s="51"/>
      <c r="B129" s="51"/>
      <c r="C129" s="47"/>
      <c r="D129" s="50" t="s">
        <v>215</v>
      </c>
      <c r="E129" s="36"/>
      <c r="F129" s="46"/>
      <c r="G129" s="36"/>
      <c r="H129" s="40">
        <v>50000</v>
      </c>
      <c r="I129" s="40"/>
      <c r="J129" s="40">
        <f t="shared" si="6"/>
        <v>50000</v>
      </c>
      <c r="K129" s="113"/>
    </row>
    <row r="130" spans="1:11" ht="37.5">
      <c r="A130" s="51"/>
      <c r="B130" s="51"/>
      <c r="C130" s="47"/>
      <c r="D130" s="50" t="s">
        <v>214</v>
      </c>
      <c r="E130" s="36"/>
      <c r="F130" s="46"/>
      <c r="G130" s="36"/>
      <c r="H130" s="40">
        <v>50000</v>
      </c>
      <c r="I130" s="40"/>
      <c r="J130" s="40">
        <f t="shared" si="6"/>
        <v>50000</v>
      </c>
      <c r="K130" s="113"/>
    </row>
    <row r="131" spans="1:11" ht="37.5">
      <c r="A131" s="51"/>
      <c r="B131" s="51"/>
      <c r="C131" s="47"/>
      <c r="D131" s="50" t="s">
        <v>216</v>
      </c>
      <c r="E131" s="36"/>
      <c r="F131" s="46"/>
      <c r="G131" s="36"/>
      <c r="H131" s="40">
        <v>50000</v>
      </c>
      <c r="I131" s="40"/>
      <c r="J131" s="40">
        <f t="shared" si="6"/>
        <v>50000</v>
      </c>
      <c r="K131" s="113"/>
    </row>
    <row r="132" spans="1:11" ht="37.5">
      <c r="A132" s="51"/>
      <c r="B132" s="51"/>
      <c r="C132" s="47"/>
      <c r="D132" s="50" t="s">
        <v>217</v>
      </c>
      <c r="E132" s="36"/>
      <c r="F132" s="46"/>
      <c r="G132" s="36"/>
      <c r="H132" s="40">
        <v>50000</v>
      </c>
      <c r="I132" s="40"/>
      <c r="J132" s="40">
        <f t="shared" si="6"/>
        <v>50000</v>
      </c>
      <c r="K132" s="113"/>
    </row>
    <row r="133" spans="1:11" ht="37.5">
      <c r="A133" s="51"/>
      <c r="B133" s="51"/>
      <c r="C133" s="47"/>
      <c r="D133" s="50" t="s">
        <v>218</v>
      </c>
      <c r="E133" s="36"/>
      <c r="F133" s="46"/>
      <c r="G133" s="36"/>
      <c r="H133" s="40">
        <v>50000</v>
      </c>
      <c r="I133" s="40"/>
      <c r="J133" s="40">
        <f t="shared" si="6"/>
        <v>50000</v>
      </c>
      <c r="K133" s="113"/>
    </row>
    <row r="134" spans="1:11" ht="37.5">
      <c r="A134" s="51"/>
      <c r="B134" s="51"/>
      <c r="C134" s="47"/>
      <c r="D134" s="50" t="s">
        <v>219</v>
      </c>
      <c r="E134" s="36"/>
      <c r="F134" s="46"/>
      <c r="G134" s="36"/>
      <c r="H134" s="40">
        <v>50000</v>
      </c>
      <c r="I134" s="40"/>
      <c r="J134" s="40">
        <f t="shared" si="6"/>
        <v>50000</v>
      </c>
      <c r="K134" s="113"/>
    </row>
    <row r="135" spans="1:11" ht="37.5">
      <c r="A135" s="51"/>
      <c r="B135" s="51"/>
      <c r="C135" s="47"/>
      <c r="D135" s="50" t="s">
        <v>63</v>
      </c>
      <c r="E135" s="36"/>
      <c r="F135" s="46"/>
      <c r="G135" s="36"/>
      <c r="H135" s="40">
        <f>1000000+2000000-2000000</f>
        <v>1000000</v>
      </c>
      <c r="I135" s="40">
        <v>-980000</v>
      </c>
      <c r="J135" s="40">
        <f t="shared" si="6"/>
        <v>20000</v>
      </c>
      <c r="K135" s="113"/>
    </row>
    <row r="136" spans="1:11" ht="18" customHeight="1">
      <c r="A136" s="51"/>
      <c r="B136" s="51"/>
      <c r="C136" s="50"/>
      <c r="D136" s="50" t="s">
        <v>153</v>
      </c>
      <c r="E136" s="36"/>
      <c r="F136" s="46"/>
      <c r="G136" s="36"/>
      <c r="H136" s="40">
        <v>1200000</v>
      </c>
      <c r="I136" s="40"/>
      <c r="J136" s="40">
        <f t="shared" si="6"/>
        <v>1200000</v>
      </c>
      <c r="K136" s="113"/>
    </row>
    <row r="137" spans="1:11" ht="37.5">
      <c r="A137" s="51"/>
      <c r="B137" s="51"/>
      <c r="C137" s="47"/>
      <c r="D137" s="50" t="s">
        <v>55</v>
      </c>
      <c r="E137" s="36"/>
      <c r="F137" s="46"/>
      <c r="G137" s="36"/>
      <c r="H137" s="40">
        <f>80000+300000</f>
        <v>380000</v>
      </c>
      <c r="I137" s="40">
        <v>300000</v>
      </c>
      <c r="J137" s="40">
        <f>I137+H137</f>
        <v>680000</v>
      </c>
      <c r="K137" s="113"/>
    </row>
    <row r="138" spans="1:11" ht="37.5">
      <c r="A138" s="51"/>
      <c r="B138" s="51"/>
      <c r="C138" s="47"/>
      <c r="D138" s="50" t="s">
        <v>188</v>
      </c>
      <c r="E138" s="36"/>
      <c r="F138" s="46"/>
      <c r="G138" s="36"/>
      <c r="H138" s="40">
        <v>300000</v>
      </c>
      <c r="I138" s="40">
        <v>300000</v>
      </c>
      <c r="J138" s="40">
        <f>I138+H138</f>
        <v>600000</v>
      </c>
      <c r="K138" s="113"/>
    </row>
    <row r="139" spans="1:11" ht="18.75">
      <c r="A139" s="51"/>
      <c r="B139" s="51"/>
      <c r="C139" s="47"/>
      <c r="D139" s="50" t="s">
        <v>65</v>
      </c>
      <c r="E139" s="36"/>
      <c r="F139" s="46"/>
      <c r="G139" s="36"/>
      <c r="H139" s="40">
        <f>1000000+2000000+2000000</f>
        <v>5000000</v>
      </c>
      <c r="I139" s="40"/>
      <c r="J139" s="40">
        <f t="shared" si="6"/>
        <v>5000000</v>
      </c>
      <c r="K139" s="113"/>
    </row>
    <row r="140" spans="1:11" ht="37.5">
      <c r="A140" s="51"/>
      <c r="B140" s="51"/>
      <c r="C140" s="47"/>
      <c r="D140" s="50" t="s">
        <v>146</v>
      </c>
      <c r="E140" s="36"/>
      <c r="F140" s="46"/>
      <c r="G140" s="36"/>
      <c r="H140" s="40">
        <v>100000</v>
      </c>
      <c r="I140" s="40"/>
      <c r="J140" s="40">
        <f t="shared" si="6"/>
        <v>100000</v>
      </c>
      <c r="K140" s="113"/>
    </row>
    <row r="141" spans="1:11" ht="37.5">
      <c r="A141" s="51"/>
      <c r="B141" s="51"/>
      <c r="C141" s="47"/>
      <c r="D141" s="50" t="s">
        <v>189</v>
      </c>
      <c r="E141" s="36"/>
      <c r="F141" s="46"/>
      <c r="G141" s="36"/>
      <c r="H141" s="40">
        <v>450000</v>
      </c>
      <c r="I141" s="40"/>
      <c r="J141" s="40">
        <f t="shared" si="6"/>
        <v>450000</v>
      </c>
      <c r="K141" s="113"/>
    </row>
    <row r="142" spans="1:11" ht="37.5">
      <c r="A142" s="51"/>
      <c r="B142" s="51"/>
      <c r="C142" s="47"/>
      <c r="D142" s="50" t="s">
        <v>190</v>
      </c>
      <c r="E142" s="36"/>
      <c r="F142" s="46"/>
      <c r="G142" s="36"/>
      <c r="H142" s="40">
        <v>450000</v>
      </c>
      <c r="I142" s="40"/>
      <c r="J142" s="40">
        <f t="shared" si="6"/>
        <v>450000</v>
      </c>
      <c r="K142" s="113"/>
    </row>
    <row r="143" spans="1:11" ht="56.25">
      <c r="A143" s="51"/>
      <c r="B143" s="51"/>
      <c r="C143" s="47"/>
      <c r="D143" s="50" t="s">
        <v>186</v>
      </c>
      <c r="E143" s="36"/>
      <c r="F143" s="46"/>
      <c r="G143" s="36"/>
      <c r="H143" s="40">
        <v>7365000</v>
      </c>
      <c r="I143" s="40"/>
      <c r="J143" s="40">
        <f t="shared" si="6"/>
        <v>7365000</v>
      </c>
      <c r="K143" s="113">
        <v>49</v>
      </c>
    </row>
    <row r="144" spans="1:11" ht="56.25">
      <c r="A144" s="51"/>
      <c r="B144" s="51"/>
      <c r="C144" s="47"/>
      <c r="D144" s="50" t="s">
        <v>225</v>
      </c>
      <c r="E144" s="36"/>
      <c r="F144" s="46"/>
      <c r="G144" s="36"/>
      <c r="H144" s="40"/>
      <c r="I144" s="40">
        <v>250000</v>
      </c>
      <c r="J144" s="40">
        <f t="shared" si="6"/>
        <v>250000</v>
      </c>
      <c r="K144" s="113"/>
    </row>
    <row r="145" spans="1:11" ht="75">
      <c r="A145" s="51"/>
      <c r="B145" s="51"/>
      <c r="C145" s="47"/>
      <c r="D145" s="50" t="s">
        <v>126</v>
      </c>
      <c r="E145" s="36"/>
      <c r="F145" s="46"/>
      <c r="G145" s="36"/>
      <c r="H145" s="40">
        <v>11000000</v>
      </c>
      <c r="I145" s="40">
        <v>10000000</v>
      </c>
      <c r="J145" s="40">
        <f aca="true" t="shared" si="7" ref="J145:J159">I145+H145</f>
        <v>21000000</v>
      </c>
      <c r="K145" s="113"/>
    </row>
    <row r="146" spans="1:11" ht="56.25">
      <c r="A146" s="51"/>
      <c r="B146" s="51"/>
      <c r="C146" s="47"/>
      <c r="D146" s="50" t="s">
        <v>193</v>
      </c>
      <c r="E146" s="36"/>
      <c r="F146" s="46"/>
      <c r="G146" s="36"/>
      <c r="H146" s="40">
        <v>1210370</v>
      </c>
      <c r="I146" s="40"/>
      <c r="J146" s="40">
        <f t="shared" si="7"/>
        <v>1210370</v>
      </c>
      <c r="K146" s="113"/>
    </row>
    <row r="147" spans="1:11" ht="37.5">
      <c r="A147" s="51"/>
      <c r="B147" s="51"/>
      <c r="C147" s="47"/>
      <c r="D147" s="50" t="s">
        <v>59</v>
      </c>
      <c r="E147" s="36">
        <v>250015</v>
      </c>
      <c r="F147" s="46">
        <v>60</v>
      </c>
      <c r="G147" s="36">
        <v>150015</v>
      </c>
      <c r="H147" s="40">
        <v>150000</v>
      </c>
      <c r="I147" s="40"/>
      <c r="J147" s="40">
        <f t="shared" si="7"/>
        <v>150000</v>
      </c>
      <c r="K147" s="113"/>
    </row>
    <row r="148" spans="1:11" ht="37.5">
      <c r="A148" s="51"/>
      <c r="B148" s="51"/>
      <c r="C148" s="47"/>
      <c r="D148" s="50" t="s">
        <v>60</v>
      </c>
      <c r="E148" s="36">
        <v>4291979</v>
      </c>
      <c r="F148" s="46">
        <v>53.7</v>
      </c>
      <c r="G148" s="36">
        <v>2304238</v>
      </c>
      <c r="H148" s="40">
        <v>2000000</v>
      </c>
      <c r="I148" s="40"/>
      <c r="J148" s="40">
        <f t="shared" si="7"/>
        <v>2000000</v>
      </c>
      <c r="K148" s="113"/>
    </row>
    <row r="149" spans="1:11" ht="112.5">
      <c r="A149" s="51"/>
      <c r="B149" s="51"/>
      <c r="C149" s="47"/>
      <c r="D149" s="50" t="s">
        <v>145</v>
      </c>
      <c r="E149" s="36"/>
      <c r="F149" s="46"/>
      <c r="G149" s="36"/>
      <c r="H149" s="40">
        <v>4200000</v>
      </c>
      <c r="I149" s="40"/>
      <c r="J149" s="40">
        <f t="shared" si="7"/>
        <v>4200000</v>
      </c>
      <c r="K149" s="113"/>
    </row>
    <row r="150" spans="1:11" ht="56.25">
      <c r="A150" s="51"/>
      <c r="B150" s="51"/>
      <c r="C150" s="47"/>
      <c r="D150" s="50" t="s">
        <v>64</v>
      </c>
      <c r="E150" s="36">
        <v>1199810</v>
      </c>
      <c r="F150" s="46">
        <v>49.2</v>
      </c>
      <c r="G150" s="36">
        <v>589810</v>
      </c>
      <c r="H150" s="40">
        <v>580000</v>
      </c>
      <c r="I150" s="40"/>
      <c r="J150" s="40">
        <f t="shared" si="7"/>
        <v>580000</v>
      </c>
      <c r="K150" s="113"/>
    </row>
    <row r="151" spans="1:11" ht="56.25">
      <c r="A151" s="51"/>
      <c r="B151" s="51"/>
      <c r="C151" s="47"/>
      <c r="D151" s="50" t="s">
        <v>155</v>
      </c>
      <c r="E151" s="36"/>
      <c r="F151" s="46"/>
      <c r="G151" s="36"/>
      <c r="H151" s="40">
        <v>1000000</v>
      </c>
      <c r="I151" s="40">
        <v>-120000</v>
      </c>
      <c r="J151" s="40">
        <f t="shared" si="7"/>
        <v>880000</v>
      </c>
      <c r="K151" s="113"/>
    </row>
    <row r="152" spans="1:11" ht="37.5">
      <c r="A152" s="51"/>
      <c r="B152" s="51"/>
      <c r="C152" s="47"/>
      <c r="D152" s="50" t="s">
        <v>144</v>
      </c>
      <c r="E152" s="36"/>
      <c r="F152" s="46"/>
      <c r="G152" s="36"/>
      <c r="H152" s="40">
        <v>200000</v>
      </c>
      <c r="I152" s="40"/>
      <c r="J152" s="40">
        <f t="shared" si="7"/>
        <v>200000</v>
      </c>
      <c r="K152" s="113"/>
    </row>
    <row r="153" spans="1:11" ht="56.25">
      <c r="A153" s="51"/>
      <c r="B153" s="51"/>
      <c r="C153" s="47"/>
      <c r="D153" s="50" t="s">
        <v>123</v>
      </c>
      <c r="E153" s="36"/>
      <c r="F153" s="46"/>
      <c r="G153" s="36"/>
      <c r="H153" s="40">
        <v>950000</v>
      </c>
      <c r="I153" s="40">
        <v>-320000</v>
      </c>
      <c r="J153" s="40">
        <f t="shared" si="7"/>
        <v>630000</v>
      </c>
      <c r="K153" s="113"/>
    </row>
    <row r="154" spans="1:11" ht="75">
      <c r="A154" s="51"/>
      <c r="B154" s="51"/>
      <c r="C154" s="47"/>
      <c r="D154" s="50" t="s">
        <v>70</v>
      </c>
      <c r="E154" s="36"/>
      <c r="F154" s="46"/>
      <c r="G154" s="36"/>
      <c r="H154" s="40">
        <v>500000</v>
      </c>
      <c r="I154" s="40">
        <v>-100000</v>
      </c>
      <c r="J154" s="40">
        <f t="shared" si="7"/>
        <v>400000</v>
      </c>
      <c r="K154" s="113"/>
    </row>
    <row r="155" spans="1:11" ht="75">
      <c r="A155" s="51"/>
      <c r="B155" s="51"/>
      <c r="C155" s="47"/>
      <c r="D155" s="50" t="s">
        <v>71</v>
      </c>
      <c r="E155" s="36"/>
      <c r="F155" s="46"/>
      <c r="G155" s="36"/>
      <c r="H155" s="40">
        <v>500000</v>
      </c>
      <c r="I155" s="40"/>
      <c r="J155" s="40">
        <f t="shared" si="7"/>
        <v>500000</v>
      </c>
      <c r="K155" s="113"/>
    </row>
    <row r="156" spans="1:11" ht="112.5">
      <c r="A156" s="51"/>
      <c r="B156" s="51"/>
      <c r="C156" s="47"/>
      <c r="D156" s="50" t="s">
        <v>180</v>
      </c>
      <c r="E156" s="36"/>
      <c r="F156" s="46"/>
      <c r="G156" s="36"/>
      <c r="H156" s="40">
        <v>50000</v>
      </c>
      <c r="I156" s="40"/>
      <c r="J156" s="40">
        <f t="shared" si="7"/>
        <v>50000</v>
      </c>
      <c r="K156" s="113"/>
    </row>
    <row r="157" spans="1:11" ht="56.25">
      <c r="A157" s="51"/>
      <c r="B157" s="51"/>
      <c r="C157" s="47"/>
      <c r="D157" s="50" t="s">
        <v>195</v>
      </c>
      <c r="E157" s="36"/>
      <c r="F157" s="46"/>
      <c r="G157" s="36"/>
      <c r="H157" s="40">
        <v>750000</v>
      </c>
      <c r="I157" s="40"/>
      <c r="J157" s="40">
        <f t="shared" si="7"/>
        <v>750000</v>
      </c>
      <c r="K157" s="113"/>
    </row>
    <row r="158" spans="1:11" ht="18.75">
      <c r="A158" s="51"/>
      <c r="B158" s="51"/>
      <c r="C158" s="47"/>
      <c r="D158" s="50" t="s">
        <v>156</v>
      </c>
      <c r="E158" s="36"/>
      <c r="F158" s="46"/>
      <c r="G158" s="36"/>
      <c r="H158" s="40">
        <v>4400000</v>
      </c>
      <c r="I158" s="40"/>
      <c r="J158" s="40">
        <f t="shared" si="7"/>
        <v>4400000</v>
      </c>
      <c r="K158" s="113"/>
    </row>
    <row r="159" spans="1:11" ht="18.75">
      <c r="A159" s="51"/>
      <c r="B159" s="51"/>
      <c r="C159" s="47"/>
      <c r="D159" s="50" t="s">
        <v>72</v>
      </c>
      <c r="E159" s="36">
        <v>6201766</v>
      </c>
      <c r="F159" s="46">
        <v>48.4</v>
      </c>
      <c r="G159" s="36">
        <v>3001766</v>
      </c>
      <c r="H159" s="40">
        <f>3000000-1000000+0.94</f>
        <v>2000000.94</v>
      </c>
      <c r="I159" s="40"/>
      <c r="J159" s="40">
        <f t="shared" si="7"/>
        <v>2000000.94</v>
      </c>
      <c r="K159" s="113"/>
    </row>
    <row r="160" spans="1:11" ht="37.5">
      <c r="A160" s="51"/>
      <c r="B160" s="51"/>
      <c r="C160" s="47"/>
      <c r="D160" s="50" t="s">
        <v>37</v>
      </c>
      <c r="E160" s="36">
        <v>4276667</v>
      </c>
      <c r="F160" s="46">
        <v>75.4</v>
      </c>
      <c r="G160" s="36">
        <v>3225583</v>
      </c>
      <c r="H160" s="40">
        <v>3200000</v>
      </c>
      <c r="I160" s="40"/>
      <c r="J160" s="40">
        <f aca="true" t="shared" si="8" ref="J160:J179">I160+H160</f>
        <v>3200000</v>
      </c>
      <c r="K160" s="113">
        <v>50</v>
      </c>
    </row>
    <row r="161" spans="1:11" ht="56.25">
      <c r="A161" s="51"/>
      <c r="B161" s="51"/>
      <c r="C161" s="47"/>
      <c r="D161" s="50" t="s">
        <v>147</v>
      </c>
      <c r="E161" s="36">
        <v>3442904</v>
      </c>
      <c r="F161" s="46">
        <v>98.3</v>
      </c>
      <c r="G161" s="36">
        <v>3382909</v>
      </c>
      <c r="H161" s="40">
        <v>1000000</v>
      </c>
      <c r="I161" s="40"/>
      <c r="J161" s="40">
        <f t="shared" si="8"/>
        <v>1000000</v>
      </c>
      <c r="K161" s="113"/>
    </row>
    <row r="162" spans="1:11" ht="18.75">
      <c r="A162" s="51"/>
      <c r="B162" s="51"/>
      <c r="C162" s="47"/>
      <c r="D162" s="50" t="s">
        <v>149</v>
      </c>
      <c r="E162" s="36">
        <v>25831121</v>
      </c>
      <c r="F162" s="46"/>
      <c r="G162" s="36">
        <v>25831121</v>
      </c>
      <c r="H162" s="40">
        <f>1000000+1000000</f>
        <v>2000000</v>
      </c>
      <c r="I162" s="40">
        <v>-1500000</v>
      </c>
      <c r="J162" s="40">
        <f t="shared" si="8"/>
        <v>500000</v>
      </c>
      <c r="K162" s="113"/>
    </row>
    <row r="163" spans="1:11" ht="37.5">
      <c r="A163" s="51"/>
      <c r="B163" s="51"/>
      <c r="C163" s="47"/>
      <c r="D163" s="50" t="s">
        <v>148</v>
      </c>
      <c r="E163" s="36"/>
      <c r="F163" s="46"/>
      <c r="G163" s="36"/>
      <c r="H163" s="40">
        <v>1000000</v>
      </c>
      <c r="I163" s="40"/>
      <c r="J163" s="40">
        <f t="shared" si="8"/>
        <v>1000000</v>
      </c>
      <c r="K163" s="113"/>
    </row>
    <row r="164" spans="1:11" ht="37.5">
      <c r="A164" s="51"/>
      <c r="B164" s="51"/>
      <c r="C164" s="47"/>
      <c r="D164" s="50" t="s">
        <v>154</v>
      </c>
      <c r="E164" s="36"/>
      <c r="F164" s="46"/>
      <c r="G164" s="36"/>
      <c r="H164" s="40">
        <v>1000000</v>
      </c>
      <c r="I164" s="40">
        <v>500000</v>
      </c>
      <c r="J164" s="40">
        <f t="shared" si="8"/>
        <v>1500000</v>
      </c>
      <c r="K164" s="113"/>
    </row>
    <row r="165" spans="1:11" ht="56.25">
      <c r="A165" s="51"/>
      <c r="B165" s="51"/>
      <c r="C165" s="47"/>
      <c r="D165" s="50" t="s">
        <v>122</v>
      </c>
      <c r="E165" s="36">
        <v>2997994</v>
      </c>
      <c r="F165" s="46">
        <v>99.2</v>
      </c>
      <c r="G165" s="36">
        <v>2977690</v>
      </c>
      <c r="H165" s="40">
        <v>1900000</v>
      </c>
      <c r="I165" s="40"/>
      <c r="J165" s="40">
        <f t="shared" si="8"/>
        <v>1900000</v>
      </c>
      <c r="K165" s="113"/>
    </row>
    <row r="166" spans="1:11" ht="37.5">
      <c r="A166" s="51"/>
      <c r="B166" s="51"/>
      <c r="C166" s="47"/>
      <c r="D166" s="50" t="s">
        <v>61</v>
      </c>
      <c r="E166" s="36"/>
      <c r="F166" s="46"/>
      <c r="G166" s="36"/>
      <c r="H166" s="40">
        <v>100000</v>
      </c>
      <c r="I166" s="40"/>
      <c r="J166" s="40">
        <f t="shared" si="8"/>
        <v>100000</v>
      </c>
      <c r="K166" s="113"/>
    </row>
    <row r="167" spans="1:11" ht="56.25">
      <c r="A167" s="51"/>
      <c r="B167" s="51"/>
      <c r="C167" s="47"/>
      <c r="D167" s="50" t="s">
        <v>150</v>
      </c>
      <c r="E167" s="36"/>
      <c r="F167" s="46"/>
      <c r="G167" s="36"/>
      <c r="H167" s="40">
        <v>200000</v>
      </c>
      <c r="I167" s="40">
        <v>250000</v>
      </c>
      <c r="J167" s="40">
        <f t="shared" si="8"/>
        <v>450000</v>
      </c>
      <c r="K167" s="113"/>
    </row>
    <row r="168" spans="1:11" ht="37.5">
      <c r="A168" s="51"/>
      <c r="B168" s="51"/>
      <c r="C168" s="47"/>
      <c r="D168" s="50" t="s">
        <v>134</v>
      </c>
      <c r="E168" s="36"/>
      <c r="F168" s="46"/>
      <c r="G168" s="36"/>
      <c r="H168" s="40">
        <f>150000-45000</f>
        <v>105000</v>
      </c>
      <c r="I168" s="40"/>
      <c r="J168" s="40">
        <f t="shared" si="8"/>
        <v>105000</v>
      </c>
      <c r="K168" s="113"/>
    </row>
    <row r="169" spans="1:11" ht="37.5">
      <c r="A169" s="51"/>
      <c r="B169" s="51"/>
      <c r="C169" s="47"/>
      <c r="D169" s="50" t="s">
        <v>62</v>
      </c>
      <c r="E169" s="36"/>
      <c r="F169" s="46"/>
      <c r="G169" s="36"/>
      <c r="H169" s="40">
        <v>150000</v>
      </c>
      <c r="I169" s="40"/>
      <c r="J169" s="40">
        <f t="shared" si="8"/>
        <v>150000</v>
      </c>
      <c r="K169" s="113"/>
    </row>
    <row r="170" spans="1:11" ht="37.5">
      <c r="A170" s="51"/>
      <c r="B170" s="51"/>
      <c r="C170" s="47"/>
      <c r="D170" s="50" t="s">
        <v>179</v>
      </c>
      <c r="E170" s="36"/>
      <c r="F170" s="46"/>
      <c r="G170" s="36"/>
      <c r="H170" s="40">
        <v>50000</v>
      </c>
      <c r="I170" s="40"/>
      <c r="J170" s="40">
        <f t="shared" si="8"/>
        <v>50000</v>
      </c>
      <c r="K170" s="113"/>
    </row>
    <row r="171" spans="1:11" ht="37.5">
      <c r="A171" s="51"/>
      <c r="B171" s="51"/>
      <c r="C171" s="47"/>
      <c r="D171" s="50" t="s">
        <v>178</v>
      </c>
      <c r="E171" s="36"/>
      <c r="F171" s="46"/>
      <c r="G171" s="36"/>
      <c r="H171" s="40">
        <v>981000</v>
      </c>
      <c r="I171" s="40">
        <v>350000</v>
      </c>
      <c r="J171" s="40">
        <f t="shared" si="8"/>
        <v>1331000</v>
      </c>
      <c r="K171" s="113"/>
    </row>
    <row r="172" spans="1:11" ht="42.75" customHeight="1">
      <c r="A172" s="51"/>
      <c r="B172" s="51"/>
      <c r="C172" s="47"/>
      <c r="D172" s="50" t="s">
        <v>200</v>
      </c>
      <c r="E172" s="36"/>
      <c r="F172" s="46"/>
      <c r="G172" s="36"/>
      <c r="H172" s="40">
        <v>200000</v>
      </c>
      <c r="I172" s="40">
        <v>500000</v>
      </c>
      <c r="J172" s="40">
        <f t="shared" si="8"/>
        <v>700000</v>
      </c>
      <c r="K172" s="113"/>
    </row>
    <row r="173" spans="1:11" ht="56.25">
      <c r="A173" s="51"/>
      <c r="B173" s="51"/>
      <c r="C173" s="47"/>
      <c r="D173" s="50" t="s">
        <v>177</v>
      </c>
      <c r="E173" s="36"/>
      <c r="F173" s="46"/>
      <c r="G173" s="36"/>
      <c r="H173" s="40">
        <v>530000</v>
      </c>
      <c r="I173" s="40"/>
      <c r="J173" s="40">
        <f t="shared" si="8"/>
        <v>530000</v>
      </c>
      <c r="K173" s="113"/>
    </row>
    <row r="174" spans="1:11" ht="56.25">
      <c r="A174" s="51"/>
      <c r="B174" s="51"/>
      <c r="C174" s="47"/>
      <c r="D174" s="50" t="s">
        <v>194</v>
      </c>
      <c r="E174" s="36"/>
      <c r="F174" s="46"/>
      <c r="G174" s="36"/>
      <c r="H174" s="40">
        <f>500000+69000</f>
        <v>569000</v>
      </c>
      <c r="I174" s="40"/>
      <c r="J174" s="40">
        <f t="shared" si="8"/>
        <v>569000</v>
      </c>
      <c r="K174" s="113"/>
    </row>
    <row r="175" spans="1:11" ht="56.25">
      <c r="A175" s="51"/>
      <c r="B175" s="51"/>
      <c r="C175" s="47"/>
      <c r="D175" s="50" t="s">
        <v>181</v>
      </c>
      <c r="E175" s="36"/>
      <c r="F175" s="46"/>
      <c r="G175" s="36"/>
      <c r="H175" s="40">
        <v>40000</v>
      </c>
      <c r="I175" s="40"/>
      <c r="J175" s="40">
        <f t="shared" si="8"/>
        <v>40000</v>
      </c>
      <c r="K175" s="113"/>
    </row>
    <row r="176" spans="1:11" ht="18.75">
      <c r="A176" s="51"/>
      <c r="B176" s="51"/>
      <c r="C176" s="47"/>
      <c r="D176" s="50"/>
      <c r="E176" s="36"/>
      <c r="F176" s="46"/>
      <c r="G176" s="36"/>
      <c r="H176" s="40"/>
      <c r="I176" s="40"/>
      <c r="J176" s="40"/>
      <c r="K176" s="113"/>
    </row>
    <row r="177" spans="1:11" ht="56.25">
      <c r="A177" s="51"/>
      <c r="B177" s="51"/>
      <c r="C177" s="47"/>
      <c r="D177" s="50" t="s">
        <v>222</v>
      </c>
      <c r="E177" s="36"/>
      <c r="F177" s="46"/>
      <c r="G177" s="36"/>
      <c r="H177" s="40">
        <v>11500</v>
      </c>
      <c r="I177" s="40"/>
      <c r="J177" s="40">
        <f t="shared" si="8"/>
        <v>11500</v>
      </c>
      <c r="K177" s="113"/>
    </row>
    <row r="178" spans="1:11" ht="56.25">
      <c r="A178" s="32">
        <v>150201</v>
      </c>
      <c r="B178" s="38" t="s">
        <v>86</v>
      </c>
      <c r="C178" s="35" t="s">
        <v>206</v>
      </c>
      <c r="D178" s="50" t="s">
        <v>207</v>
      </c>
      <c r="E178" s="36"/>
      <c r="F178" s="46"/>
      <c r="G178" s="36"/>
      <c r="H178" s="40">
        <v>200000</v>
      </c>
      <c r="I178" s="40"/>
      <c r="J178" s="40">
        <v>200000</v>
      </c>
      <c r="K178" s="113"/>
    </row>
    <row r="179" spans="1:11" ht="93.75" customHeight="1">
      <c r="A179" s="32">
        <v>180409</v>
      </c>
      <c r="B179" s="38" t="s">
        <v>88</v>
      </c>
      <c r="C179" s="35" t="s">
        <v>31</v>
      </c>
      <c r="D179" s="50" t="s">
        <v>167</v>
      </c>
      <c r="E179" s="36"/>
      <c r="F179" s="46"/>
      <c r="G179" s="36"/>
      <c r="H179" s="40">
        <v>12000000</v>
      </c>
      <c r="I179" s="40"/>
      <c r="J179" s="40">
        <f t="shared" si="8"/>
        <v>12000000</v>
      </c>
      <c r="K179" s="113"/>
    </row>
    <row r="180" spans="1:155" s="7" customFormat="1" ht="60" customHeight="1">
      <c r="A180" s="33"/>
      <c r="B180" s="33"/>
      <c r="C180" s="54" t="s">
        <v>112</v>
      </c>
      <c r="D180" s="48"/>
      <c r="E180" s="30"/>
      <c r="F180" s="55"/>
      <c r="G180" s="30"/>
      <c r="H180" s="37">
        <f>H181+H182</f>
        <v>37000</v>
      </c>
      <c r="I180" s="37">
        <f>I181+I182</f>
        <v>0</v>
      </c>
      <c r="J180" s="37">
        <f>J181+J182</f>
        <v>37000</v>
      </c>
      <c r="K180" s="106">
        <v>51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8"/>
    </row>
    <row r="181" spans="1:155" s="7" customFormat="1" ht="18.75">
      <c r="A181" s="38" t="s">
        <v>10</v>
      </c>
      <c r="B181" s="38" t="s">
        <v>85</v>
      </c>
      <c r="C181" s="35" t="s">
        <v>11</v>
      </c>
      <c r="D181" s="39" t="s">
        <v>12</v>
      </c>
      <c r="E181" s="36"/>
      <c r="F181" s="46"/>
      <c r="G181" s="36"/>
      <c r="H181" s="40">
        <f>250000-220000</f>
        <v>30000</v>
      </c>
      <c r="I181" s="43"/>
      <c r="J181" s="40">
        <f>I181+H181</f>
        <v>30000</v>
      </c>
      <c r="K181" s="10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8"/>
    </row>
    <row r="182" spans="1:11" s="5" customFormat="1" ht="18.75">
      <c r="A182" s="38" t="s">
        <v>23</v>
      </c>
      <c r="B182" s="38" t="s">
        <v>105</v>
      </c>
      <c r="C182" s="35" t="s">
        <v>42</v>
      </c>
      <c r="D182" s="39" t="s">
        <v>12</v>
      </c>
      <c r="E182" s="36"/>
      <c r="F182" s="46"/>
      <c r="G182" s="36"/>
      <c r="H182" s="40">
        <f>148000-141000</f>
        <v>7000</v>
      </c>
      <c r="I182" s="43"/>
      <c r="J182" s="40">
        <f>I182+H182</f>
        <v>7000</v>
      </c>
      <c r="K182" s="106"/>
    </row>
    <row r="183" spans="1:155" s="7" customFormat="1" ht="58.5">
      <c r="A183" s="33"/>
      <c r="B183" s="33"/>
      <c r="C183" s="54" t="s">
        <v>210</v>
      </c>
      <c r="D183" s="48"/>
      <c r="E183" s="30"/>
      <c r="F183" s="55"/>
      <c r="G183" s="30"/>
      <c r="H183" s="37">
        <f>H185+H184</f>
        <v>138500</v>
      </c>
      <c r="I183" s="37">
        <f>I185+I184</f>
        <v>0</v>
      </c>
      <c r="J183" s="37">
        <f>J185+J184</f>
        <v>138500</v>
      </c>
      <c r="K183" s="10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8"/>
    </row>
    <row r="184" spans="1:11" s="5" customFormat="1" ht="93.75">
      <c r="A184" s="38" t="s">
        <v>201</v>
      </c>
      <c r="B184" s="38" t="s">
        <v>88</v>
      </c>
      <c r="C184" s="35" t="s">
        <v>31</v>
      </c>
      <c r="D184" s="35" t="s">
        <v>205</v>
      </c>
      <c r="E184" s="36"/>
      <c r="F184" s="46"/>
      <c r="G184" s="36"/>
      <c r="H184" s="40">
        <v>39000</v>
      </c>
      <c r="I184" s="40"/>
      <c r="J184" s="40">
        <f>I184+H184</f>
        <v>39000</v>
      </c>
      <c r="K184" s="106"/>
    </row>
    <row r="185" spans="1:11" s="5" customFormat="1" ht="18.75">
      <c r="A185" s="38" t="s">
        <v>199</v>
      </c>
      <c r="B185" s="38" t="s">
        <v>106</v>
      </c>
      <c r="C185" s="39" t="s">
        <v>21</v>
      </c>
      <c r="D185" s="39" t="s">
        <v>12</v>
      </c>
      <c r="E185" s="36"/>
      <c r="F185" s="46"/>
      <c r="G185" s="36"/>
      <c r="H185" s="40">
        <v>99500</v>
      </c>
      <c r="I185" s="40"/>
      <c r="J185" s="40">
        <f>I185+H185</f>
        <v>99500</v>
      </c>
      <c r="K185" s="106"/>
    </row>
    <row r="186" spans="1:11" s="11" customFormat="1" ht="60" customHeight="1">
      <c r="A186" s="33"/>
      <c r="B186" s="33"/>
      <c r="C186" s="34" t="s">
        <v>113</v>
      </c>
      <c r="D186" s="48"/>
      <c r="E186" s="30"/>
      <c r="F186" s="55"/>
      <c r="G186" s="30"/>
      <c r="H186" s="37">
        <f>H187</f>
        <v>30000</v>
      </c>
      <c r="I186" s="37">
        <f>I187</f>
        <v>0</v>
      </c>
      <c r="J186" s="37">
        <f>J187</f>
        <v>30000</v>
      </c>
      <c r="K186" s="106"/>
    </row>
    <row r="187" spans="1:11" s="5" customFormat="1" ht="18.75">
      <c r="A187" s="38" t="s">
        <v>10</v>
      </c>
      <c r="B187" s="38" t="s">
        <v>85</v>
      </c>
      <c r="C187" s="35" t="s">
        <v>11</v>
      </c>
      <c r="D187" s="39" t="s">
        <v>12</v>
      </c>
      <c r="E187" s="36"/>
      <c r="F187" s="46"/>
      <c r="G187" s="36"/>
      <c r="H187" s="40">
        <v>30000</v>
      </c>
      <c r="I187" s="40"/>
      <c r="J187" s="40">
        <f>I187+H187</f>
        <v>30000</v>
      </c>
      <c r="K187" s="106"/>
    </row>
    <row r="188" spans="1:11" ht="58.5">
      <c r="A188" s="56"/>
      <c r="B188" s="56"/>
      <c r="C188" s="54" t="s">
        <v>211</v>
      </c>
      <c r="D188" s="39"/>
      <c r="E188" s="57"/>
      <c r="F188" s="58"/>
      <c r="G188" s="57"/>
      <c r="H188" s="37">
        <f>H189</f>
        <v>57070</v>
      </c>
      <c r="I188" s="37">
        <f>I189</f>
        <v>0</v>
      </c>
      <c r="J188" s="37">
        <f>J189</f>
        <v>57070</v>
      </c>
      <c r="K188" s="106"/>
    </row>
    <row r="189" spans="1:11" ht="18.75">
      <c r="A189" s="38" t="s">
        <v>10</v>
      </c>
      <c r="B189" s="38" t="s">
        <v>85</v>
      </c>
      <c r="C189" s="39" t="s">
        <v>11</v>
      </c>
      <c r="D189" s="39" t="s">
        <v>20</v>
      </c>
      <c r="E189" s="57"/>
      <c r="F189" s="58"/>
      <c r="G189" s="57"/>
      <c r="H189" s="40">
        <f>52400+4670</f>
        <v>57070</v>
      </c>
      <c r="I189" s="40"/>
      <c r="J189" s="40">
        <f>I189+H189</f>
        <v>57070</v>
      </c>
      <c r="K189" s="106"/>
    </row>
    <row r="190" spans="1:11" ht="93" customHeight="1">
      <c r="A190" s="56"/>
      <c r="B190" s="56"/>
      <c r="C190" s="54" t="s">
        <v>212</v>
      </c>
      <c r="D190" s="39"/>
      <c r="E190" s="57"/>
      <c r="F190" s="58"/>
      <c r="G190" s="57"/>
      <c r="H190" s="37">
        <f>H191</f>
        <v>700000</v>
      </c>
      <c r="I190" s="37">
        <f>I191</f>
        <v>0</v>
      </c>
      <c r="J190" s="37">
        <f>J191</f>
        <v>700000</v>
      </c>
      <c r="K190" s="106"/>
    </row>
    <row r="191" spans="1:11" ht="18.75">
      <c r="A191" s="59">
        <v>250380</v>
      </c>
      <c r="B191" s="38" t="s">
        <v>106</v>
      </c>
      <c r="C191" s="39" t="s">
        <v>21</v>
      </c>
      <c r="D191" s="39" t="s">
        <v>12</v>
      </c>
      <c r="E191" s="57"/>
      <c r="F191" s="57"/>
      <c r="G191" s="57"/>
      <c r="H191" s="40">
        <v>700000</v>
      </c>
      <c r="I191" s="40"/>
      <c r="J191" s="40">
        <f>I191+H191</f>
        <v>700000</v>
      </c>
      <c r="K191" s="106"/>
    </row>
    <row r="192" spans="1:154" s="13" customFormat="1" ht="18.75">
      <c r="A192" s="60"/>
      <c r="B192" s="60"/>
      <c r="C192" s="60" t="s">
        <v>22</v>
      </c>
      <c r="D192" s="60"/>
      <c r="E192" s="61"/>
      <c r="F192" s="61"/>
      <c r="G192" s="61"/>
      <c r="H192" s="37">
        <f>H190+H188+H186+H183+H71+H66+H50+H45+H41+H33+H24+H13+H69+H180</f>
        <v>431946850.72999996</v>
      </c>
      <c r="I192" s="37">
        <f>I190+I188+I186+I183+I71+I66+I50+I45+I41+I33+I24+I13+I69+I180</f>
        <v>3887476</v>
      </c>
      <c r="J192" s="37">
        <f>J190+J188+J186+J183+J71+J66+J50+J45+J41+J33+J24+J13+J69+J180</f>
        <v>435834326.72999996</v>
      </c>
      <c r="K192" s="106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</row>
    <row r="193" spans="1:11" s="12" customFormat="1" ht="18.75">
      <c r="A193" s="62"/>
      <c r="B193" s="62"/>
      <c r="C193" s="62"/>
      <c r="D193" s="63"/>
      <c r="E193" s="64"/>
      <c r="F193" s="111"/>
      <c r="G193" s="111"/>
      <c r="H193" s="65"/>
      <c r="I193" s="27"/>
      <c r="J193" s="62"/>
      <c r="K193" s="106"/>
    </row>
    <row r="194" spans="1:11" s="12" customFormat="1" ht="18.75">
      <c r="A194" s="62"/>
      <c r="B194" s="62"/>
      <c r="C194" s="62"/>
      <c r="D194" s="63"/>
      <c r="E194" s="64"/>
      <c r="F194" s="111"/>
      <c r="G194" s="111"/>
      <c r="H194" s="65"/>
      <c r="I194" s="27"/>
      <c r="J194" s="62"/>
      <c r="K194" s="106"/>
    </row>
    <row r="195" spans="1:11" s="12" customFormat="1" ht="18.75">
      <c r="A195" s="62"/>
      <c r="B195" s="62"/>
      <c r="C195" s="62"/>
      <c r="D195" s="63"/>
      <c r="E195" s="64"/>
      <c r="F195" s="111"/>
      <c r="G195" s="111"/>
      <c r="H195" s="65"/>
      <c r="I195" s="27"/>
      <c r="J195" s="62"/>
      <c r="K195" s="106"/>
    </row>
    <row r="196" spans="1:11" s="12" customFormat="1" ht="18.75">
      <c r="A196" s="62"/>
      <c r="B196" s="62"/>
      <c r="C196" s="62"/>
      <c r="D196" s="63"/>
      <c r="E196" s="64"/>
      <c r="F196" s="111"/>
      <c r="G196" s="111"/>
      <c r="H196" s="65"/>
      <c r="I196" s="27"/>
      <c r="J196" s="62"/>
      <c r="K196" s="106"/>
    </row>
    <row r="197" spans="1:155" s="93" customFormat="1" ht="30.75">
      <c r="A197" s="89" t="s">
        <v>228</v>
      </c>
      <c r="B197" s="89"/>
      <c r="C197" s="90"/>
      <c r="D197" s="89"/>
      <c r="E197" s="91"/>
      <c r="F197" s="92"/>
      <c r="G197" s="92"/>
      <c r="I197" s="94"/>
      <c r="J197" s="94"/>
      <c r="K197" s="106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</row>
    <row r="198" spans="1:11" s="100" customFormat="1" ht="30.75">
      <c r="A198" s="89" t="s">
        <v>229</v>
      </c>
      <c r="B198" s="89"/>
      <c r="C198" s="90"/>
      <c r="D198" s="96"/>
      <c r="E198" s="97"/>
      <c r="F198" s="98"/>
      <c r="G198" s="98"/>
      <c r="H198" s="89" t="s">
        <v>230</v>
      </c>
      <c r="I198" s="99"/>
      <c r="K198" s="106"/>
    </row>
    <row r="199" spans="1:11" s="15" customFormat="1" ht="27.75">
      <c r="A199" s="112"/>
      <c r="B199" s="112"/>
      <c r="C199" s="68"/>
      <c r="D199" s="68"/>
      <c r="E199" s="67"/>
      <c r="F199" s="68"/>
      <c r="G199" s="68"/>
      <c r="H199" s="69"/>
      <c r="I199" s="27"/>
      <c r="J199" s="67"/>
      <c r="K199" s="106"/>
    </row>
    <row r="200" spans="1:154" s="14" customFormat="1" ht="30.75">
      <c r="A200" s="110"/>
      <c r="B200" s="110"/>
      <c r="C200" s="110"/>
      <c r="D200" s="70"/>
      <c r="E200" s="71"/>
      <c r="F200" s="72"/>
      <c r="G200" s="66"/>
      <c r="H200" s="73"/>
      <c r="I200" s="27"/>
      <c r="J200" s="72"/>
      <c r="K200" s="10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</row>
    <row r="201" spans="4:11" ht="18.75">
      <c r="D201" s="74"/>
      <c r="E201" s="75"/>
      <c r="F201" s="76"/>
      <c r="H201" s="77"/>
      <c r="I201" s="27"/>
      <c r="K201" s="106"/>
    </row>
    <row r="202" spans="4:11" ht="18.75">
      <c r="D202" s="74"/>
      <c r="E202" s="75"/>
      <c r="F202" s="76"/>
      <c r="H202" s="77"/>
      <c r="I202" s="27"/>
      <c r="K202" s="106"/>
    </row>
    <row r="203" spans="4:11" ht="18.75">
      <c r="D203" s="74"/>
      <c r="E203" s="75"/>
      <c r="H203" s="77"/>
      <c r="K203" s="106"/>
    </row>
    <row r="204" spans="4:11" ht="18.75">
      <c r="D204" s="74"/>
      <c r="E204" s="75"/>
      <c r="H204" s="77"/>
      <c r="K204" s="106"/>
    </row>
    <row r="205" spans="4:8" ht="18.75">
      <c r="D205" s="74"/>
      <c r="E205" s="75"/>
      <c r="H205" s="77"/>
    </row>
    <row r="206" spans="1:154" s="17" customFormat="1" ht="19.5">
      <c r="A206" s="79"/>
      <c r="B206" s="79"/>
      <c r="C206" s="79"/>
      <c r="D206" s="80"/>
      <c r="E206" s="81"/>
      <c r="F206" s="79"/>
      <c r="G206" s="79"/>
      <c r="H206" s="82"/>
      <c r="I206" s="79"/>
      <c r="J206" s="82"/>
      <c r="K206" s="101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</row>
    <row r="207" ht="18.75">
      <c r="H207" s="77"/>
    </row>
    <row r="208" ht="18.75">
      <c r="H208" s="77"/>
    </row>
    <row r="209" ht="18.75">
      <c r="H209" s="77"/>
    </row>
    <row r="210" ht="18.75">
      <c r="H210" s="77"/>
    </row>
    <row r="211" ht="18.75">
      <c r="H211" s="77"/>
    </row>
    <row r="212" ht="18.75">
      <c r="H212" s="77"/>
    </row>
    <row r="213" ht="18.75">
      <c r="H213" s="77"/>
    </row>
    <row r="214" ht="18.75">
      <c r="H214" s="77"/>
    </row>
    <row r="215" ht="18.75">
      <c r="H215" s="77"/>
    </row>
    <row r="216" ht="18.75">
      <c r="H216" s="77"/>
    </row>
    <row r="217" ht="18.75">
      <c r="H217" s="77"/>
    </row>
    <row r="218" ht="18.75">
      <c r="H218" s="77"/>
    </row>
    <row r="219" ht="18.75">
      <c r="H219" s="77"/>
    </row>
    <row r="220" ht="18.75">
      <c r="H220" s="77"/>
    </row>
    <row r="221" ht="18.75">
      <c r="H221" s="77"/>
    </row>
    <row r="222" ht="18.75">
      <c r="H222" s="77"/>
    </row>
    <row r="223" ht="18.75">
      <c r="H223" s="77"/>
    </row>
    <row r="224" ht="18.75">
      <c r="H224" s="77"/>
    </row>
    <row r="225" ht="18.75">
      <c r="H225" s="77"/>
    </row>
    <row r="226" ht="18.75">
      <c r="H226" s="77"/>
    </row>
    <row r="227" ht="18.75">
      <c r="H227" s="77"/>
    </row>
    <row r="228" ht="18.75">
      <c r="H228" s="77"/>
    </row>
    <row r="229" ht="18.75">
      <c r="H229" s="77"/>
    </row>
    <row r="230" ht="18.75">
      <c r="H230" s="77"/>
    </row>
    <row r="231" ht="18.75">
      <c r="H231" s="77"/>
    </row>
    <row r="232" ht="18.75">
      <c r="H232" s="77"/>
    </row>
    <row r="233" ht="18.75">
      <c r="H233" s="77"/>
    </row>
    <row r="234" ht="18.75">
      <c r="H234" s="77"/>
    </row>
    <row r="235" ht="18.75">
      <c r="H235" s="77"/>
    </row>
    <row r="236" ht="18.75">
      <c r="H236" s="77"/>
    </row>
    <row r="237" ht="18.75">
      <c r="H237" s="77"/>
    </row>
    <row r="238" ht="18.75">
      <c r="H238" s="77"/>
    </row>
    <row r="239" ht="18.75">
      <c r="H239" s="77"/>
    </row>
    <row r="240" ht="18.75">
      <c r="H240" s="77"/>
    </row>
    <row r="241" ht="18.75">
      <c r="H241" s="77"/>
    </row>
    <row r="242" ht="18.75">
      <c r="H242" s="77"/>
    </row>
    <row r="243" ht="18.75">
      <c r="H243" s="77"/>
    </row>
    <row r="244" ht="18.75">
      <c r="H244" s="77"/>
    </row>
    <row r="245" ht="18.75">
      <c r="H245" s="77"/>
    </row>
    <row r="246" ht="18.75">
      <c r="H246" s="77"/>
    </row>
    <row r="247" ht="18.75">
      <c r="H247" s="77"/>
    </row>
    <row r="248" ht="18.75">
      <c r="H248" s="77"/>
    </row>
    <row r="249" ht="18.75">
      <c r="H249" s="77"/>
    </row>
    <row r="250" ht="18.75">
      <c r="H250" s="77"/>
    </row>
    <row r="251" ht="18.75">
      <c r="H251" s="77"/>
    </row>
    <row r="252" ht="18.75">
      <c r="H252" s="77"/>
    </row>
    <row r="253" ht="18.75">
      <c r="H253" s="77"/>
    </row>
    <row r="254" ht="18.75">
      <c r="H254" s="77"/>
    </row>
    <row r="255" ht="18.75">
      <c r="H255" s="77"/>
    </row>
    <row r="256" ht="18.75">
      <c r="H256" s="77"/>
    </row>
    <row r="257" ht="18.75">
      <c r="H257" s="77"/>
    </row>
    <row r="258" ht="18.75">
      <c r="H258" s="77"/>
    </row>
    <row r="259" ht="18.75">
      <c r="H259" s="77"/>
    </row>
    <row r="260" ht="18.75">
      <c r="H260" s="77"/>
    </row>
    <row r="261" ht="18.75">
      <c r="H261" s="77"/>
    </row>
    <row r="262" ht="18.75">
      <c r="H262" s="77"/>
    </row>
    <row r="263" ht="18.75">
      <c r="H263" s="77"/>
    </row>
    <row r="264" ht="18.75">
      <c r="H264" s="77"/>
    </row>
    <row r="265" ht="18.75">
      <c r="H265" s="77"/>
    </row>
    <row r="266" ht="18.75">
      <c r="H266" s="77"/>
    </row>
    <row r="267" ht="18.75">
      <c r="H267" s="77"/>
    </row>
    <row r="268" ht="18.75">
      <c r="H268" s="77"/>
    </row>
    <row r="269" ht="18.75">
      <c r="H269" s="77"/>
    </row>
    <row r="270" ht="18.75">
      <c r="H270" s="77"/>
    </row>
    <row r="271" ht="18.75">
      <c r="H271" s="77"/>
    </row>
    <row r="272" ht="18.75">
      <c r="H272" s="77"/>
    </row>
    <row r="273" ht="18.75">
      <c r="H273" s="77"/>
    </row>
    <row r="274" ht="18.75">
      <c r="H274" s="77"/>
    </row>
    <row r="275" ht="18.75">
      <c r="H275" s="77"/>
    </row>
    <row r="276" ht="18.75">
      <c r="H276" s="77"/>
    </row>
    <row r="277" ht="18.75">
      <c r="H277" s="77"/>
    </row>
    <row r="278" ht="18.75">
      <c r="H278" s="77"/>
    </row>
    <row r="279" ht="18.75">
      <c r="H279" s="77"/>
    </row>
    <row r="280" ht="18.75">
      <c r="H280" s="77"/>
    </row>
    <row r="281" ht="18.75">
      <c r="H281" s="77"/>
    </row>
    <row r="282" ht="18.75">
      <c r="H282" s="77"/>
    </row>
    <row r="283" ht="18.75">
      <c r="H283" s="77"/>
    </row>
    <row r="284" ht="18.75">
      <c r="H284" s="77"/>
    </row>
    <row r="285" ht="18.75">
      <c r="H285" s="77"/>
    </row>
    <row r="286" ht="18.75">
      <c r="H286" s="77"/>
    </row>
    <row r="287" ht="18.75">
      <c r="H287" s="77"/>
    </row>
    <row r="288" ht="18.75">
      <c r="H288" s="77"/>
    </row>
    <row r="289" ht="18.75">
      <c r="H289" s="77"/>
    </row>
    <row r="290" ht="18.75">
      <c r="H290" s="77"/>
    </row>
    <row r="291" ht="18.75">
      <c r="H291" s="77"/>
    </row>
    <row r="292" ht="18.75">
      <c r="H292" s="77"/>
    </row>
    <row r="293" ht="18.75">
      <c r="H293" s="77"/>
    </row>
    <row r="294" ht="18.75">
      <c r="H294" s="77"/>
    </row>
    <row r="295" ht="18.75">
      <c r="H295" s="77"/>
    </row>
    <row r="296" ht="18.75">
      <c r="H296" s="77"/>
    </row>
    <row r="297" ht="18.75">
      <c r="H297" s="77"/>
    </row>
    <row r="298" ht="18.75">
      <c r="H298" s="77"/>
    </row>
    <row r="299" ht="18.75">
      <c r="H299" s="77"/>
    </row>
    <row r="300" ht="18.75">
      <c r="H300" s="77"/>
    </row>
    <row r="301" ht="18.75">
      <c r="H301" s="77"/>
    </row>
    <row r="302" ht="18.75">
      <c r="H302" s="77"/>
    </row>
    <row r="303" ht="18.75">
      <c r="H303" s="77"/>
    </row>
  </sheetData>
  <sheetProtection/>
  <mergeCells count="30">
    <mergeCell ref="K160:K179"/>
    <mergeCell ref="K180:K204"/>
    <mergeCell ref="F195:G195"/>
    <mergeCell ref="K22:K45"/>
    <mergeCell ref="K46:K70"/>
    <mergeCell ref="K71:K97"/>
    <mergeCell ref="K98:K119"/>
    <mergeCell ref="K120:K142"/>
    <mergeCell ref="K143:K159"/>
    <mergeCell ref="A200:C200"/>
    <mergeCell ref="F193:G193"/>
    <mergeCell ref="A199:B199"/>
    <mergeCell ref="F196:G196"/>
    <mergeCell ref="F194:G194"/>
    <mergeCell ref="K1:K21"/>
    <mergeCell ref="H10:H11"/>
    <mergeCell ref="G10:G11"/>
    <mergeCell ref="F10:F11"/>
    <mergeCell ref="A8:J8"/>
    <mergeCell ref="D10:D11"/>
    <mergeCell ref="F1:J1"/>
    <mergeCell ref="F2:J2"/>
    <mergeCell ref="F3:J3"/>
    <mergeCell ref="A7:J7"/>
    <mergeCell ref="J10:J11"/>
    <mergeCell ref="A10:A11"/>
    <mergeCell ref="C10:C11"/>
    <mergeCell ref="B10:B11"/>
    <mergeCell ref="I10:I11"/>
    <mergeCell ref="E10:E11"/>
  </mergeCells>
  <printOptions horizontalCentered="1"/>
  <pageMargins left="0.3937007874015748" right="0.3937007874015748" top="1.3779527559055118" bottom="0.3937007874015748" header="0.4330708661417323" footer="0.1968503937007874"/>
  <pageSetup fitToHeight="15" fitToWidth="1" horizontalDpi="600" verticalDpi="600" orientation="landscape" paperSize="9" scale="56" r:id="rId1"/>
  <headerFooter alignWithMargins="0">
    <oddHeader>&amp;R&amp;"Times New Roman,обычный"&amp;18Продовженння додатку 5</oddHeader>
  </headerFooter>
  <rowBreaks count="3" manualBreakCount="3">
    <brk id="167" max="10" man="1"/>
    <brk id="178" max="10" man="1"/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2016-06-23T05:36:51Z</cp:lastPrinted>
  <dcterms:created xsi:type="dcterms:W3CDTF">2011-11-24T09:09:31Z</dcterms:created>
  <dcterms:modified xsi:type="dcterms:W3CDTF">2016-06-24T15:01:43Z</dcterms:modified>
  <cp:category/>
  <cp:version/>
  <cp:contentType/>
  <cp:contentStatus/>
</cp:coreProperties>
</file>