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95" windowWidth="20055" windowHeight="7815" tabRatio="952"/>
  </bookViews>
  <sheets>
    <sheet name="тариф" sheetId="17" r:id="rId1"/>
    <sheet name="розрахунок" sheetId="1" r:id="rId2"/>
    <sheet name="Троїцька 41" sheetId="21" r:id="rId3"/>
  </sheets>
  <externalReferences>
    <externalReference r:id="rId4"/>
  </externalReferences>
  <definedNames>
    <definedName name="_xlnm._FilterDatabase" localSheetId="1" hidden="1">розрахунок!$A$4:$N$4</definedName>
    <definedName name="_xlnm.Print_Area" localSheetId="1">розрахунок!$A$1:$C$626</definedName>
    <definedName name="_xlnm.Print_Area" localSheetId="0">тариф!$A$1:$E$43</definedName>
  </definedNames>
  <calcPr calcId="124519"/>
</workbook>
</file>

<file path=xl/calcChain.xml><?xml version="1.0" encoding="utf-8"?>
<calcChain xmlns="http://schemas.openxmlformats.org/spreadsheetml/2006/main">
  <c r="C503" i="1"/>
  <c r="C499"/>
  <c r="C420"/>
  <c r="C325"/>
  <c r="C328" s="1"/>
  <c r="C27"/>
  <c r="C326"/>
  <c r="C5"/>
  <c r="D602"/>
  <c r="C23"/>
  <c r="C526"/>
  <c r="C616"/>
  <c r="C606"/>
  <c r="C174"/>
  <c r="C163"/>
  <c r="C514"/>
  <c r="C545"/>
  <c r="C548"/>
  <c r="C549" s="1"/>
  <c r="C605"/>
  <c r="C91"/>
  <c r="C92" s="1"/>
  <c r="C73"/>
  <c r="C479"/>
  <c r="C389"/>
  <c r="C76"/>
  <c r="C416"/>
  <c r="C77" l="1"/>
  <c r="D126"/>
  <c r="C495"/>
  <c r="C511"/>
  <c r="C343" l="1"/>
  <c r="C351"/>
  <c r="C347"/>
  <c r="C385" l="1"/>
  <c r="C373"/>
  <c r="I581"/>
  <c r="C369" l="1"/>
  <c r="C316"/>
  <c r="C8" l="1"/>
  <c r="C487"/>
  <c r="C462"/>
  <c r="C463" s="1"/>
  <c r="C464" s="1"/>
  <c r="C143"/>
  <c r="C144" s="1"/>
  <c r="C390"/>
  <c r="C601"/>
  <c r="C281" l="1"/>
  <c r="W539" l="1"/>
  <c r="W541" s="1"/>
  <c r="U539"/>
  <c r="U541" s="1"/>
  <c r="S539"/>
  <c r="S541" s="1"/>
  <c r="Q539"/>
  <c r="Q541" s="1"/>
  <c r="O539"/>
  <c r="O541" s="1"/>
  <c r="M539"/>
  <c r="M541" s="1"/>
  <c r="K539"/>
  <c r="K541" s="1"/>
  <c r="I539"/>
  <c r="I541" s="1"/>
  <c r="G539"/>
  <c r="G541" s="1"/>
  <c r="F539"/>
  <c r="F541" s="1"/>
  <c r="H539" l="1"/>
  <c r="J539"/>
  <c r="J541" s="1"/>
  <c r="L539"/>
  <c r="L541" s="1"/>
  <c r="N539"/>
  <c r="N541" s="1"/>
  <c r="P539"/>
  <c r="P541" s="1"/>
  <c r="R539"/>
  <c r="R541" s="1"/>
  <c r="T539"/>
  <c r="T541" s="1"/>
  <c r="V539"/>
  <c r="V541" s="1"/>
  <c r="X539"/>
  <c r="X541" s="1"/>
  <c r="Y539" l="1"/>
  <c r="H541"/>
  <c r="Y541" l="1"/>
  <c r="C535"/>
  <c r="D34" i="21"/>
  <c r="B23"/>
  <c r="B22"/>
  <c r="B21"/>
  <c r="B20"/>
  <c r="B19"/>
  <c r="C17"/>
  <c r="C16"/>
  <c r="B7"/>
  <c r="C5"/>
  <c r="H32" i="17" l="1"/>
  <c r="C525" i="1"/>
  <c r="C521"/>
  <c r="C518"/>
  <c r="C507"/>
  <c r="C508" s="1"/>
  <c r="C531" s="1"/>
  <c r="C483"/>
  <c r="E425"/>
  <c r="E423"/>
  <c r="E402"/>
  <c r="E400"/>
  <c r="E394"/>
  <c r="E329"/>
  <c r="E327"/>
  <c r="E302"/>
  <c r="E300"/>
  <c r="C293"/>
  <c r="E296"/>
  <c r="E223"/>
  <c r="E217"/>
  <c r="C436" l="1"/>
  <c r="C6" i="21"/>
  <c r="C519" i="1"/>
  <c r="C536" l="1"/>
  <c r="D72"/>
  <c r="C612" l="1"/>
  <c r="C613" s="1"/>
  <c r="C602"/>
  <c r="C603" s="1"/>
  <c r="C604" s="1"/>
  <c r="C614" l="1"/>
  <c r="C607"/>
  <c r="C615" l="1"/>
  <c r="C617" l="1"/>
  <c r="C618" s="1"/>
  <c r="D131"/>
  <c r="C33" i="21" l="1"/>
  <c r="J584" i="1"/>
  <c r="K584" s="1"/>
  <c r="G582"/>
  <c r="C488"/>
  <c r="C321"/>
  <c r="L129"/>
  <c r="C159"/>
  <c r="C34" i="21" l="1"/>
  <c r="C35" s="1"/>
  <c r="C241" i="1"/>
  <c r="C237"/>
  <c r="E563" l="1"/>
  <c r="C480" l="1"/>
  <c r="C421"/>
  <c r="C424" s="1"/>
  <c r="C386"/>
  <c r="C382"/>
  <c r="C368"/>
  <c r="C348"/>
  <c r="C344"/>
  <c r="C294"/>
  <c r="C286"/>
  <c r="C272"/>
  <c r="C242"/>
  <c r="C238"/>
  <c r="C211"/>
  <c r="C188" l="1"/>
  <c r="C105"/>
  <c r="C194"/>
  <c r="C195" l="1"/>
  <c r="C222" s="1"/>
  <c r="C223" l="1"/>
  <c r="C453"/>
  <c r="C445"/>
  <c r="D550" l="1"/>
  <c r="E552"/>
  <c r="C53"/>
  <c r="C362" s="1"/>
  <c r="C363" s="1"/>
  <c r="C52"/>
  <c r="C355" s="1"/>
  <c r="C356" s="1"/>
  <c r="C289"/>
  <c r="C290" s="1"/>
  <c r="J468"/>
  <c r="C24"/>
  <c r="C580" s="1"/>
  <c r="C560" l="1"/>
  <c r="C556"/>
  <c r="C557"/>
  <c r="G587"/>
  <c r="C550"/>
  <c r="C551" s="1"/>
  <c r="C358"/>
  <c r="C359" s="1"/>
  <c r="C608" l="1"/>
  <c r="D608" s="1"/>
  <c r="C591"/>
  <c r="D453"/>
  <c r="C599" l="1"/>
  <c r="C592"/>
  <c r="C593" s="1"/>
  <c r="C595" l="1"/>
  <c r="C594"/>
  <c r="C170"/>
  <c r="C171" s="1"/>
  <c r="C160"/>
  <c r="E461"/>
  <c r="C161" l="1"/>
  <c r="C172"/>
  <c r="C173" l="1"/>
  <c r="C162"/>
  <c r="C522"/>
  <c r="C515"/>
  <c r="C512"/>
  <c r="C500"/>
  <c r="C527" s="1"/>
  <c r="C504"/>
  <c r="C529" s="1"/>
  <c r="C496"/>
  <c r="C491"/>
  <c r="C492" s="1"/>
  <c r="C484"/>
  <c r="C377"/>
  <c r="C378" s="1"/>
  <c r="C399" s="1"/>
  <c r="C370"/>
  <c r="C365"/>
  <c r="C366" s="1"/>
  <c r="C352"/>
  <c r="C393" s="1"/>
  <c r="C417"/>
  <c r="C422" s="1"/>
  <c r="C282"/>
  <c r="C299" s="1"/>
  <c r="C277"/>
  <c r="C273"/>
  <c r="C274" s="1"/>
  <c r="C295" s="1"/>
  <c r="C189"/>
  <c r="C190" s="1"/>
  <c r="C181"/>
  <c r="C182" s="1"/>
  <c r="C216" l="1"/>
  <c r="C400"/>
  <c r="C217"/>
  <c r="C224" s="1"/>
  <c r="C394"/>
  <c r="C278"/>
  <c r="C317"/>
  <c r="C374"/>
  <c r="C401" s="1"/>
  <c r="C296"/>
  <c r="C329"/>
  <c r="F293"/>
  <c r="C300"/>
  <c r="C164"/>
  <c r="C165" s="1"/>
  <c r="C175"/>
  <c r="C176" s="1"/>
  <c r="C302" l="1"/>
  <c r="C301"/>
  <c r="C327"/>
  <c r="C330" s="1"/>
  <c r="C331"/>
  <c r="C303"/>
  <c r="C402"/>
  <c r="C403" s="1"/>
  <c r="F114"/>
  <c r="E78" l="1"/>
  <c r="G90" l="1"/>
  <c r="E569" l="1"/>
  <c r="E565" l="1"/>
  <c r="C25" l="1"/>
  <c r="C572" s="1"/>
  <c r="C561"/>
  <c r="G556"/>
  <c r="G557" s="1"/>
  <c r="C564" l="1"/>
  <c r="C565" s="1"/>
  <c r="C568"/>
  <c r="C569" s="1"/>
  <c r="C574" l="1"/>
  <c r="C579"/>
  <c r="C578"/>
  <c r="C573"/>
  <c r="C106" l="1"/>
  <c r="C115"/>
  <c r="C125"/>
  <c r="D115"/>
  <c r="C112"/>
  <c r="C113" s="1"/>
  <c r="C114" s="1"/>
  <c r="C446"/>
  <c r="E445"/>
  <c r="C108" l="1"/>
  <c r="C109" s="1"/>
  <c r="C107"/>
  <c r="C126"/>
  <c r="C127" s="1"/>
  <c r="C131"/>
  <c r="H131" s="1"/>
  <c r="G211"/>
  <c r="C130" l="1"/>
  <c r="C110"/>
  <c r="C596"/>
  <c r="C597" s="1"/>
  <c r="C589" l="1"/>
  <c r="G190"/>
  <c r="E465"/>
  <c r="C95" l="1"/>
  <c r="C454"/>
  <c r="C455" s="1"/>
  <c r="C447"/>
  <c r="C448" l="1"/>
  <c r="C449" s="1"/>
  <c r="C450" s="1"/>
  <c r="C451" s="1"/>
  <c r="C456"/>
  <c r="C457" s="1"/>
  <c r="C458" s="1"/>
  <c r="C459" s="1"/>
  <c r="C437"/>
  <c r="C438" s="1"/>
  <c r="C423"/>
  <c r="C207"/>
  <c r="C203"/>
  <c r="E219"/>
  <c r="E221"/>
  <c r="E145"/>
  <c r="E93"/>
  <c r="C147"/>
  <c r="C444" l="1"/>
  <c r="C452"/>
  <c r="C404"/>
  <c r="C425"/>
  <c r="C426" s="1"/>
  <c r="C225"/>
  <c r="C530"/>
  <c r="C532"/>
  <c r="C467"/>
  <c r="C439"/>
  <c r="C145"/>
  <c r="C146" s="1"/>
  <c r="C440" l="1"/>
  <c r="C441" s="1"/>
  <c r="C427"/>
  <c r="C304"/>
  <c r="C428"/>
  <c r="C405"/>
  <c r="C148"/>
  <c r="C534"/>
  <c r="C577"/>
  <c r="C575"/>
  <c r="C226"/>
  <c r="C465"/>
  <c r="C466" s="1"/>
  <c r="C305"/>
  <c r="C528"/>
  <c r="C537" s="1"/>
  <c r="C533" l="1"/>
  <c r="C538" s="1"/>
  <c r="C581"/>
  <c r="C576"/>
  <c r="C582" s="1"/>
  <c r="C149"/>
  <c r="C150" s="1"/>
  <c r="C442"/>
  <c r="C443" s="1"/>
  <c r="C468"/>
  <c r="C406"/>
  <c r="C407" s="1"/>
  <c r="C332"/>
  <c r="C306"/>
  <c r="C307" s="1"/>
  <c r="C429"/>
  <c r="C227"/>
  <c r="C228" s="1"/>
  <c r="G28" i="17" l="1"/>
  <c r="C24" i="21"/>
  <c r="C539" i="1"/>
  <c r="C469"/>
  <c r="C470" s="1"/>
  <c r="H467"/>
  <c r="H468" s="1"/>
  <c r="C333"/>
  <c r="C334" s="1"/>
  <c r="C430"/>
  <c r="C431" s="1"/>
  <c r="C308"/>
  <c r="C408"/>
  <c r="C229"/>
  <c r="C151"/>
  <c r="E128"/>
  <c r="E108"/>
  <c r="C432" l="1"/>
  <c r="C433" s="1"/>
  <c r="C230"/>
  <c r="C231" s="1"/>
  <c r="C152"/>
  <c r="C153" s="1"/>
  <c r="C309"/>
  <c r="C310" s="1"/>
  <c r="C311" s="1"/>
  <c r="C312" s="1"/>
  <c r="C409"/>
  <c r="C410" s="1"/>
  <c r="C80"/>
  <c r="C471"/>
  <c r="C540"/>
  <c r="C335"/>
  <c r="C583"/>
  <c r="C584" s="1"/>
  <c r="C128"/>
  <c r="C129" s="1"/>
  <c r="C472" l="1"/>
  <c r="C473" s="1"/>
  <c r="C585"/>
  <c r="C586" s="1"/>
  <c r="C336"/>
  <c r="C337" s="1"/>
  <c r="C541"/>
  <c r="C542" s="1"/>
  <c r="G24" i="17"/>
  <c r="C20" i="21"/>
  <c r="C232" i="1"/>
  <c r="D231"/>
  <c r="C434"/>
  <c r="C435" s="1"/>
  <c r="C154"/>
  <c r="C155" s="1"/>
  <c r="C411"/>
  <c r="C78"/>
  <c r="C79" s="1"/>
  <c r="C116"/>
  <c r="C132"/>
  <c r="C93"/>
  <c r="C94" s="1"/>
  <c r="G27" i="17" l="1"/>
  <c r="C23" i="21"/>
  <c r="C133" i="1"/>
  <c r="G19" i="17"/>
  <c r="C140" i="1"/>
  <c r="C587"/>
  <c r="C588" s="1"/>
  <c r="C474"/>
  <c r="C475" s="1"/>
  <c r="C543"/>
  <c r="C544" s="1"/>
  <c r="C476" s="1"/>
  <c r="C338"/>
  <c r="C339" s="1"/>
  <c r="C412"/>
  <c r="C233"/>
  <c r="C117"/>
  <c r="C118" s="1"/>
  <c r="C119" s="1"/>
  <c r="C81"/>
  <c r="C96"/>
  <c r="C120" l="1"/>
  <c r="C121" s="1"/>
  <c r="F588"/>
  <c r="H587" s="1"/>
  <c r="G32" i="17"/>
  <c r="G23"/>
  <c r="C19" i="21"/>
  <c r="G26" i="17"/>
  <c r="C22" i="21"/>
  <c r="G25" i="17"/>
  <c r="C21" i="21"/>
  <c r="E177" i="1"/>
  <c r="C553"/>
  <c r="C460"/>
  <c r="E460" s="1"/>
  <c r="H475"/>
  <c r="G31" i="17"/>
  <c r="F177" i="1"/>
  <c r="G177" s="1"/>
  <c r="C177"/>
  <c r="C82"/>
  <c r="C83" s="1"/>
  <c r="C84" s="1"/>
  <c r="C97"/>
  <c r="C98" s="1"/>
  <c r="C99" s="1"/>
  <c r="C134"/>
  <c r="C135" s="1"/>
  <c r="G34" i="17" l="1"/>
  <c r="C136" i="1"/>
  <c r="C137" s="1"/>
  <c r="C138" s="1"/>
  <c r="C139" s="1"/>
  <c r="C100"/>
  <c r="C101" s="1"/>
  <c r="C85"/>
  <c r="C86" s="1"/>
  <c r="C87" s="1"/>
  <c r="E87" s="1"/>
  <c r="D87" s="1"/>
  <c r="C122"/>
  <c r="C102" l="1"/>
  <c r="C103" s="1"/>
  <c r="C12" i="21" s="1"/>
  <c r="C14"/>
  <c r="C88" i="1"/>
  <c r="C123"/>
  <c r="C619" l="1"/>
  <c r="D619" s="1"/>
  <c r="G16" i="17"/>
  <c r="E69" i="1"/>
  <c r="G17" i="17"/>
  <c r="C13" i="21"/>
  <c r="C11"/>
  <c r="C69" i="1"/>
  <c r="C621" s="1"/>
  <c r="C622" l="1"/>
  <c r="D620"/>
  <c r="G14" i="17"/>
  <c r="H34"/>
  <c r="H17" l="1"/>
  <c r="H31"/>
  <c r="H16" l="1"/>
  <c r="H14" s="1"/>
  <c r="H19" l="1"/>
  <c r="H26" l="1"/>
  <c r="H25" l="1"/>
  <c r="H23"/>
  <c r="H27" l="1"/>
  <c r="H24" l="1"/>
</calcChain>
</file>

<file path=xl/comments1.xml><?xml version="1.0" encoding="utf-8"?>
<comments xmlns="http://schemas.openxmlformats.org/spreadsheetml/2006/main">
  <authors>
    <author>Автор</author>
  </authors>
  <commentList>
    <comment ref="Y5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материалы - 10 % в год, замена лампочек уличного освещения  - все раз в год</t>
        </r>
      </text>
    </comment>
  </commentList>
</comments>
</file>

<file path=xl/sharedStrings.xml><?xml version="1.0" encoding="utf-8"?>
<sst xmlns="http://schemas.openxmlformats.org/spreadsheetml/2006/main" count="892" uniqueCount="496">
  <si>
    <t>Вихідні дані</t>
  </si>
  <si>
    <t>Кліськість квартир, шт</t>
  </si>
  <si>
    <t>Кількість вентканалів, шт</t>
  </si>
  <si>
    <t>Кількість поверхів</t>
  </si>
  <si>
    <t>Протяжність мереж для гідравлічного випробування, м.п.</t>
  </si>
  <si>
    <t>№ з/п</t>
  </si>
  <si>
    <t>засувки</t>
  </si>
  <si>
    <t>шт.</t>
  </si>
  <si>
    <t>Сер.величина використання ел.енергії для місць заг. користування, кВт</t>
  </si>
  <si>
    <t>Прибирання прибудинкової території</t>
  </si>
  <si>
    <t>Прибирання прибудинкової території з удосконаленим покриттям</t>
  </si>
  <si>
    <t>Клас території 2</t>
  </si>
  <si>
    <t>Витрати праці двірника - 0,25 люд./год (код 1-21-2)</t>
  </si>
  <si>
    <t>Прибирання газонів від випадкового сміття</t>
  </si>
  <si>
    <t>Витрати праці двірника - 0,13 люд./год (код 1-34-3)</t>
  </si>
  <si>
    <t>Чисельність двірників, чол.</t>
  </si>
  <si>
    <t>Скошування трави</t>
  </si>
  <si>
    <t>Чисельність садівників, чол.</t>
  </si>
  <si>
    <t>Прибуток 10%</t>
  </si>
  <si>
    <t>Всього витрат</t>
  </si>
  <si>
    <t>в тому числі м2 загальної площі</t>
  </si>
  <si>
    <t>Обслуговування димових та вентиляційних каналів</t>
  </si>
  <si>
    <t>прочищення засмічених вентиляційних каналів</t>
  </si>
  <si>
    <t>Чисельність двірника, чол.</t>
  </si>
  <si>
    <t>Прибирання підвалу, технічних поверхів та покрівлі</t>
  </si>
  <si>
    <t>Прибирання гориш, підвалів</t>
  </si>
  <si>
    <t>ТАРИФ на м2</t>
  </si>
  <si>
    <t>Витрати праці садівника - 0,28 люд./год (код 1-28-4)</t>
  </si>
  <si>
    <t>мотокоса (тример) - 0,26 маш./год (код 1-28-4)</t>
  </si>
  <si>
    <t>Кількість машино-годин на місяць</t>
  </si>
  <si>
    <t>витрати ПММ матеріалів</t>
  </si>
  <si>
    <t>1.1.</t>
  </si>
  <si>
    <t>1.2.</t>
  </si>
  <si>
    <t>1.3.</t>
  </si>
  <si>
    <t>1.4.</t>
  </si>
  <si>
    <t>Витрати праці двірника - 3,8 люд./год (код 1-39-1)</t>
  </si>
  <si>
    <t>Спецодяг, інвентар, матеріали (витрати згідно НАКАЗУ Про затвердження Норм безоплатної видачі спеціального одягу, спеціального взуття та інших засобів індивідуального захисту працівникам житлово-комунального господарства 10 грудня 2012 року № 1389 та Наказу №603 Про затвердження Норм часу та матеріально-технічних ресурсів, норм обслуговування для робітників при утриманні будинків, споруд і прибудинкових територій) (грн.* чисельність)</t>
  </si>
  <si>
    <t>Прибирання прибудинкової території без покриття</t>
  </si>
  <si>
    <t>Витрати праці двірника - 0,37 люд./год (код 1-21-5)</t>
  </si>
  <si>
    <t>Загальновиробничі витрати</t>
  </si>
  <si>
    <t>Адміністративні витрати</t>
  </si>
  <si>
    <t>Всього собівартість</t>
  </si>
  <si>
    <t>Всього прямих витрат</t>
  </si>
  <si>
    <t>Витрати праці робітника з комплексного прибирання 2 розряд - 0,41 люд./год (код 1-56-1)</t>
  </si>
  <si>
    <t>Чисельність робітника з комплексного прибирання 2 розряд, чол.</t>
  </si>
  <si>
    <t>Заробітна плата садівника 4 розряду (1378*1,2*1,35)=2232,36грн.* чисельність</t>
  </si>
  <si>
    <t>Заробітна плата двірників (1378*1,2*1,2)=1984,32 грн.* чисельність</t>
  </si>
  <si>
    <t>Заробітна плата двірника (1378*1,2*1,2)=1984,32 грн* чисельність</t>
  </si>
  <si>
    <t>Заробітна плата робітника з комплексного прибирання 2 розряд (1378*1,2*1,08*1,3)=2321,65 грн.* чисельність</t>
  </si>
  <si>
    <t>Технічне обслуговування ліфтів</t>
  </si>
  <si>
    <t>Обслуговування систем диспетчеризації</t>
  </si>
  <si>
    <t>холодного водопостачання</t>
  </si>
  <si>
    <t>огляд трубопроводів системи холодного водопостачання</t>
  </si>
  <si>
    <t>Протяжність мереж - _____ пог.м</t>
  </si>
  <si>
    <t>Витрати праці слюсаря-сантехніка - 4 розряду - 1,2 люд/год (код 1-75-1)</t>
  </si>
  <si>
    <t>5.1.</t>
  </si>
  <si>
    <t>5.2.</t>
  </si>
  <si>
    <t>Витрати праці слюсаря-сантехніка - 4 розряду - 1,1 люд/год (код 1-76-1)</t>
  </si>
  <si>
    <t>заміна прокладок у фланцевих зєднаннях</t>
  </si>
  <si>
    <t>5.3.</t>
  </si>
  <si>
    <t>паронітові прокладки, діаметр 50 мм</t>
  </si>
  <si>
    <t>5.4.</t>
  </si>
  <si>
    <t>Витрати праці слюсаря-сантехніка - 3,5 розряду - 0,59 люд/год (код 1-92-1)</t>
  </si>
  <si>
    <t>паронітові прокладки, діаметр 100 мм</t>
  </si>
  <si>
    <t>Витрати праці слюсаря-сантехніка - 3,5 розряду - 0,83 люд/год (код 1-92-2)</t>
  </si>
  <si>
    <t>5.5.</t>
  </si>
  <si>
    <t>паронітові прокладки, діаметр 125 мм</t>
  </si>
  <si>
    <t>Витрати праці слюсаря-сантехніка - 3,5 розряду - 1 люд/год (код 1-92-3)</t>
  </si>
  <si>
    <t>5.6.</t>
  </si>
  <si>
    <t>паронітові прокладки, діаметр 150 мм</t>
  </si>
  <si>
    <t>Витрати праці слюсаря-сантехніка - 3,5 розряду - 1,21 люд/год (код 1-92-4)</t>
  </si>
  <si>
    <t>5.7.</t>
  </si>
  <si>
    <t>паронітові прокладки, діаметр 200 мм</t>
  </si>
  <si>
    <t>Витрати праці слюсаря-сантехніка - 3,5 розряду - 1,48 люд/год (код 1-92-5)</t>
  </si>
  <si>
    <t>5.8.</t>
  </si>
  <si>
    <t>кількість гумових прокладок, діаметр 50 мм</t>
  </si>
  <si>
    <t>Витрати праці слюсаря-сантехніка - 3,5 розряду - 0,58 люд/год (код 1-92-6)</t>
  </si>
  <si>
    <t>5.9.</t>
  </si>
  <si>
    <t>кількість гумових прокладок, діаметр 100 мм</t>
  </si>
  <si>
    <t>Витрати праці слюсаря-сантехніка - 3,5 розряду - 0,83 люд/год (код 1-92-7)</t>
  </si>
  <si>
    <t>Витрати праці слюсаря-сантехніка - 3,5 розряду - 1 люд/год (код 1-92-8)</t>
  </si>
  <si>
    <t>5.10.</t>
  </si>
  <si>
    <t>5.11.</t>
  </si>
  <si>
    <t>5.12.</t>
  </si>
  <si>
    <t>ущільнення згону</t>
  </si>
  <si>
    <t>5.13.</t>
  </si>
  <si>
    <t>Витрати праці слюсаря-сантехніка - 2 розряду - 0,35 люд/год (код 1-97-2)</t>
  </si>
  <si>
    <t>поновлення сальникових ущільнень на вентилях</t>
  </si>
  <si>
    <t>5.14.</t>
  </si>
  <si>
    <t>діаметр труб умовного проходу до 50 мм</t>
  </si>
  <si>
    <t>Витрати праці слюсаря-сантехніка - 3 розряду - 0,35 люд/год (код 1-99-1)</t>
  </si>
  <si>
    <t>тимчасове зашпарування свища (тріщини)</t>
  </si>
  <si>
    <t>5.15.</t>
  </si>
  <si>
    <t>Витрати праці слюсаря-сантехніка - 2 розряду - 0,30 люд/год (код 1-100-1)</t>
  </si>
  <si>
    <t>діаметр труб умовного проходу до 80 мм</t>
  </si>
  <si>
    <t>Витрати праці слюсаря-сантехніка - 2 розряду - 0,45 люд/год (код 1-100-2)</t>
  </si>
  <si>
    <t>діаметр труб умовного проходу до 110 мм</t>
  </si>
  <si>
    <t>Витрати праці слюсаря-сантехніка - 2 розряду - 0,55 люд/год (код 1-100-3)</t>
  </si>
  <si>
    <t>усунення повітряної пробки</t>
  </si>
  <si>
    <t>у стояку</t>
  </si>
  <si>
    <t>Витрати праці слюсаря-сантехніка - 3 розряду - 0,6 люд/год (код 1-101-1)</t>
  </si>
  <si>
    <t>водовідведення</t>
  </si>
  <si>
    <t>Чисельність слюсаря-сантехніка - 2 розряду, чол.</t>
  </si>
  <si>
    <t>Чисельність слюсаря-сантехніка - 4 розряду, чол.</t>
  </si>
  <si>
    <t>Чисельність слюсаря-сантехніка - 3,5 розряду, чол.</t>
  </si>
  <si>
    <t>Чисельність слюсаря-сантехніка - 3 розряду, чол.</t>
  </si>
  <si>
    <t>Заробітна плата двірників (1378*1,2*1,2*1,35)=2678,83 грн.* чисельність</t>
  </si>
  <si>
    <t>огляд системи водовідведення</t>
  </si>
  <si>
    <t>Витрати праці слюсаря-сантехніка - 4 розряду - 2,2 люд/год (код 1-79-1)</t>
  </si>
  <si>
    <t>усунення засмічення системи  водовідведення</t>
  </si>
  <si>
    <t>система водовідведення, діаметр умовного проходу до 100 мм</t>
  </si>
  <si>
    <t>Витрати праці слюсаря-сантехніка - 3 розряду - 1,4 люд/год (код 1-91-5)</t>
  </si>
  <si>
    <t>Витрати праці слюсаря-сантехніка - 3 розряду - 0,80 люд/год (код 1-95-1)</t>
  </si>
  <si>
    <t>централізованого опалення</t>
  </si>
  <si>
    <t>огляд трубопроводів системи  централізованого опалення</t>
  </si>
  <si>
    <t>огляд ізоляції трубопроводів системи  централізованого опалення</t>
  </si>
  <si>
    <t>огляд запірної та регулювальної арматури системи централізованого опалення</t>
  </si>
  <si>
    <t>Витрати праці слюсаря-сантехніка - 4 розряду - 8,8 люд/год (код 1-78-1)</t>
  </si>
  <si>
    <t>Витрати праці слюсаря-сантехніка - 4 розряду - 0,5 люд/год (код 1-80-1)</t>
  </si>
  <si>
    <t>5.16.</t>
  </si>
  <si>
    <t>консервація або розконсервація системи централізованого опалення</t>
  </si>
  <si>
    <t>5.17.</t>
  </si>
  <si>
    <t>Витрати праці слюсаря-сантехніка - 3,2 розряду - 0,48 люд/год (код 1-81-1)</t>
  </si>
  <si>
    <t>Витрати праці слюсаря-сантехніка - 3,2 розряду - 1,73 люд/год (код 1-81-2)</t>
  </si>
  <si>
    <t>гідравлічні випробування внутрішньобудинкових мереж</t>
  </si>
  <si>
    <t>5.18.</t>
  </si>
  <si>
    <t>Витрати праці слюсаря-сантехніка - 4,5 розряду - 2,2 люд/год (код 1-82-1)</t>
  </si>
  <si>
    <t>Витрати праці слюсаря-сантехніка - 4,5 розряду - 1,5 люд/год (код 1-82-2)</t>
  </si>
  <si>
    <t>кількість вузлів, шт (випробування вузлів управління)</t>
  </si>
  <si>
    <t>Протяжність мереж - _____ пог.м. (випробування трубопроводів)</t>
  </si>
  <si>
    <t>Протяжність мереж - _____ пог.м. (розконсервація)</t>
  </si>
  <si>
    <t>Протяжність мереж - _____ пог.м. (консервація)</t>
  </si>
  <si>
    <t>5.19.</t>
  </si>
  <si>
    <t>Витрати праці слюсаря-сантехніка -3,5 розряду - 1 люд/год (код 1-92-8)</t>
  </si>
  <si>
    <t>5.20.</t>
  </si>
  <si>
    <t>5.21.</t>
  </si>
  <si>
    <t>5.22.</t>
  </si>
  <si>
    <t>відновлення зруйнованої теплової ізоляції</t>
  </si>
  <si>
    <t>5.23.</t>
  </si>
  <si>
    <t>5.24.</t>
  </si>
  <si>
    <t>кількість м.кв. відновлюваної ділянки</t>
  </si>
  <si>
    <t>Витрати праці слюсаря-сантехніка - 3 розряду - 1,29 люд/год (код 1-107-1)</t>
  </si>
  <si>
    <t>Чисельність слюсаря-сантехніка - 4,5 розряду, чол.</t>
  </si>
  <si>
    <t>Чисельність слюсаря-сантехніка - 3,2 розряду, чол.</t>
  </si>
  <si>
    <t>зливової каналізації</t>
  </si>
  <si>
    <t>гарячого водопостачання</t>
  </si>
  <si>
    <t xml:space="preserve">огляд трубопроводів системи гарячого водопостачання </t>
  </si>
  <si>
    <t xml:space="preserve">огляд ізоляції трубопроводів системи гарячого водопостачання </t>
  </si>
  <si>
    <t>5.25.</t>
  </si>
  <si>
    <t>5.27.</t>
  </si>
  <si>
    <t>5.29.</t>
  </si>
  <si>
    <t>5.30.</t>
  </si>
  <si>
    <t>огляд системи зливової каналізації</t>
  </si>
  <si>
    <t xml:space="preserve">Протяжність мереж - _____ пог.м. </t>
  </si>
  <si>
    <t>усунення засмічення системи зливової каналізації</t>
  </si>
  <si>
    <t>Витрати праці слюсаря-сантехніка - 3 розряду - 0,2 люд/год (код 1-91-5)</t>
  </si>
  <si>
    <t>в т.ч. на м2 загальної площі</t>
  </si>
  <si>
    <t xml:space="preserve">Дератизація </t>
  </si>
  <si>
    <t>Дезинсекція</t>
  </si>
  <si>
    <t>6.</t>
  </si>
  <si>
    <t>7.</t>
  </si>
  <si>
    <t>Чисельність пічників 3 розряду, чол.</t>
  </si>
  <si>
    <t>Огляд ввідно-розподільного пристрою</t>
  </si>
  <si>
    <t>Огляд стану освітлювальної арматури</t>
  </si>
  <si>
    <t xml:space="preserve">Огляд електрощитової </t>
  </si>
  <si>
    <t>Заміна перегорілої лампи розжарювання</t>
  </si>
  <si>
    <t>Заміна стінного або стельового патрона</t>
  </si>
  <si>
    <t>9.1.</t>
  </si>
  <si>
    <t>Огляд електропроводки і арматури в підвалах та інших приміщеннях (крім електрощитових)</t>
  </si>
  <si>
    <t>9.2.</t>
  </si>
  <si>
    <t>Витрати праці електромонтера 4 розряду - 0,13 люд/год (код 1-120-1)</t>
  </si>
  <si>
    <t>Витрати праці електромонтера 4 розряду- 0,10 люд/год (код 1-120-2)</t>
  </si>
  <si>
    <t>9.3.</t>
  </si>
  <si>
    <t>Витрати праці електромонтера 4 розряду - 0,05 люд/год (код 1-120-3)</t>
  </si>
  <si>
    <t>9.4.</t>
  </si>
  <si>
    <t>Витрати праці електромонтера 3 розряду - 0,3 люд/год (код 1-120-5)</t>
  </si>
  <si>
    <t>Витрати праці електромонтера 4 розряду - 0,1 люд/год (код 1-122-1)</t>
  </si>
  <si>
    <t>9.5.</t>
  </si>
  <si>
    <t>Заміна розбитої лампи розжарювання</t>
  </si>
  <si>
    <t>Витрати праці електромонтера 3 розряду - 0,2 люд/год (код 1-122-3)</t>
  </si>
  <si>
    <t>Протяжність пошкоджених ділянок електричних мереж, число і переріз жил в проводі: 2х1,5 мм-2; 2х2,5 мм-2 (1 м проводу)</t>
  </si>
  <si>
    <t>Заміна пошкоджених ділянок електричних мереж, число і переріз жил в проводі: 2х1,5 мм-2; 2х2,5 мм-2</t>
  </si>
  <si>
    <t>Витрати праці електромонтера 3 розряду - 0,2 люд/год (код 1-121-3)</t>
  </si>
  <si>
    <t>9.7.</t>
  </si>
  <si>
    <t>9.8.</t>
  </si>
  <si>
    <t>кількість ламп розжарювання,шт.</t>
  </si>
  <si>
    <t>Витрати праці електромонтера 2 розряду - 2,6 люд/год (код 1-123-1)</t>
  </si>
  <si>
    <t>9.9.</t>
  </si>
  <si>
    <t>кількість патронів,шт. (при відкритій арматурі)</t>
  </si>
  <si>
    <t>обслуговування і заміна вимикачів і розеток</t>
  </si>
  <si>
    <t>обслуговування вимикача,шт.</t>
  </si>
  <si>
    <t>заміна вимикача,шт.</t>
  </si>
  <si>
    <t>Витрати праці електромонтера 4 розряду - 0,25 люд/год (код 1-124-1)</t>
  </si>
  <si>
    <t>Витрати праці електромонтера 3 розряду - 0,55 люд/год (код 1-124-2)</t>
  </si>
  <si>
    <t>9.10.</t>
  </si>
  <si>
    <t>заміна запобіжників, автоматичних вимикачів, ключів і кнопок керування</t>
  </si>
  <si>
    <t>9.11.</t>
  </si>
  <si>
    <t>заміна запобіжників,шт.</t>
  </si>
  <si>
    <t>Витрати праці електромонтера 3 розряду - 0,75 люд/год (код 1-125-1)</t>
  </si>
  <si>
    <t>заміна автоматичних вимикачів,шт.</t>
  </si>
  <si>
    <t>Витрати праці електромонтера 3 розряду - 10,6 люд/год (код 1-125-2)</t>
  </si>
  <si>
    <t>9.12.</t>
  </si>
  <si>
    <t>Чисельність електромонтера- 4 розряду, чол.</t>
  </si>
  <si>
    <t>Чисельність електромонтера - 3 розряду, чол.</t>
  </si>
  <si>
    <t>Чисельність електромонтера - 2 розряду, чол.</t>
  </si>
  <si>
    <t>Заробітна плата двірників (1378*1,2*1,35*1,25)=2790,45 грн.* чисельність</t>
  </si>
  <si>
    <t>Заробітна плата двірників (1378*1,2*1,2*1,25)=2480,40 грн.* чисельність</t>
  </si>
  <si>
    <t>Прибирання і вивезення снігу, посипання  частини прибудинкової території, призначеної для проходу та проїзду, протиожеледними сумішами</t>
  </si>
  <si>
    <t>підмітання снігу, який щойно випав, товщиною шару до 2 см</t>
  </si>
  <si>
    <t xml:space="preserve">Одиниці виміру - 100 м2  </t>
  </si>
  <si>
    <t>Витрати праці двірника - 0,22 люд/год (код 1-1-2)</t>
  </si>
  <si>
    <t>зсування снігу, який щойно випав, товщиною понад 2 см</t>
  </si>
  <si>
    <t>11.1.</t>
  </si>
  <si>
    <t>11.2.</t>
  </si>
  <si>
    <t>11.3.</t>
  </si>
  <si>
    <t>посипання території</t>
  </si>
  <si>
    <t>11.4.</t>
  </si>
  <si>
    <t>Витрати праці двірника - 0,24 люд/год (код 1-20-2)</t>
  </si>
  <si>
    <t>Середня величина використаної електроенергії для місць загального користування</t>
  </si>
  <si>
    <t>в т.ч. на 1 м2 загальної площі</t>
  </si>
  <si>
    <t>Експлуатація номерних знаків на будинках</t>
  </si>
  <si>
    <t>Освітлення місць загального користування і підвалів та підкачування води</t>
  </si>
  <si>
    <t>Енергопостачання ліфтів</t>
  </si>
  <si>
    <t>Середня величина використаної електроенергії для ліфтів</t>
  </si>
  <si>
    <t>РАЗОМ ВИТРАТ</t>
  </si>
  <si>
    <t xml:space="preserve"> Оренда автомобіля для вивезення листя 850 грн./рейс (10 куб.м.)</t>
  </si>
  <si>
    <t>загальвироб</t>
  </si>
  <si>
    <t>адмін</t>
  </si>
  <si>
    <t>Витрати праці пічника 3 розряду - 1,8 люд./год (код 1-114-1)</t>
  </si>
  <si>
    <t>Заробітна плата пічників 3 розряду   (1378*1,2*1,2*1,25)=2480,40 грн.*чисельність</t>
  </si>
  <si>
    <t>Одиниця виміру - 100 м2 (1 раз на місяць *4 місяця)</t>
  </si>
  <si>
    <t>0,8 витрати</t>
  </si>
  <si>
    <t>22 грн</t>
  </si>
  <si>
    <t>кількість електрощитових,шт.</t>
  </si>
  <si>
    <t>підготування суміші піску з хлоридами</t>
  </si>
  <si>
    <t>кількість суміші піску з хлоридами, куб.м.</t>
  </si>
  <si>
    <t>транспортування суміші піску з хлоридами на візку або санчатах з місця складування до місця посипання</t>
  </si>
  <si>
    <t>11.5.</t>
  </si>
  <si>
    <t>Витрати праці двірника - 8,33 люд/год (код 1-18-1)</t>
  </si>
  <si>
    <t>кількість номерних знаків,шт.</t>
  </si>
  <si>
    <t>грудень+березень</t>
  </si>
  <si>
    <t>Площа прибудинкової території, яка прибирається від снігу в зимовий період двірником</t>
  </si>
  <si>
    <t>Площа прибудинкової території, яка прибирається від снігу в зимовий період механізовано</t>
  </si>
  <si>
    <t xml:space="preserve">Площа прибудинкової території, яка посипається в зимовий період </t>
  </si>
  <si>
    <t>Витрати праці двірника - 0,9 люд/год (код 1-1-2)</t>
  </si>
  <si>
    <t>сіль</t>
  </si>
  <si>
    <t>пісок</t>
  </si>
  <si>
    <t>суміш куб.м. на 100м2</t>
  </si>
  <si>
    <t>жовтень+листопад</t>
  </si>
  <si>
    <t>1 куб м. - 1,2 тн</t>
  </si>
  <si>
    <t>1300 гнр за 1 т</t>
  </si>
  <si>
    <t>Прибирання газонів від листя</t>
  </si>
  <si>
    <t>Скошування трави ручними механічними газонокасарками (мотокосами, тримерми), складання на краю ділянки</t>
  </si>
  <si>
    <t>Прибирання підвалів, технічних поверхів та покрівлі</t>
  </si>
  <si>
    <t>2 рази на рік</t>
  </si>
  <si>
    <t>Дератизація</t>
  </si>
  <si>
    <t>Дезінсекція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</si>
  <si>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</si>
  <si>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 xml:space="preserve">до рішення виконавчого комітету                                        від                        № </t>
  </si>
  <si>
    <t xml:space="preserve">Тариф на послуги </t>
  </si>
  <si>
    <t xml:space="preserve">з утримання будинку і споруд та прибудинкової території </t>
  </si>
  <si>
    <t>Перелік послуг</t>
  </si>
  <si>
    <t>Періодичність надання  послуги</t>
  </si>
  <si>
    <t>рік</t>
  </si>
  <si>
    <t>цілодобово</t>
  </si>
  <si>
    <t>Технічне обслуговування внутрішньо-будинкових систем: гарячого та холодного водопостачання, водовідведення, централізованого опалення та зливової каналізації</t>
  </si>
  <si>
    <t>щоденно</t>
  </si>
  <si>
    <t>відповідно до графіку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</si>
  <si>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прибудинковій території (в тому числі спортивних, дитячих та інших майданчиків)</t>
  </si>
  <si>
    <t>відповідно до плану</t>
  </si>
  <si>
    <t>Разом, з єдиним податком</t>
  </si>
  <si>
    <r>
      <t>*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послуги сплачуються по фактичному використанню згідно рахунків ПАТ «Сумиобленерго»</t>
    </r>
  </si>
  <si>
    <t>Тариф за 1 кв. м. загальної площі, грн.</t>
  </si>
  <si>
    <t>Строк надання послуги</t>
  </si>
  <si>
    <r>
      <t>Освітлення місць загального користування і підвалів та підкачування води</t>
    </r>
    <r>
      <rPr>
        <vertAlign val="superscript"/>
        <sz val="11"/>
        <color theme="1"/>
        <rFont val="Times New Roman"/>
        <family val="1"/>
        <charset val="204"/>
      </rPr>
      <t>*</t>
    </r>
  </si>
  <si>
    <r>
      <t>Енергопостачання ліфтів</t>
    </r>
    <r>
      <rPr>
        <vertAlign val="superscript"/>
        <sz val="11"/>
        <color theme="1"/>
        <rFont val="Times New Roman"/>
        <family val="1"/>
        <charset val="204"/>
      </rPr>
      <t>*</t>
    </r>
  </si>
  <si>
    <t>4 рази на рік в літній сезон</t>
  </si>
  <si>
    <t>2 рази на рік в осінній період</t>
  </si>
  <si>
    <t>2.</t>
  </si>
  <si>
    <t>1.</t>
  </si>
  <si>
    <t>3.</t>
  </si>
  <si>
    <t>4.</t>
  </si>
  <si>
    <t>5.</t>
  </si>
  <si>
    <t>8.</t>
  </si>
  <si>
    <t>9.</t>
  </si>
  <si>
    <t>10.</t>
  </si>
  <si>
    <t>11.</t>
  </si>
  <si>
    <t>2 рази на тиждень</t>
  </si>
  <si>
    <t>12.</t>
  </si>
  <si>
    <t>13.</t>
  </si>
  <si>
    <t>14.</t>
  </si>
  <si>
    <r>
      <t xml:space="preserve">Примітка: </t>
    </r>
    <r>
      <rPr>
        <sz val="10"/>
        <color theme="1"/>
        <rFont val="Times New Roman"/>
        <family val="1"/>
        <charset val="204"/>
      </rPr>
      <t>тариф встановлений на підставі розрахункових матеріалів, наданих ТОВ "Керуюча компанія "ДомКом Суми"</t>
    </r>
  </si>
  <si>
    <t>РОЗРАХУНОК</t>
  </si>
  <si>
    <t>№ п/п</t>
  </si>
  <si>
    <t>Сер.величина використання ел.енергії для ліфтів, кВт</t>
  </si>
  <si>
    <t xml:space="preserve">Тариф на послуги з утримання будинку і споруд та прибудинкової території ТОВ "Керуюча компанія "ДомКом Суми" </t>
  </si>
  <si>
    <t xml:space="preserve">Директор ТОВ "Керуюча компанія "ДомКом Суми" </t>
  </si>
  <si>
    <t>Б.А.Здϵльнiк</t>
  </si>
  <si>
    <t>водопідігріві +++++</t>
  </si>
  <si>
    <t xml:space="preserve">100% від протяжності </t>
  </si>
  <si>
    <t>кран до 30</t>
  </si>
  <si>
    <t>кількість шарових кранів, діаметр труб умовного проходу до 30 мм</t>
  </si>
  <si>
    <t>кількість засувок (гумових прокладок), діаметр до 125 мм</t>
  </si>
  <si>
    <t>кількість шарових кранів діаметр труб умовного проходу до 30 мм</t>
  </si>
  <si>
    <t xml:space="preserve">огляд водопідігрівачів </t>
  </si>
  <si>
    <t>відновлення зруйнованої ізоляції</t>
  </si>
  <si>
    <t>Аварійне обслуговування 0,13 грн.* загальну площу будинку</t>
  </si>
  <si>
    <t>Кількість запірної арматури (кран шаровий),шт. Ø 20</t>
  </si>
  <si>
    <t>Кількість запірної арматури (кран шаровий),шт. Ø 25</t>
  </si>
  <si>
    <t>Кількість запірної арматури (засувки),шт. Ø 50</t>
  </si>
  <si>
    <t>Довжина трубопроводів системи гарячого водопостачання, пог.м. Ø 25</t>
  </si>
  <si>
    <t>Довжина трубопроводів системи гарячого водопостачання, пог.м. Ø 40</t>
  </si>
  <si>
    <t>Довжина трубопроводів системи гарячого водопостачання, пог.м. Ø 57</t>
  </si>
  <si>
    <t>Кількість запірної арматури (засувки),шт. Ø 80</t>
  </si>
  <si>
    <t>Довжина трубопроводів системи водовідведення, пог.м. Ø 100</t>
  </si>
  <si>
    <t>кількість стояків смотреть по кранам діаметр стояка</t>
  </si>
  <si>
    <t>Довжина трубопроводів системи зливної каналізації, пог.м. Ø 100</t>
  </si>
  <si>
    <t>діаметр труб умовного проходу до 100 мм</t>
  </si>
  <si>
    <t>загальна площа, м2</t>
  </si>
  <si>
    <t>кількість поверхів</t>
  </si>
  <si>
    <t>ТОВ "Керуюча компанія "ДомКом Суми"</t>
  </si>
  <si>
    <t>Довжина трубопроводів системи центрального опалення, пог.м. Ø 20</t>
  </si>
  <si>
    <t>Кількість запірної арматури (кран шаровий),шт. Ø 15</t>
  </si>
  <si>
    <t>кількість засувок гумових прокладок, діаметр до 125 мм</t>
  </si>
  <si>
    <t>кількість засувок, діаметр труб умовного проходу до 50 мм</t>
  </si>
  <si>
    <t>Кількість водопідігрівачів,шт.</t>
  </si>
  <si>
    <t>кількість водопідігрівачів трубчастих</t>
  </si>
  <si>
    <t>кількість ділянок для вимірювання опору електроізоляції</t>
  </si>
  <si>
    <t>внутрішньобудинкових електричних мереж</t>
  </si>
  <si>
    <t>Кількість  світильників зовнішнього освітлення,шт</t>
  </si>
  <si>
    <t>Кількість  патронів,шт</t>
  </si>
  <si>
    <t>Кількість  вимикачів,шт</t>
  </si>
  <si>
    <t>Кількість запобіжників,шт</t>
  </si>
  <si>
    <t>Кількість  автоматів 40 А,шт</t>
  </si>
  <si>
    <t xml:space="preserve">Протяжність електропроводки АПВ 4, м. </t>
  </si>
  <si>
    <t>Протяжність електропроводки  АППВ 2*2,5, м.</t>
  </si>
  <si>
    <t>Кількість ділянок для вимірювання опору електроізоляції</t>
  </si>
  <si>
    <t>Кількість лічильників, шт.</t>
  </si>
  <si>
    <t>протяжність електропроводки, м</t>
  </si>
  <si>
    <t>Витрати праці електромонтера 3 розряду - 5,6 люд/год (код 1-131-1)</t>
  </si>
  <si>
    <t>1-121-3</t>
  </si>
  <si>
    <t>1-123-1</t>
  </si>
  <si>
    <t>1-124-2</t>
  </si>
  <si>
    <t>1-125-1</t>
  </si>
  <si>
    <t>1-125-2</t>
  </si>
  <si>
    <t>Витрати на матеріали в розрахунку на місяць, грн. (без урахування електролампочек)</t>
  </si>
  <si>
    <t>потреба проводу ізольованого для заміни пошкоджених ділянок електромереж (гр.6*1,02*1раз+гр.10*1,02 *1 раз)</t>
  </si>
  <si>
    <t>1,02 пог.м.          /1 м проводу</t>
  </si>
  <si>
    <t>м.пог.</t>
  </si>
  <si>
    <t>грн.</t>
  </si>
  <si>
    <t>кв.м.</t>
  </si>
  <si>
    <t>потреба в патроні електричному (шт.*10шт./10шт.*2рази)</t>
  </si>
  <si>
    <t>потреба в папері шліфувальному для заміни патрону (шт.*0,005.*2рази)</t>
  </si>
  <si>
    <t>потреба в  вимикачі для заміни (шт.*1раз)</t>
  </si>
  <si>
    <t>потреба в папері шліфувальному для заміни вимикача (шт*0,005.*1раз)</t>
  </si>
  <si>
    <t>Витрати на папір шліфувальний на місяць (гр.10*2,86грн./12міс.)</t>
  </si>
  <si>
    <t>потреба в запобіжниках для заміни (шт./10шт.*10шт.)</t>
  </si>
  <si>
    <t>Витрати на папір шліфувальний на місяць (гр.14*2,86грн./12міс.)</t>
  </si>
  <si>
    <t>потреба в автоматичному вимикачі для заміни (шт./10шт.*10шт.)</t>
  </si>
  <si>
    <t>потреба в папері шліфувальному для заміни запобіжників (шт.*0,006*1раз)</t>
  </si>
  <si>
    <t>потреба в папері шліфувальному для заміни автомата (шт.*0,005*1раз)</t>
  </si>
  <si>
    <t>Витрати на папір шліфувальний на місяць (гр.18*2,86грн./12міс.)</t>
  </si>
  <si>
    <t>Спецодяг, інвентар (витрати згідно НАКАЗУ Про затвердження Норм безоплатної видачі спеціального одягу, спеціального взуття та інших засобів індивідуального захисту працівникам житлово-комунального господарства 10 грудня 2012 року № 1389 та Наказу №603 Про затвердження Норм часу та матеріально-технічних ресурсів, норм обслуговування для робітників при утриманні будинків, споруд і прибудинкових територій) (грн.* чисельність)</t>
  </si>
  <si>
    <t>Оренда спеціалізованої техніки для зсування снігу 400 грн. маш.год.</t>
  </si>
  <si>
    <t>2 рази * 4 місяця *2 год/раз*400</t>
  </si>
  <si>
    <t>вартість обслуговування 1 ліфта</t>
  </si>
  <si>
    <t>кількість ліфтів в будинку</t>
  </si>
  <si>
    <t>вартість обслуговування 1 ліфта (системи диспетчеризації)</t>
  </si>
  <si>
    <t>аварійне обслуговування</t>
  </si>
  <si>
    <t>вартість робіт на місяць (термін експлуатації 5 років - 60 місяців) вартість 1 номерного знака 200 грн.</t>
  </si>
  <si>
    <t>Кількість елеваторних вузлів,шт.</t>
  </si>
  <si>
    <t>Протяжність мереж для консервація або розконсервація,м.п.</t>
  </si>
  <si>
    <t>закарбування розтруба на стояку системи водовідведення</t>
  </si>
  <si>
    <t>витрати струна косільна 2,4 мм</t>
  </si>
  <si>
    <t>Загальна площа, м2</t>
  </si>
  <si>
    <t>Прибирання території від опалого листя</t>
  </si>
  <si>
    <t>2.1.</t>
  </si>
  <si>
    <t xml:space="preserve">вимірювання опору ізоляції </t>
  </si>
  <si>
    <t>вартість обслуговування 1 кв.м.підвального приміщення без ПДВ (постанова КМУ № 662 від 11.05.2006 року)  2 рази на рік  1,48 грн.*1 м2 площі підвалу</t>
  </si>
  <si>
    <t>1 раз на 5 років</t>
  </si>
  <si>
    <t>Витрати праці двірника - 10,6 люд/год (код 1-19-1)</t>
  </si>
  <si>
    <t xml:space="preserve">Площа посипання </t>
  </si>
  <si>
    <t>тариф</t>
  </si>
  <si>
    <t>тариф по п/п</t>
  </si>
  <si>
    <t>кількість запірної  арматури (засувак+шарових кранів)</t>
  </si>
  <si>
    <t>Разом витрат</t>
  </si>
  <si>
    <t>тариф на 1 кВт,грн.</t>
  </si>
  <si>
    <t>кількість поверхів , шт</t>
  </si>
  <si>
    <t>патрон+світильн 10%</t>
  </si>
  <si>
    <t>патрон 20%</t>
  </si>
  <si>
    <t>вимикоч 4%</t>
  </si>
  <si>
    <t>запобіжних 30%</t>
  </si>
  <si>
    <t>атомат 30%</t>
  </si>
  <si>
    <t>кількість підїздів+поверхів</t>
  </si>
  <si>
    <t>Кількість електощитових, шт.</t>
  </si>
  <si>
    <t>Витрати на провід ізольований на місяць, (гр.1*2,10 грн.+гр.2*1,80 грн.)/12</t>
  </si>
  <si>
    <t>Витрати на патрони електричні на місяць (гр.4*8,00 грн./12міс.)</t>
  </si>
  <si>
    <t>Витрати на папір шліфувальний на місяць (гр.6*2,86 грн./12міс.)</t>
  </si>
  <si>
    <t>Витрати на вимикач на місяць (гр.8*45 грн./12міс.)</t>
  </si>
  <si>
    <t>Витрати на автоматичний вимикачвимикач на місяць (гр.12*35грн./12міс.)</t>
  </si>
  <si>
    <t>Витрати на автоматичний вимикачвимикач на місяць (гр.16*70,0 грн./12міс.)</t>
  </si>
  <si>
    <t xml:space="preserve">10 грн. </t>
  </si>
  <si>
    <t>Витрати на матеріали в розрахунку на місяць, грн. (електролампочек 60 кВт.)</t>
  </si>
  <si>
    <t>Площа квартир, м2</t>
  </si>
  <si>
    <t>Площа нежитлових приміщень, м.кв.</t>
  </si>
  <si>
    <t xml:space="preserve"> ізоляція  20% від протяжності 5,251 м2= 1 м.п.</t>
  </si>
  <si>
    <t>Заробітна плата двірників (1378*1,2*1,08*1,35)=2232,36 грн.* чисельність</t>
  </si>
  <si>
    <t>Одиниця вимірювання-протяжність трубопроводів системи водовідведення, 1 м.пог. 12 раз на рік (5% від протяжності)</t>
  </si>
  <si>
    <t>4 рази на тиждень</t>
  </si>
  <si>
    <r>
      <t>Площа прибирання, м</t>
    </r>
    <r>
      <rPr>
        <vertAlign val="superscript"/>
        <sz val="10"/>
        <rFont val="Times New Roman"/>
        <family val="1"/>
        <charset val="204"/>
      </rPr>
      <t>2</t>
    </r>
  </si>
  <si>
    <r>
      <t>Площа покрівлі, м</t>
    </r>
    <r>
      <rPr>
        <vertAlign val="superscript"/>
        <sz val="10"/>
        <rFont val="Times New Roman"/>
        <family val="1"/>
        <charset val="204"/>
      </rPr>
      <t>2</t>
    </r>
  </si>
  <si>
    <r>
      <t>Площа підвального приміщення, м</t>
    </r>
    <r>
      <rPr>
        <vertAlign val="superscript"/>
        <sz val="10"/>
        <rFont val="Times New Roman"/>
        <family val="1"/>
        <charset val="204"/>
      </rPr>
      <t>2</t>
    </r>
  </si>
  <si>
    <r>
      <t>Площа без 1 поверхів,м</t>
    </r>
    <r>
      <rPr>
        <vertAlign val="superscript"/>
        <sz val="10"/>
        <rFont val="Times New Roman"/>
        <family val="1"/>
        <charset val="204"/>
      </rPr>
      <t>2</t>
    </r>
  </si>
  <si>
    <r>
      <t>Площа сходових клітин, м</t>
    </r>
    <r>
      <rPr>
        <vertAlign val="superscript"/>
        <sz val="10"/>
        <rFont val="Times New Roman"/>
        <family val="1"/>
        <charset val="204"/>
      </rPr>
      <t>2</t>
    </r>
  </si>
  <si>
    <r>
      <t>Площа газонів, м</t>
    </r>
    <r>
      <rPr>
        <vertAlign val="superscript"/>
        <sz val="10"/>
        <rFont val="Times New Roman"/>
        <family val="1"/>
        <charset val="204"/>
      </rPr>
      <t>2</t>
    </r>
  </si>
  <si>
    <r>
      <t>Площа прибирання з удосконаленим покриттям, м</t>
    </r>
    <r>
      <rPr>
        <vertAlign val="superscript"/>
        <sz val="10"/>
        <rFont val="Times New Roman"/>
        <family val="1"/>
        <charset val="204"/>
      </rPr>
      <t>2</t>
    </r>
  </si>
  <si>
    <r>
      <t>Площа прибирання без покриттям, м</t>
    </r>
    <r>
      <rPr>
        <vertAlign val="superscript"/>
        <sz val="10"/>
        <rFont val="Times New Roman"/>
        <family val="1"/>
        <charset val="204"/>
      </rPr>
      <t>2</t>
    </r>
  </si>
  <si>
    <r>
      <t>Площа газонів для косіння трави, м</t>
    </r>
    <r>
      <rPr>
        <vertAlign val="superscript"/>
        <sz val="10"/>
        <rFont val="Times New Roman"/>
        <family val="1"/>
        <charset val="204"/>
      </rPr>
      <t>2</t>
    </r>
  </si>
  <si>
    <r>
      <t>Одиниця виміру - 100 м2 8</t>
    </r>
    <r>
      <rPr>
        <sz val="10"/>
        <color rgb="FFFF0000"/>
        <rFont val="Times New Roman"/>
        <family val="1"/>
        <charset val="204"/>
      </rPr>
      <t xml:space="preserve"> міс*12 раз/міс=96</t>
    </r>
  </si>
  <si>
    <r>
      <t xml:space="preserve">Одиниця виміру - 1 куб.м. </t>
    </r>
    <r>
      <rPr>
        <sz val="10"/>
        <color rgb="FFFF0000"/>
        <rFont val="Times New Roman"/>
        <family val="1"/>
        <charset val="204"/>
      </rPr>
      <t xml:space="preserve"> куб.м. за сезон </t>
    </r>
  </si>
  <si>
    <r>
      <t xml:space="preserve">Одиниця виміру - 100 м2 </t>
    </r>
    <r>
      <rPr>
        <sz val="10"/>
        <color rgb="FFFF0000"/>
        <rFont val="Times New Roman"/>
        <family val="1"/>
        <charset val="204"/>
      </rPr>
      <t>2 рази/рік</t>
    </r>
  </si>
  <si>
    <r>
      <t xml:space="preserve">Одиниця вимірювання  - 100 пог. м </t>
    </r>
    <r>
      <rPr>
        <sz val="10"/>
        <color rgb="FFFF0000"/>
        <rFont val="Times New Roman"/>
        <family val="1"/>
        <charset val="204"/>
      </rPr>
      <t>2 рази/рік</t>
    </r>
  </si>
  <si>
    <r>
      <t xml:space="preserve">Одиниця вимірювання - 1 прокладка </t>
    </r>
    <r>
      <rPr>
        <sz val="10"/>
        <color rgb="FFFF0000"/>
        <rFont val="Times New Roman"/>
        <family val="1"/>
        <charset val="204"/>
      </rPr>
      <t>1раз /3 роки</t>
    </r>
  </si>
  <si>
    <r>
      <t xml:space="preserve">Одиниця вимірювання-кількість операцій </t>
    </r>
    <r>
      <rPr>
        <sz val="10"/>
        <color rgb="FFFF0000"/>
        <rFont val="Times New Roman"/>
        <family val="1"/>
        <charset val="204"/>
      </rPr>
      <t>2рази /рік</t>
    </r>
  </si>
  <si>
    <r>
      <t>Одиниця вимірювання-кількість операцій</t>
    </r>
    <r>
      <rPr>
        <sz val="10"/>
        <color rgb="FFFF0000"/>
        <rFont val="Times New Roman"/>
        <family val="1"/>
        <charset val="204"/>
      </rPr>
      <t xml:space="preserve"> 2рази /рік</t>
    </r>
  </si>
  <si>
    <r>
      <t xml:space="preserve">Заробітна плата двірників </t>
    </r>
    <r>
      <rPr>
        <sz val="10"/>
        <color rgb="FFFF0000"/>
        <rFont val="Times New Roman"/>
        <family val="1"/>
        <charset val="204"/>
      </rPr>
      <t>(1378*1,2*1,2)=1984,32 грн</t>
    </r>
    <r>
      <rPr>
        <sz val="10"/>
        <color theme="1"/>
        <rFont val="Times New Roman"/>
        <family val="1"/>
        <charset val="204"/>
      </rPr>
      <t>.* чисельність</t>
    </r>
  </si>
  <si>
    <r>
      <t>Одиниця вимірювання-кількість операцій</t>
    </r>
    <r>
      <rPr>
        <sz val="10"/>
        <color rgb="FFFF0000"/>
        <rFont val="Times New Roman"/>
        <family val="1"/>
        <charset val="204"/>
      </rPr>
      <t xml:space="preserve"> 20 раз на рік</t>
    </r>
  </si>
  <si>
    <r>
      <t xml:space="preserve">Одиниця вимірювання-кількість водопідігрівачів трубчастих, шт </t>
    </r>
    <r>
      <rPr>
        <sz val="10"/>
        <color rgb="FFFF0000"/>
        <rFont val="Times New Roman"/>
        <family val="1"/>
        <charset val="204"/>
      </rPr>
      <t>3 рази/рік</t>
    </r>
  </si>
  <si>
    <r>
      <t xml:space="preserve">Одиниця вимірювання-кількість м.кв. відновлюваної ділянки </t>
    </r>
    <r>
      <rPr>
        <sz val="10"/>
        <color rgb="FFFF0000"/>
        <rFont val="Times New Roman"/>
        <family val="1"/>
        <charset val="204"/>
      </rPr>
      <t>2рази /рік</t>
    </r>
  </si>
  <si>
    <r>
      <t xml:space="preserve">Одиниця вимірювання-кількість запірної  арматури, 100 шт </t>
    </r>
    <r>
      <rPr>
        <sz val="10"/>
        <color rgb="FFFF0000"/>
        <rFont val="Times New Roman"/>
        <family val="1"/>
        <charset val="204"/>
      </rPr>
      <t>3 рази/рік</t>
    </r>
  </si>
  <si>
    <r>
      <t xml:space="preserve">Одиниця вимірювання  - 100 пог. м </t>
    </r>
    <r>
      <rPr>
        <sz val="10"/>
        <color rgb="FFFF0000"/>
        <rFont val="Times New Roman"/>
        <family val="1"/>
        <charset val="204"/>
      </rPr>
      <t>1 рази/рік</t>
    </r>
  </si>
  <si>
    <r>
      <t xml:space="preserve">Одиниця вимірювання  - кількість вузлів, шт </t>
    </r>
    <r>
      <rPr>
        <sz val="10"/>
        <color rgb="FFFF0000"/>
        <rFont val="Times New Roman"/>
        <family val="1"/>
        <charset val="204"/>
      </rPr>
      <t>2 рази/рік</t>
    </r>
  </si>
  <si>
    <r>
      <t xml:space="preserve">Одиниця вимірювання-кількість гумових прокладок </t>
    </r>
    <r>
      <rPr>
        <sz val="10"/>
        <color rgb="FFFF0000"/>
        <rFont val="Times New Roman"/>
        <family val="1"/>
        <charset val="204"/>
      </rPr>
      <t>1раз/3 роки</t>
    </r>
  </si>
  <si>
    <r>
      <t xml:space="preserve">Заробітна плата двірників </t>
    </r>
    <r>
      <rPr>
        <sz val="10"/>
        <color rgb="FFFF0000"/>
        <rFont val="Times New Roman"/>
        <family val="1"/>
        <charset val="204"/>
      </rPr>
      <t>(1378*1,2*1,35*1,35)=3013,69</t>
    </r>
    <r>
      <rPr>
        <sz val="10"/>
        <color theme="1"/>
        <rFont val="Times New Roman"/>
        <family val="1"/>
        <charset val="204"/>
      </rPr>
      <t xml:space="preserve"> грн.* чисельність</t>
    </r>
  </si>
  <si>
    <r>
      <t xml:space="preserve">Заробітна плата двірників </t>
    </r>
    <r>
      <rPr>
        <sz val="10"/>
        <color rgb="FFFF0000"/>
        <rFont val="Times New Roman"/>
        <family val="1"/>
        <charset val="204"/>
      </rPr>
      <t>(1378*1,2*1,2*1,35)=2678,83</t>
    </r>
    <r>
      <rPr>
        <sz val="10"/>
        <color theme="1"/>
        <rFont val="Times New Roman"/>
        <family val="1"/>
        <charset val="204"/>
      </rPr>
      <t xml:space="preserve"> грн.* чисельність</t>
    </r>
  </si>
  <si>
    <r>
      <t xml:space="preserve">вартість обслуговування 1 кв.м.  підвального приміщення без ПДВ (постанова КМУ № 662 від 11.05.2006 року)  2 рази на рік  </t>
    </r>
    <r>
      <rPr>
        <sz val="10"/>
        <rFont val="Times New Roman"/>
        <family val="1"/>
        <charset val="204"/>
      </rPr>
      <t>1,29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грн.*1 м2 площі підвалу</t>
    </r>
  </si>
  <si>
    <r>
      <t xml:space="preserve">Одиниці виміру - 1 щиток  </t>
    </r>
    <r>
      <rPr>
        <sz val="10"/>
        <color rgb="FFFF0000"/>
        <rFont val="Times New Roman"/>
        <family val="1"/>
        <charset val="204"/>
      </rPr>
      <t xml:space="preserve">2 рази/рік </t>
    </r>
  </si>
  <si>
    <r>
      <t xml:space="preserve">Одиниці виміру - 10 пог.м. </t>
    </r>
    <r>
      <rPr>
        <sz val="10"/>
        <color rgb="FFFF0000"/>
        <rFont val="Times New Roman"/>
        <family val="1"/>
        <charset val="204"/>
      </rPr>
      <t xml:space="preserve">2 рази/рік </t>
    </r>
  </si>
  <si>
    <r>
      <t xml:space="preserve">Одиниці виміру - 1 поверх  </t>
    </r>
    <r>
      <rPr>
        <sz val="10"/>
        <color rgb="FFFF0000"/>
        <rFont val="Times New Roman"/>
        <family val="1"/>
        <charset val="204"/>
      </rPr>
      <t xml:space="preserve">2 рази/рік </t>
    </r>
  </si>
  <si>
    <r>
      <t xml:space="preserve">Одиниці виміру - 1 електрощитова </t>
    </r>
    <r>
      <rPr>
        <sz val="10"/>
        <color rgb="FFFF0000"/>
        <rFont val="Times New Roman"/>
        <family val="1"/>
        <charset val="204"/>
      </rPr>
      <t>2 рази/рік</t>
    </r>
  </si>
  <si>
    <r>
      <t xml:space="preserve">Одиниці виміру - 1 м проводу </t>
    </r>
    <r>
      <rPr>
        <sz val="10"/>
        <color rgb="FFFF0000"/>
        <rFont val="Times New Roman"/>
        <family val="1"/>
        <charset val="204"/>
      </rPr>
      <t>1 раз/рік</t>
    </r>
  </si>
  <si>
    <r>
      <t>Одиниці виміру - 1 шт.</t>
    </r>
    <r>
      <rPr>
        <sz val="10"/>
        <color rgb="FFFF0000"/>
        <rFont val="Times New Roman"/>
        <family val="1"/>
        <charset val="204"/>
      </rPr>
      <t xml:space="preserve"> 2 рази /рік</t>
    </r>
  </si>
  <si>
    <r>
      <t xml:space="preserve">Одиниці виміру - 10 шт.  </t>
    </r>
    <r>
      <rPr>
        <sz val="10"/>
        <color rgb="FFFF0000"/>
        <rFont val="Times New Roman"/>
        <family val="1"/>
        <charset val="204"/>
      </rPr>
      <t>1 раз/рік</t>
    </r>
  </si>
  <si>
    <r>
      <t>Одиниці виміру - кількість вимикачів, шт</t>
    </r>
    <r>
      <rPr>
        <sz val="10"/>
        <color rgb="FFFF0000"/>
        <rFont val="Times New Roman"/>
        <family val="1"/>
        <charset val="204"/>
      </rPr>
      <t xml:space="preserve"> 2 рази/рік</t>
    </r>
  </si>
  <si>
    <r>
      <t>Одиниці виміру - кількість вимикачів, шт</t>
    </r>
    <r>
      <rPr>
        <sz val="10"/>
        <color rgb="FFFF0000"/>
        <rFont val="Times New Roman"/>
        <family val="1"/>
        <charset val="204"/>
      </rPr>
      <t xml:space="preserve"> 1 раз/рік</t>
    </r>
  </si>
  <si>
    <r>
      <t xml:space="preserve">Одиниці виміру - кількість запобіжників,10 шт </t>
    </r>
    <r>
      <rPr>
        <sz val="10"/>
        <color rgb="FFFF0000"/>
        <rFont val="Times New Roman"/>
        <family val="1"/>
        <charset val="204"/>
      </rPr>
      <t>1 рази/рік</t>
    </r>
  </si>
  <si>
    <r>
      <t xml:space="preserve">Одиниці виміру - кількість вимикачів,10 шт </t>
    </r>
    <r>
      <rPr>
        <sz val="10"/>
        <color rgb="FFFF0000"/>
        <rFont val="Times New Roman"/>
        <family val="1"/>
        <charset val="204"/>
      </rPr>
      <t>1 раз/рік</t>
    </r>
  </si>
  <si>
    <r>
      <t xml:space="preserve">Одиниці виміру - 10 ділянок  </t>
    </r>
    <r>
      <rPr>
        <sz val="10"/>
        <color rgb="FFFF0000"/>
        <rFont val="Times New Roman"/>
        <family val="1"/>
        <charset val="204"/>
      </rPr>
      <t xml:space="preserve">1 рази/рік </t>
    </r>
  </si>
  <si>
    <r>
      <t xml:space="preserve">Площа тротуарів + майданчиків перед входом у підїзд </t>
    </r>
    <r>
      <rPr>
        <sz val="10"/>
        <color rgb="FFFF0000"/>
        <rFont val="Times New Roman"/>
        <family val="1"/>
        <charset val="204"/>
      </rPr>
      <t>32 рази (2 рази на тиждень)</t>
    </r>
  </si>
  <si>
    <r>
      <t>Площа тротуарів + майданчиків перед входом у підїзд</t>
    </r>
    <r>
      <rPr>
        <sz val="10"/>
        <color rgb="FFFF0000"/>
        <rFont val="Times New Roman"/>
        <family val="1"/>
        <charset val="204"/>
      </rPr>
      <t xml:space="preserve"> 32 рази (2 рази на тиждень)</t>
    </r>
  </si>
  <si>
    <r>
      <t>Одиниці виміру -  10 куб.м.</t>
    </r>
    <r>
      <rPr>
        <sz val="10"/>
        <color rgb="FFFF0000"/>
        <rFont val="Times New Roman"/>
        <family val="1"/>
        <charset val="204"/>
      </rPr>
      <t xml:space="preserve"> 32 рази (2 раз на тиждень)</t>
    </r>
  </si>
  <si>
    <r>
      <t xml:space="preserve">Одиниці виміру -  10 куб.м. </t>
    </r>
    <r>
      <rPr>
        <sz val="10"/>
        <color rgb="FFFF0000"/>
        <rFont val="Times New Roman"/>
        <family val="1"/>
        <charset val="204"/>
      </rPr>
      <t>32 рази (2 раз на тиждень)</t>
    </r>
  </si>
  <si>
    <r>
      <t xml:space="preserve">Одиниці виміру - 100 м2  </t>
    </r>
    <r>
      <rPr>
        <sz val="10"/>
        <color rgb="FFFF0000"/>
        <rFont val="Times New Roman"/>
        <family val="1"/>
        <charset val="204"/>
      </rPr>
      <t>32 рази (2 рази на тиждень)</t>
    </r>
  </si>
  <si>
    <t>Сіль (площа посипання/100*0,0015м3* 1560 грн.за куб.м.)</t>
  </si>
  <si>
    <t>Пісок природний рядовий (площа посипання/100*0,017 м3*260 грн. за куб.м.)</t>
  </si>
  <si>
    <t xml:space="preserve">Прибирання прибудинкової території </t>
  </si>
  <si>
    <t>Відсоток відхилення, %</t>
  </si>
  <si>
    <t>тариф на 1 кВт, грн.</t>
  </si>
  <si>
    <t>Довжина трубопроводів системи центрального опалення, пог.м. Ø 57</t>
  </si>
  <si>
    <t>система зливової каналізації, діаметр умовного проходу до 100 мм</t>
  </si>
  <si>
    <t>Тимчасовий діючий тариф, грн./кв.м.</t>
  </si>
  <si>
    <t>Плановий тариф, грн./кв.м.</t>
  </si>
  <si>
    <r>
      <t xml:space="preserve">Одиниця вимірювання-кількість м.кв. відновлюваної ділянки </t>
    </r>
    <r>
      <rPr>
        <sz val="10"/>
        <color rgb="FFFF0000"/>
        <rFont val="Times New Roman"/>
        <family val="1"/>
        <charset val="204"/>
      </rPr>
      <t>1рази /рік</t>
    </r>
  </si>
  <si>
    <r>
      <t>Одиниця виміру - 10 м</t>
    </r>
    <r>
      <rPr>
        <sz val="10"/>
        <color rgb="FFFF0000"/>
        <rFont val="Times New Roman"/>
        <family val="1"/>
        <charset val="204"/>
      </rPr>
      <t xml:space="preserve"> 1 рази/рік (кількість вентканалів* 25%*3 м)</t>
    </r>
  </si>
  <si>
    <t>20% від</t>
  </si>
  <si>
    <t>Довжина трубопроводів системи центрального опалення, пог.м. Ø 76</t>
  </si>
  <si>
    <t>ізоляція  10% від протяжності 5,251 м2= 1 м.п.</t>
  </si>
  <si>
    <t>вимикоч 50%</t>
  </si>
  <si>
    <t>20% від протяжністі</t>
  </si>
  <si>
    <t>Кількість запірної арматури (кран шаровий),шт. Ø25</t>
  </si>
  <si>
    <t>Прибуток 5%</t>
  </si>
  <si>
    <r>
      <t>Одиниця вимірювання-кількість операцій</t>
    </r>
    <r>
      <rPr>
        <sz val="10"/>
        <color rgb="FFFF0000"/>
        <rFont val="Times New Roman"/>
        <family val="1"/>
        <charset val="204"/>
      </rPr>
      <t xml:space="preserve"> 10 раз в рік</t>
    </r>
  </si>
  <si>
    <r>
      <t xml:space="preserve">Одиниця вимірювання-кількість операцій </t>
    </r>
    <r>
      <rPr>
        <sz val="10"/>
        <color rgb="FFFF0000"/>
        <rFont val="Times New Roman"/>
        <family val="1"/>
        <charset val="204"/>
      </rPr>
      <t>10 раз на рік</t>
    </r>
  </si>
  <si>
    <t>Вик.економіст Середа Т.О.</t>
  </si>
  <si>
    <t>Нарахування 22%</t>
  </si>
  <si>
    <t>Нарахування 22 %</t>
  </si>
  <si>
    <t>Єдиний податок 5%</t>
  </si>
  <si>
    <t>Всього собівартість (з накладними витратами)</t>
  </si>
  <si>
    <t>Заробітна плата електромонтера (1378*1,2*1,35*1,25)=2790,45 грн.* чисельність</t>
  </si>
  <si>
    <t>Заробітна плата електромонтера (1378*1,2*1,2*1,25)=2480,40 грн.* чисельність</t>
  </si>
  <si>
    <t>Заробітна плата електромонтера (1378*1,2*1,08*1,25)=2232,36 грн.* чисельність</t>
  </si>
  <si>
    <t>Заробітна плата слюсаря-сантехніка (1378*1,2*1,35*1,25)=2790,45 грн.* чисельність</t>
  </si>
  <si>
    <t>Заробітна плата слюсаря-сантехніка (1378*1,2*1,2*1,35)=2480,40 грн.* чисельність</t>
  </si>
  <si>
    <t>Заробітна плата слюсаря-сантехніка(1378*1,2*1,08*1,25)=2232,36 грн.* чисельність</t>
  </si>
  <si>
    <t>Заробітна плата слюсаря-сантехніка(1378*1,2*1,2*1,35)=2480,40 грн.* чисельність</t>
  </si>
  <si>
    <t>Заробітна плата слюсаря-сантехніка (1378*1,2*1,08*1,25)=2232,36 грн.* чисельність</t>
  </si>
  <si>
    <t xml:space="preserve"> адреса: м. Суми, вул. Троїцька, 41</t>
  </si>
  <si>
    <t>Довжина трубопроводів системи холодного водопостачання, пог.м.  Ø 25, Ø 32</t>
  </si>
  <si>
    <t>Довжина трубопроводів системи холодного водопостачання, пог.м. ,Ø 50</t>
  </si>
  <si>
    <t>Кількість запірної арматури (кран шаровий),шт. Ø32</t>
  </si>
  <si>
    <r>
      <t xml:space="preserve">Одиниця виміру - 100 м2 (літній період </t>
    </r>
    <r>
      <rPr>
        <sz val="10"/>
        <color rgb="FFFF0000"/>
        <rFont val="Times New Roman"/>
        <family val="1"/>
        <charset val="204"/>
      </rPr>
      <t>8 міс*12 раз/міс=96) (зимовий період 4 міс*4 раз/міс= 16)</t>
    </r>
  </si>
  <si>
    <r>
      <t xml:space="preserve">Одиниця виміру - 100 м2 </t>
    </r>
    <r>
      <rPr>
        <sz val="10"/>
        <color rgb="FFFF0000"/>
        <rFont val="Times New Roman"/>
        <family val="1"/>
        <charset val="204"/>
      </rPr>
      <t xml:space="preserve"> (літній період 8 міс*12 раз/міс=96) (зимовий період 4 міс*4 раз/міс= 16)</t>
    </r>
  </si>
  <si>
    <t>3 рази на тиждень</t>
  </si>
  <si>
    <r>
      <t>Одиниця вимірювання-кількість операцій</t>
    </r>
    <r>
      <rPr>
        <sz val="10"/>
        <color rgb="FFFF0000"/>
        <rFont val="Times New Roman"/>
        <family val="1"/>
        <charset val="204"/>
      </rPr>
      <t xml:space="preserve"> 2 рази /рік</t>
    </r>
  </si>
  <si>
    <t>патрон+світильн 50%</t>
  </si>
  <si>
    <t>Додаток № 3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</si>
</sst>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\ [$грн.-422]"/>
    <numFmt numFmtId="166" formatCode="0.000"/>
    <numFmt numFmtId="167" formatCode="0.0000"/>
    <numFmt numFmtId="168" formatCode="#,##0.000"/>
    <numFmt numFmtId="169" formatCode="#,##0.0000"/>
  </numFmts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13">
    <xf numFmtId="0" fontId="0" fillId="0" borderId="0" xfId="0"/>
    <xf numFmtId="0" fontId="0" fillId="0" borderId="0" xfId="0" applyFill="1"/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9" fontId="0" fillId="0" borderId="0" xfId="0" applyNumberFormat="1"/>
    <xf numFmtId="0" fontId="0" fillId="0" borderId="0" xfId="0" applyFont="1" applyFill="1" applyBorder="1"/>
    <xf numFmtId="0" fontId="5" fillId="0" borderId="0" xfId="0" applyFont="1" applyFill="1" applyBorder="1"/>
    <xf numFmtId="0" fontId="0" fillId="8" borderId="0" xfId="0" applyFill="1"/>
    <xf numFmtId="10" fontId="0" fillId="0" borderId="0" xfId="0" applyNumberFormat="1"/>
    <xf numFmtId="166" fontId="0" fillId="0" borderId="0" xfId="0" applyNumberFormat="1"/>
    <xf numFmtId="0" fontId="5" fillId="0" borderId="0" xfId="0" applyFont="1"/>
    <xf numFmtId="167" fontId="0" fillId="0" borderId="0" xfId="0" applyNumberFormat="1"/>
    <xf numFmtId="167" fontId="0" fillId="5" borderId="0" xfId="0" applyNumberFormat="1" applyFill="1"/>
    <xf numFmtId="0" fontId="0" fillId="5" borderId="0" xfId="0" applyFill="1"/>
    <xf numFmtId="0" fontId="8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6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" fontId="0" fillId="0" borderId="0" xfId="0" applyNumberFormat="1"/>
    <xf numFmtId="166" fontId="0" fillId="7" borderId="1" xfId="0" applyNumberForma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168" fontId="2" fillId="2" borderId="1" xfId="0" applyNumberFormat="1" applyFont="1" applyFill="1" applyBorder="1"/>
    <xf numFmtId="169" fontId="2" fillId="2" borderId="1" xfId="0" applyNumberFormat="1" applyFont="1" applyFill="1" applyBorder="1"/>
    <xf numFmtId="4" fontId="2" fillId="0" borderId="1" xfId="0" applyNumberFormat="1" applyFont="1" applyBorder="1"/>
    <xf numFmtId="2" fontId="3" fillId="3" borderId="1" xfId="0" applyNumberFormat="1" applyFont="1" applyFill="1" applyBorder="1"/>
    <xf numFmtId="0" fontId="0" fillId="11" borderId="0" xfId="0" applyFill="1"/>
    <xf numFmtId="0" fontId="0" fillId="0" borderId="0" xfId="0"/>
    <xf numFmtId="0" fontId="0" fillId="0" borderId="0" xfId="0"/>
    <xf numFmtId="10" fontId="0" fillId="0" borderId="0" xfId="0" applyNumberFormat="1" applyFill="1"/>
    <xf numFmtId="16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166" fontId="0" fillId="8" borderId="0" xfId="0" applyNumberFormat="1" applyFill="1"/>
    <xf numFmtId="0" fontId="0" fillId="0" borderId="0" xfId="0"/>
    <xf numFmtId="0" fontId="0" fillId="0" borderId="0" xfId="0"/>
    <xf numFmtId="0" fontId="0" fillId="6" borderId="0" xfId="0" applyFill="1"/>
    <xf numFmtId="2" fontId="0" fillId="6" borderId="0" xfId="0" applyNumberFormat="1" applyFill="1"/>
    <xf numFmtId="166" fontId="0" fillId="0" borderId="0" xfId="0" applyNumberFormat="1" applyFill="1"/>
    <xf numFmtId="0" fontId="0" fillId="10" borderId="0" xfId="0" applyFill="1"/>
    <xf numFmtId="166" fontId="0" fillId="10" borderId="0" xfId="0" applyNumberFormat="1" applyFill="1"/>
    <xf numFmtId="166" fontId="0" fillId="10" borderId="0" xfId="0" applyNumberFormat="1" applyFill="1" applyAlignment="1">
      <alignment horizontal="center"/>
    </xf>
    <xf numFmtId="166" fontId="5" fillId="10" borderId="0" xfId="0" applyNumberFormat="1" applyFont="1" applyFill="1" applyAlignment="1">
      <alignment horizontal="center"/>
    </xf>
    <xf numFmtId="166" fontId="1" fillId="10" borderId="0" xfId="0" applyNumberFormat="1" applyFont="1" applyFill="1"/>
    <xf numFmtId="166" fontId="1" fillId="10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21" fillId="0" borderId="1" xfId="0" applyFont="1" applyFill="1" applyBorder="1" applyAlignment="1">
      <alignment horizontal="justify" vertical="center" wrapText="1"/>
    </xf>
    <xf numFmtId="0" fontId="6" fillId="0" borderId="0" xfId="0" applyFont="1" applyFill="1"/>
    <xf numFmtId="0" fontId="15" fillId="0" borderId="0" xfId="0" applyFont="1"/>
    <xf numFmtId="0" fontId="15" fillId="0" borderId="0" xfId="0" applyFont="1" applyFill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1" xfId="0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20" fillId="5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166" fontId="14" fillId="0" borderId="4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9" borderId="1" xfId="0" applyFont="1" applyFill="1" applyBorder="1" applyAlignment="1">
      <alignment vertical="top" wrapText="1"/>
    </xf>
    <xf numFmtId="0" fontId="15" fillId="0" borderId="4" xfId="0" applyFont="1" applyFill="1" applyBorder="1"/>
    <xf numFmtId="0" fontId="14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166" fontId="22" fillId="0" borderId="4" xfId="0" applyNumberFormat="1" applyFont="1" applyFill="1" applyBorder="1"/>
    <xf numFmtId="166" fontId="15" fillId="0" borderId="4" xfId="0" applyNumberFormat="1" applyFont="1" applyFill="1" applyBorder="1"/>
    <xf numFmtId="0" fontId="15" fillId="5" borderId="1" xfId="0" applyFont="1" applyFill="1" applyBorder="1" applyAlignment="1">
      <alignment vertical="top" wrapText="1"/>
    </xf>
    <xf numFmtId="166" fontId="20" fillId="0" borderId="4" xfId="0" applyNumberFormat="1" applyFont="1" applyFill="1" applyBorder="1"/>
    <xf numFmtId="0" fontId="14" fillId="9" borderId="1" xfId="0" applyFont="1" applyFill="1" applyBorder="1"/>
    <xf numFmtId="2" fontId="15" fillId="0" borderId="1" xfId="0" applyNumberFormat="1" applyFont="1" applyFill="1" applyBorder="1"/>
    <xf numFmtId="2" fontId="15" fillId="0" borderId="4" xfId="0" applyNumberFormat="1" applyFont="1" applyFill="1" applyBorder="1"/>
    <xf numFmtId="2" fontId="14" fillId="0" borderId="4" xfId="0" applyNumberFormat="1" applyFont="1" applyFill="1" applyBorder="1" applyAlignment="1">
      <alignment horizontal="right"/>
    </xf>
    <xf numFmtId="166" fontId="14" fillId="0" borderId="4" xfId="0" applyNumberFormat="1" applyFont="1" applyFill="1" applyBorder="1"/>
    <xf numFmtId="166" fontId="15" fillId="0" borderId="1" xfId="0" applyNumberFormat="1" applyFont="1" applyFill="1" applyBorder="1"/>
    <xf numFmtId="166" fontId="14" fillId="0" borderId="1" xfId="0" applyNumberFormat="1" applyFont="1" applyFill="1" applyBorder="1"/>
    <xf numFmtId="0" fontId="14" fillId="0" borderId="4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166" fontId="14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1" fontId="15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" fontId="14" fillId="0" borderId="1" xfId="0" applyNumberFormat="1" applyFont="1" applyFill="1" applyBorder="1"/>
    <xf numFmtId="49" fontId="14" fillId="0" borderId="1" xfId="0" applyNumberFormat="1" applyFont="1" applyFill="1" applyBorder="1" applyAlignment="1">
      <alignment horizontal="left"/>
    </xf>
    <xf numFmtId="0" fontId="14" fillId="9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167" fontId="15" fillId="0" borderId="1" xfId="0" applyNumberFormat="1" applyFont="1" applyFill="1" applyBorder="1"/>
    <xf numFmtId="1" fontId="22" fillId="0" borderId="1" xfId="0" applyNumberFormat="1" applyFont="1" applyFill="1" applyBorder="1"/>
    <xf numFmtId="0" fontId="22" fillId="0" borderId="1" xfId="0" applyFont="1" applyFill="1" applyBorder="1"/>
    <xf numFmtId="0" fontId="25" fillId="0" borderId="1" xfId="0" applyFont="1" applyFill="1" applyBorder="1"/>
    <xf numFmtId="0" fontId="20" fillId="0" borderId="1" xfId="0" applyFont="1" applyBorder="1"/>
    <xf numFmtId="0" fontId="20" fillId="0" borderId="1" xfId="0" applyFont="1" applyFill="1" applyBorder="1"/>
    <xf numFmtId="0" fontId="22" fillId="0" borderId="1" xfId="0" applyFont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6" borderId="1" xfId="0" applyFont="1" applyFill="1" applyBorder="1"/>
    <xf numFmtId="0" fontId="14" fillId="0" borderId="1" xfId="0" applyFont="1" applyBorder="1" applyAlignment="1">
      <alignment horizontal="left"/>
    </xf>
    <xf numFmtId="166" fontId="14" fillId="0" borderId="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166" fontId="25" fillId="0" borderId="1" xfId="0" applyNumberFormat="1" applyFont="1" applyFill="1" applyBorder="1"/>
    <xf numFmtId="164" fontId="25" fillId="0" borderId="1" xfId="0" applyNumberFormat="1" applyFont="1" applyFill="1" applyBorder="1"/>
    <xf numFmtId="0" fontId="20" fillId="5" borderId="1" xfId="0" applyFont="1" applyFill="1" applyBorder="1" applyAlignment="1">
      <alignment wrapText="1"/>
    </xf>
    <xf numFmtId="0" fontId="15" fillId="11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/>
    <xf numFmtId="0" fontId="14" fillId="5" borderId="0" xfId="0" applyFont="1" applyFill="1"/>
    <xf numFmtId="0" fontId="15" fillId="0" borderId="9" xfId="0" applyFont="1" applyFill="1" applyBorder="1"/>
    <xf numFmtId="0" fontId="14" fillId="0" borderId="9" xfId="0" applyFont="1" applyFill="1" applyBorder="1"/>
    <xf numFmtId="166" fontId="15" fillId="0" borderId="9" xfId="0" applyNumberFormat="1" applyFont="1" applyFill="1" applyBorder="1"/>
    <xf numFmtId="2" fontId="15" fillId="0" borderId="9" xfId="0" applyNumberFormat="1" applyFont="1" applyFill="1" applyBorder="1"/>
    <xf numFmtId="0" fontId="14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166" fontId="20" fillId="0" borderId="1" xfId="0" applyNumberFormat="1" applyFont="1" applyFill="1" applyBorder="1"/>
    <xf numFmtId="166" fontId="9" fillId="0" borderId="4" xfId="0" applyNumberFormat="1" applyFont="1" applyBorder="1" applyAlignment="1">
      <alignment horizontal="center" vertical="center" wrapText="1"/>
    </xf>
    <xf numFmtId="166" fontId="6" fillId="0" borderId="0" xfId="0" applyNumberFormat="1" applyFont="1" applyFill="1"/>
    <xf numFmtId="2" fontId="12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9" fontId="5" fillId="0" borderId="0" xfId="0" applyNumberFormat="1" applyFont="1"/>
    <xf numFmtId="0" fontId="30" fillId="5" borderId="0" xfId="0" applyFont="1" applyFill="1"/>
    <xf numFmtId="1" fontId="5" fillId="0" borderId="0" xfId="0" applyNumberFormat="1" applyFont="1"/>
    <xf numFmtId="166" fontId="3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0" fontId="32" fillId="0" borderId="0" xfId="0" applyFont="1"/>
    <xf numFmtId="0" fontId="14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vertical="top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justify" vertical="center" wrapText="1"/>
    </xf>
    <xf numFmtId="0" fontId="14" fillId="12" borderId="1" xfId="0" applyFont="1" applyFill="1" applyBorder="1" applyAlignment="1">
      <alignment horizontal="left"/>
    </xf>
    <xf numFmtId="0" fontId="14" fillId="12" borderId="1" xfId="0" applyFont="1" applyFill="1" applyBorder="1"/>
    <xf numFmtId="0" fontId="15" fillId="12" borderId="1" xfId="0" applyFont="1" applyFill="1" applyBorder="1" applyAlignment="1">
      <alignment vertical="top" wrapText="1"/>
    </xf>
    <xf numFmtId="0" fontId="33" fillId="0" borderId="0" xfId="0" applyFont="1" applyAlignment="1">
      <alignment horizontal="left" vertical="center" wrapText="1"/>
    </xf>
    <xf numFmtId="166" fontId="15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166" fontId="9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7" fillId="0" borderId="8" xfId="0" applyNumberFormat="1" applyFont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27" fillId="4" borderId="2" xfId="0" applyNumberFormat="1" applyFont="1" applyFill="1" applyBorder="1" applyAlignment="1">
      <alignment horizontal="center" vertical="center" wrapText="1"/>
    </xf>
    <xf numFmtId="0" fontId="27" fillId="4" borderId="5" xfId="0" applyNumberFormat="1" applyFont="1" applyFill="1" applyBorder="1" applyAlignment="1">
      <alignment horizontal="center" vertical="center" wrapText="1"/>
    </xf>
    <xf numFmtId="0" fontId="27" fillId="4" borderId="6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801/&#1063;&#1048;&#1057;&#1045;&#1051;&#1068;&#1053;&#1030;&#1057;&#1058;&#1068;%20&#1056;&#1054;&#1041;&#1030;&#1058;&#1053;&#1048;&#1050;&#1030;&#104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лік послуг"/>
      <sheetName val="Накладні"/>
      <sheetName val="розрах оклад"/>
      <sheetName val="ПОКОС"/>
      <sheetName val="ПР"/>
      <sheetName val="чисельність 1 ГВП"/>
      <sheetName val="чисельність 2 ХВП"/>
      <sheetName val="чисельнысть 3 опал"/>
      <sheetName val="чисельність 4 Канл."/>
      <sheetName val="чисельність 5 злив каналіз"/>
      <sheetName val="чисельність ДВК"/>
      <sheetName val="чисельність приб"/>
      <sheetName val="чисельність сніг"/>
      <sheetName val="підв"/>
      <sheetName val="освітл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J37">
            <v>2.3015457668119573E-2</v>
          </cell>
        </row>
      </sheetData>
      <sheetData sheetId="6" refreshError="1">
        <row r="36">
          <cell r="J36">
            <v>9.5035723686455516E-3</v>
          </cell>
        </row>
      </sheetData>
      <sheetData sheetId="7" refreshError="1">
        <row r="45">
          <cell r="J45">
            <v>0.3634064128658045</v>
          </cell>
        </row>
      </sheetData>
      <sheetData sheetId="8" refreshError="1">
        <row r="28">
          <cell r="J28">
            <v>5.0651564990513718E-3</v>
          </cell>
        </row>
      </sheetData>
      <sheetData sheetId="9" refreshError="1">
        <row r="28">
          <cell r="J28">
            <v>1.5502483887643456E-2</v>
          </cell>
        </row>
      </sheetData>
      <sheetData sheetId="10" refreshError="1">
        <row r="19">
          <cell r="J19">
            <v>2.3621130606711501E-2</v>
          </cell>
        </row>
      </sheetData>
      <sheetData sheetId="11" refreshError="1">
        <row r="28">
          <cell r="J28">
            <v>0.39852054958315136</v>
          </cell>
        </row>
        <row r="43">
          <cell r="J43">
            <v>3.6962664786683509E-2</v>
          </cell>
        </row>
      </sheetData>
      <sheetData sheetId="12" refreshError="1">
        <row r="28">
          <cell r="I28">
            <v>6.8312558582632063E-2</v>
          </cell>
        </row>
      </sheetData>
      <sheetData sheetId="13" refreshError="1">
        <row r="19">
          <cell r="I19">
            <v>4.0338931602450744E-3</v>
          </cell>
        </row>
      </sheetData>
      <sheetData sheetId="14" refreshError="1">
        <row r="38">
          <cell r="J38">
            <v>5.4234462257123257E-2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topLeftCell="A28" zoomScale="90" zoomScaleSheetLayoutView="90" workbookViewId="0">
      <selection activeCell="G27" sqref="G27"/>
    </sheetView>
  </sheetViews>
  <sheetFormatPr defaultRowHeight="15"/>
  <cols>
    <col min="1" max="1" width="5.5703125" style="189" customWidth="1"/>
    <col min="2" max="2" width="49.7109375" style="189" customWidth="1"/>
    <col min="3" max="3" width="20.85546875" style="189" customWidth="1"/>
    <col min="4" max="4" width="19.42578125" style="189" customWidth="1"/>
    <col min="5" max="5" width="13.140625" style="189" customWidth="1"/>
    <col min="8" max="8" width="17.85546875" customWidth="1"/>
  </cols>
  <sheetData>
    <row r="1" spans="1:9" ht="22.5" customHeight="1">
      <c r="D1" s="195" t="s">
        <v>495</v>
      </c>
      <c r="E1" s="195"/>
    </row>
    <row r="2" spans="1:9" ht="39" customHeight="1">
      <c r="D2" s="196" t="s">
        <v>258</v>
      </c>
      <c r="E2" s="196"/>
    </row>
    <row r="3" spans="1:9">
      <c r="A3" s="20"/>
    </row>
    <row r="4" spans="1:9">
      <c r="A4" s="21"/>
    </row>
    <row r="5" spans="1:9" ht="18.75">
      <c r="A5" s="197" t="s">
        <v>259</v>
      </c>
      <c r="B5" s="197"/>
      <c r="C5" s="197"/>
      <c r="D5" s="197"/>
      <c r="E5" s="197"/>
    </row>
    <row r="6" spans="1:9" ht="18.75">
      <c r="A6" s="197" t="s">
        <v>260</v>
      </c>
      <c r="B6" s="197"/>
      <c r="C6" s="197"/>
      <c r="D6" s="197"/>
      <c r="E6" s="197"/>
    </row>
    <row r="7" spans="1:9" ht="18.75">
      <c r="A7" s="197" t="s">
        <v>320</v>
      </c>
      <c r="B7" s="197"/>
      <c r="C7" s="197"/>
      <c r="D7" s="197"/>
      <c r="E7" s="197"/>
    </row>
    <row r="8" spans="1:9" s="36" customFormat="1" ht="18.75">
      <c r="A8" s="183"/>
      <c r="B8" s="183"/>
      <c r="C8" s="183"/>
      <c r="D8" s="183"/>
      <c r="E8" s="183"/>
    </row>
    <row r="9" spans="1:9" ht="18.75">
      <c r="A9" s="183"/>
      <c r="B9" s="38" t="s">
        <v>319</v>
      </c>
      <c r="C9" s="187">
        <v>5</v>
      </c>
      <c r="D9" s="183"/>
      <c r="E9" s="183"/>
    </row>
    <row r="10" spans="1:9" s="36" customFormat="1" ht="18.75">
      <c r="A10" s="183"/>
      <c r="B10" s="38" t="s">
        <v>318</v>
      </c>
      <c r="C10" s="187">
        <v>3152.06</v>
      </c>
      <c r="D10" s="183"/>
      <c r="E10" s="183"/>
    </row>
    <row r="11" spans="1:9" ht="18.75">
      <c r="A11" s="183"/>
      <c r="B11" s="188" t="s">
        <v>486</v>
      </c>
    </row>
    <row r="12" spans="1:9">
      <c r="A12" s="193" t="s">
        <v>5</v>
      </c>
      <c r="B12" s="192" t="s">
        <v>261</v>
      </c>
      <c r="C12" s="193" t="s">
        <v>272</v>
      </c>
      <c r="D12" s="192" t="s">
        <v>262</v>
      </c>
      <c r="E12" s="193" t="s">
        <v>273</v>
      </c>
    </row>
    <row r="13" spans="1:9" ht="25.5" customHeight="1">
      <c r="A13" s="194"/>
      <c r="B13" s="192"/>
      <c r="C13" s="194"/>
      <c r="D13" s="192"/>
      <c r="E13" s="194"/>
      <c r="G13" s="64" t="s">
        <v>382</v>
      </c>
      <c r="H13" s="64" t="s">
        <v>383</v>
      </c>
    </row>
    <row r="14" spans="1:9" ht="23.25" customHeight="1">
      <c r="A14" s="182" t="s">
        <v>279</v>
      </c>
      <c r="B14" s="18" t="s">
        <v>455</v>
      </c>
      <c r="C14" s="185">
        <v>0.3881539768508217</v>
      </c>
      <c r="D14" s="19" t="s">
        <v>492</v>
      </c>
      <c r="E14" s="26" t="s">
        <v>263</v>
      </c>
      <c r="G14" s="68">
        <f>G16+G17</f>
        <v>0.3881539768508217</v>
      </c>
      <c r="H14" s="69">
        <f>H16+H17</f>
        <v>0.43548321436983489</v>
      </c>
    </row>
    <row r="15" spans="1:9" ht="30" hidden="1">
      <c r="A15" s="182"/>
      <c r="B15" s="29" t="s">
        <v>10</v>
      </c>
      <c r="C15" s="185">
        <v>0.16698911342351228</v>
      </c>
      <c r="D15" s="19" t="s">
        <v>408</v>
      </c>
      <c r="E15" s="26" t="s">
        <v>263</v>
      </c>
      <c r="G15" s="64"/>
      <c r="H15" s="64"/>
    </row>
    <row r="16" spans="1:9" ht="15.75" hidden="1">
      <c r="A16" s="182"/>
      <c r="B16" s="29" t="s">
        <v>13</v>
      </c>
      <c r="C16" s="185">
        <v>0.15155831362654962</v>
      </c>
      <c r="D16" s="19" t="s">
        <v>408</v>
      </c>
      <c r="E16" s="26" t="s">
        <v>263</v>
      </c>
      <c r="G16" s="65">
        <f>C15+C16+C18</f>
        <v>0.35952982812881829</v>
      </c>
      <c r="H16" s="66">
        <f>'[1]чисельність приб'!$J$28</f>
        <v>0.39852054958315136</v>
      </c>
      <c r="I16" s="13"/>
    </row>
    <row r="17" spans="1:8" ht="45" hidden="1">
      <c r="A17" s="182"/>
      <c r="B17" s="29" t="s">
        <v>252</v>
      </c>
      <c r="C17" s="185">
        <v>2.8624148722003414E-2</v>
      </c>
      <c r="D17" s="19" t="s">
        <v>276</v>
      </c>
      <c r="E17" s="26" t="s">
        <v>263</v>
      </c>
      <c r="G17" s="65">
        <f>C17</f>
        <v>2.8624148722003414E-2</v>
      </c>
      <c r="H17" s="66">
        <f>'[1]чисельність приб'!$J$43</f>
        <v>3.6962664786683509E-2</v>
      </c>
    </row>
    <row r="18" spans="1:8" ht="30" hidden="1">
      <c r="A18" s="182"/>
      <c r="B18" s="29" t="s">
        <v>251</v>
      </c>
      <c r="C18" s="185">
        <v>4.0982401078756392E-2</v>
      </c>
      <c r="D18" s="19" t="s">
        <v>277</v>
      </c>
      <c r="E18" s="26" t="s">
        <v>263</v>
      </c>
      <c r="G18" s="64"/>
      <c r="H18" s="66"/>
    </row>
    <row r="19" spans="1:8" ht="21.75" customHeight="1">
      <c r="A19" s="182" t="s">
        <v>278</v>
      </c>
      <c r="B19" s="31" t="s">
        <v>253</v>
      </c>
      <c r="C19" s="185">
        <v>0</v>
      </c>
      <c r="D19" s="19"/>
      <c r="E19" s="26"/>
      <c r="G19" s="65">
        <f>C19</f>
        <v>0</v>
      </c>
      <c r="H19" s="66">
        <f>[1]підв!$I$19</f>
        <v>4.0338931602450744E-3</v>
      </c>
    </row>
    <row r="20" spans="1:8" ht="15.75">
      <c r="A20" s="182" t="s">
        <v>280</v>
      </c>
      <c r="B20" s="25" t="s">
        <v>49</v>
      </c>
      <c r="C20" s="185">
        <v>0</v>
      </c>
      <c r="D20" s="26"/>
      <c r="E20" s="26"/>
      <c r="G20" s="64"/>
      <c r="H20" s="64"/>
    </row>
    <row r="21" spans="1:8" ht="15.75">
      <c r="A21" s="182" t="s">
        <v>281</v>
      </c>
      <c r="B21" s="27" t="s">
        <v>50</v>
      </c>
      <c r="C21" s="185">
        <v>0</v>
      </c>
      <c r="D21" s="26"/>
      <c r="E21" s="26"/>
      <c r="G21" s="64"/>
      <c r="H21" s="64"/>
    </row>
    <row r="22" spans="1:8" ht="60">
      <c r="A22" s="182" t="s">
        <v>282</v>
      </c>
      <c r="B22" s="27" t="s">
        <v>265</v>
      </c>
      <c r="C22" s="185">
        <v>0.52065562728155945</v>
      </c>
      <c r="D22" s="26" t="s">
        <v>266</v>
      </c>
      <c r="E22" s="26" t="s">
        <v>263</v>
      </c>
      <c r="G22" s="65"/>
      <c r="H22" s="64"/>
    </row>
    <row r="23" spans="1:8" s="53" customFormat="1" ht="15.75">
      <c r="A23" s="182"/>
      <c r="B23" s="57" t="s">
        <v>51</v>
      </c>
      <c r="C23" s="186">
        <v>1.3183860334705283E-2</v>
      </c>
      <c r="D23" s="26"/>
      <c r="E23" s="26"/>
      <c r="G23" s="65">
        <f t="shared" ref="G23:G28" si="0">C23</f>
        <v>1.3183860334705283E-2</v>
      </c>
      <c r="H23" s="66">
        <f>'[1]чисельність 2 ХВП'!$J$36</f>
        <v>9.5035723686455516E-3</v>
      </c>
    </row>
    <row r="24" spans="1:8" s="53" customFormat="1" ht="15.75">
      <c r="A24" s="182"/>
      <c r="B24" s="57" t="s">
        <v>145</v>
      </c>
      <c r="C24" s="186">
        <v>0</v>
      </c>
      <c r="D24" s="26"/>
      <c r="E24" s="26"/>
      <c r="G24" s="65">
        <f t="shared" si="0"/>
        <v>0</v>
      </c>
      <c r="H24" s="67">
        <f>'[1]чисельність 1 ГВП'!$J$37</f>
        <v>2.3015457668119573E-2</v>
      </c>
    </row>
    <row r="25" spans="1:8" s="53" customFormat="1" ht="15.75">
      <c r="A25" s="182"/>
      <c r="B25" s="57" t="s">
        <v>101</v>
      </c>
      <c r="C25" s="186">
        <v>1.7004957447812254E-2</v>
      </c>
      <c r="D25" s="26"/>
      <c r="E25" s="26"/>
      <c r="G25" s="65">
        <f t="shared" si="0"/>
        <v>1.7004957447812254E-2</v>
      </c>
      <c r="H25" s="66">
        <f>'[1]чисельність 4 Канл.'!$J$28</f>
        <v>5.0651564990513718E-3</v>
      </c>
    </row>
    <row r="26" spans="1:8" s="53" customFormat="1" ht="15.75">
      <c r="A26" s="182"/>
      <c r="B26" s="57" t="s">
        <v>113</v>
      </c>
      <c r="C26" s="186">
        <v>0.30367733581483142</v>
      </c>
      <c r="D26" s="26"/>
      <c r="E26" s="26"/>
      <c r="G26" s="65">
        <f t="shared" si="0"/>
        <v>0.30367733581483142</v>
      </c>
      <c r="H26" s="66">
        <f>'[1]чисельнысть 3 опал'!$J$45</f>
        <v>0.3634064128658045</v>
      </c>
    </row>
    <row r="27" spans="1:8" s="53" customFormat="1" ht="15.75">
      <c r="A27" s="182"/>
      <c r="B27" s="57" t="s">
        <v>144</v>
      </c>
      <c r="C27" s="186">
        <v>0</v>
      </c>
      <c r="D27" s="26"/>
      <c r="E27" s="26"/>
      <c r="G27" s="65">
        <f t="shared" si="0"/>
        <v>0</v>
      </c>
      <c r="H27" s="66">
        <f>'[1]чисельність 5 злив каналіз'!$J$28</f>
        <v>1.5502483887643456E-2</v>
      </c>
    </row>
    <row r="28" spans="1:8" s="53" customFormat="1" ht="15.75">
      <c r="A28" s="182"/>
      <c r="B28" s="57" t="s">
        <v>368</v>
      </c>
      <c r="C28" s="186">
        <v>0.18678947368421051</v>
      </c>
      <c r="D28" s="26"/>
      <c r="E28" s="26"/>
      <c r="G28" s="65">
        <f t="shared" si="0"/>
        <v>0.18678947368421051</v>
      </c>
      <c r="H28" s="66">
        <v>0.19400000000000001</v>
      </c>
    </row>
    <row r="29" spans="1:8" ht="15.75">
      <c r="A29" s="182" t="s">
        <v>159</v>
      </c>
      <c r="B29" s="25" t="s">
        <v>255</v>
      </c>
      <c r="C29" s="185">
        <v>4.2039709119215944E-2</v>
      </c>
      <c r="D29" s="26" t="s">
        <v>254</v>
      </c>
      <c r="E29" s="26" t="s">
        <v>263</v>
      </c>
      <c r="G29" s="64"/>
      <c r="H29" s="64"/>
    </row>
    <row r="30" spans="1:8" ht="15.75">
      <c r="A30" s="182" t="s">
        <v>160</v>
      </c>
      <c r="B30" s="25" t="s">
        <v>256</v>
      </c>
      <c r="C30" s="185">
        <v>4.8231604260805874E-2</v>
      </c>
      <c r="D30" s="26" t="s">
        <v>254</v>
      </c>
      <c r="E30" s="26" t="s">
        <v>263</v>
      </c>
      <c r="G30" s="64"/>
      <c r="H30" s="64"/>
    </row>
    <row r="31" spans="1:8" ht="30">
      <c r="A31" s="182" t="s">
        <v>283</v>
      </c>
      <c r="B31" s="27" t="s">
        <v>21</v>
      </c>
      <c r="C31" s="185">
        <v>5.2756271682628621E-2</v>
      </c>
      <c r="D31" s="26" t="s">
        <v>267</v>
      </c>
      <c r="E31" s="26" t="s">
        <v>263</v>
      </c>
      <c r="G31" s="65">
        <f>C31</f>
        <v>5.2756271682628621E-2</v>
      </c>
      <c r="H31" s="66">
        <f>'[1]чисельність ДВК'!$J$19</f>
        <v>2.3621130606711501E-2</v>
      </c>
    </row>
    <row r="32" spans="1:8" ht="73.5" customHeight="1">
      <c r="A32" s="182" t="s">
        <v>284</v>
      </c>
      <c r="B32" s="78" t="s">
        <v>257</v>
      </c>
      <c r="C32" s="185">
        <v>9.1097154992147836E-2</v>
      </c>
      <c r="D32" s="26" t="s">
        <v>266</v>
      </c>
      <c r="E32" s="26" t="s">
        <v>263</v>
      </c>
      <c r="G32" s="65">
        <f>C32</f>
        <v>9.1097154992147836E-2</v>
      </c>
      <c r="H32" s="66">
        <f>[1]освітл!$J$38</f>
        <v>5.4234462257123257E-2</v>
      </c>
    </row>
    <row r="33" spans="1:8" ht="138" customHeight="1">
      <c r="A33" s="182" t="s">
        <v>285</v>
      </c>
      <c r="B33" s="33" t="s">
        <v>268</v>
      </c>
      <c r="C33" s="185">
        <v>0</v>
      </c>
      <c r="D33" s="26"/>
      <c r="E33" s="26"/>
      <c r="G33" s="64"/>
      <c r="H33" s="64"/>
    </row>
    <row r="34" spans="1:8" ht="45">
      <c r="A34" s="182" t="s">
        <v>286</v>
      </c>
      <c r="B34" s="33" t="s">
        <v>207</v>
      </c>
      <c r="C34" s="185">
        <v>5.8647032822153368E-2</v>
      </c>
      <c r="D34" s="34" t="s">
        <v>287</v>
      </c>
      <c r="E34" s="26" t="s">
        <v>263</v>
      </c>
      <c r="G34" s="65">
        <f>C34</f>
        <v>5.8647032822153368E-2</v>
      </c>
      <c r="H34" s="66">
        <f>'[1]чисельність сніг'!$I$28</f>
        <v>6.8312558582632063E-2</v>
      </c>
    </row>
    <row r="35" spans="1:8" ht="21.75" customHeight="1">
      <c r="A35" s="182" t="s">
        <v>288</v>
      </c>
      <c r="B35" s="33" t="s">
        <v>220</v>
      </c>
      <c r="C35" s="185">
        <v>0</v>
      </c>
      <c r="D35" s="34"/>
      <c r="E35" s="26"/>
    </row>
    <row r="36" spans="1:8" ht="33">
      <c r="A36" s="182" t="s">
        <v>289</v>
      </c>
      <c r="B36" s="27" t="s">
        <v>274</v>
      </c>
      <c r="C36" s="185">
        <v>0.20307771993386445</v>
      </c>
      <c r="D36" s="26" t="s">
        <v>264</v>
      </c>
      <c r="E36" s="26" t="s">
        <v>263</v>
      </c>
    </row>
    <row r="37" spans="1:8" ht="18">
      <c r="A37" s="182" t="s">
        <v>290</v>
      </c>
      <c r="B37" s="27" t="s">
        <v>275</v>
      </c>
      <c r="C37" s="185">
        <v>0</v>
      </c>
      <c r="D37" s="26"/>
      <c r="E37" s="26"/>
    </row>
    <row r="38" spans="1:8" ht="15.75">
      <c r="A38" s="28"/>
      <c r="B38" s="28" t="s">
        <v>270</v>
      </c>
      <c r="C38" s="184">
        <v>1.4046590969431973</v>
      </c>
      <c r="D38" s="26"/>
      <c r="E38" s="26"/>
    </row>
    <row r="39" spans="1:8">
      <c r="A39" s="22" t="s">
        <v>291</v>
      </c>
    </row>
    <row r="40" spans="1:8" ht="18.75">
      <c r="A40" s="23" t="s">
        <v>271</v>
      </c>
    </row>
    <row r="41" spans="1:8" s="77" customFormat="1" ht="18.75">
      <c r="A41" s="23"/>
      <c r="B41" s="189"/>
      <c r="C41" s="189"/>
      <c r="D41" s="189"/>
      <c r="E41" s="189"/>
    </row>
    <row r="43" spans="1:8" s="170" customFormat="1" ht="18.75">
      <c r="A43" s="168"/>
      <c r="B43" s="168" t="s">
        <v>296</v>
      </c>
      <c r="C43" s="168"/>
      <c r="D43" s="190" t="s">
        <v>297</v>
      </c>
      <c r="E43" s="168"/>
    </row>
    <row r="49" spans="3:3">
      <c r="C49" s="191"/>
    </row>
  </sheetData>
  <mergeCells count="10">
    <mergeCell ref="D1:E1"/>
    <mergeCell ref="D2:E2"/>
    <mergeCell ref="A5:E5"/>
    <mergeCell ref="A6:E6"/>
    <mergeCell ref="A7:E7"/>
    <mergeCell ref="B12:B13"/>
    <mergeCell ref="D12:D13"/>
    <mergeCell ref="C12:C13"/>
    <mergeCell ref="E12:E13"/>
    <mergeCell ref="A12:A13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26"/>
  <sheetViews>
    <sheetView view="pageBreakPreview" zoomScale="120" zoomScaleNormal="118" zoomScaleSheetLayoutView="120" workbookViewId="0">
      <selection activeCell="C620" sqref="C620"/>
    </sheetView>
  </sheetViews>
  <sheetFormatPr defaultRowHeight="15"/>
  <cols>
    <col min="1" max="1" width="9.140625" style="80"/>
    <col min="2" max="2" width="86.7109375" style="80" customWidth="1"/>
    <col min="3" max="3" width="15.5703125" style="81" customWidth="1"/>
    <col min="5" max="5" width="12.42578125" customWidth="1"/>
    <col min="7" max="7" width="11.42578125" bestFit="1" customWidth="1"/>
  </cols>
  <sheetData>
    <row r="1" spans="1:6" ht="18.75">
      <c r="B1" s="200" t="s">
        <v>292</v>
      </c>
      <c r="C1" s="200"/>
    </row>
    <row r="2" spans="1:6" ht="45" customHeight="1">
      <c r="B2" s="200" t="s">
        <v>295</v>
      </c>
      <c r="C2" s="200"/>
    </row>
    <row r="3" spans="1:6" ht="18.75">
      <c r="B3" s="180" t="s">
        <v>486</v>
      </c>
      <c r="C3" s="169"/>
    </row>
    <row r="4" spans="1:6">
      <c r="A4" s="82" t="s">
        <v>293</v>
      </c>
      <c r="B4" s="83" t="s">
        <v>0</v>
      </c>
      <c r="C4" s="84"/>
      <c r="E4" s="55">
        <v>0.4</v>
      </c>
      <c r="F4" t="s">
        <v>226</v>
      </c>
    </row>
    <row r="5" spans="1:6">
      <c r="A5" s="85"/>
      <c r="B5" s="86" t="s">
        <v>374</v>
      </c>
      <c r="C5" s="87">
        <f>C6+C7</f>
        <v>3152.06</v>
      </c>
      <c r="E5" s="55"/>
    </row>
    <row r="6" spans="1:6" s="72" customFormat="1">
      <c r="A6" s="85"/>
      <c r="B6" s="86" t="s">
        <v>403</v>
      </c>
      <c r="C6" s="84">
        <v>3152.06</v>
      </c>
      <c r="E6" s="55"/>
    </row>
    <row r="7" spans="1:6" s="72" customFormat="1">
      <c r="A7" s="85"/>
      <c r="B7" s="86" t="s">
        <v>404</v>
      </c>
      <c r="C7" s="84"/>
      <c r="E7" s="55"/>
    </row>
    <row r="8" spans="1:6" ht="15.75">
      <c r="A8" s="85"/>
      <c r="B8" s="88" t="s">
        <v>409</v>
      </c>
      <c r="C8" s="84">
        <f>C19+C20</f>
        <v>1772.7</v>
      </c>
      <c r="E8" s="55">
        <v>0.3</v>
      </c>
      <c r="F8" t="s">
        <v>227</v>
      </c>
    </row>
    <row r="9" spans="1:6">
      <c r="A9" s="85"/>
      <c r="B9" s="88" t="s">
        <v>1</v>
      </c>
      <c r="C9" s="84">
        <v>70</v>
      </c>
    </row>
    <row r="10" spans="1:6" ht="15.75" hidden="1">
      <c r="A10" s="85"/>
      <c r="B10" s="88" t="s">
        <v>410</v>
      </c>
      <c r="C10" s="84"/>
    </row>
    <row r="11" spans="1:6">
      <c r="A11" s="85"/>
      <c r="B11" s="88" t="s">
        <v>2</v>
      </c>
      <c r="C11" s="84">
        <v>210</v>
      </c>
      <c r="D11">
        <v>2</v>
      </c>
    </row>
    <row r="12" spans="1:6" ht="15.75">
      <c r="A12" s="85"/>
      <c r="B12" s="88" t="s">
        <v>411</v>
      </c>
      <c r="C12" s="84">
        <v>857.9</v>
      </c>
    </row>
    <row r="13" spans="1:6">
      <c r="A13" s="85"/>
      <c r="B13" s="88" t="s">
        <v>3</v>
      </c>
      <c r="C13" s="84">
        <v>5</v>
      </c>
    </row>
    <row r="14" spans="1:6" ht="15.75" hidden="1">
      <c r="A14" s="85"/>
      <c r="B14" s="88" t="s">
        <v>412</v>
      </c>
      <c r="C14" s="84"/>
    </row>
    <row r="15" spans="1:6" hidden="1">
      <c r="A15" s="85"/>
      <c r="C15" s="84"/>
    </row>
    <row r="16" spans="1:6" s="54" customFormat="1" hidden="1">
      <c r="A16" s="85"/>
      <c r="B16" s="88"/>
      <c r="C16" s="84"/>
    </row>
    <row r="17" spans="1:3" s="54" customFormat="1" hidden="1">
      <c r="A17" s="85"/>
      <c r="B17" s="88"/>
      <c r="C17" s="84"/>
    </row>
    <row r="18" spans="1:3" ht="15.75" hidden="1">
      <c r="A18" s="85"/>
      <c r="B18" s="88" t="s">
        <v>413</v>
      </c>
      <c r="C18" s="84"/>
    </row>
    <row r="19" spans="1:3" ht="15.75">
      <c r="A19" s="85"/>
      <c r="B19" s="88" t="s">
        <v>414</v>
      </c>
      <c r="C19" s="84">
        <v>1212</v>
      </c>
    </row>
    <row r="20" spans="1:3" ht="15.75">
      <c r="A20" s="85"/>
      <c r="B20" s="88" t="s">
        <v>415</v>
      </c>
      <c r="C20" s="84">
        <v>560.70000000000005</v>
      </c>
    </row>
    <row r="21" spans="1:3" ht="15.75">
      <c r="A21" s="85"/>
      <c r="B21" s="88" t="s">
        <v>416</v>
      </c>
      <c r="C21" s="84">
        <v>527</v>
      </c>
    </row>
    <row r="22" spans="1:3" ht="15.75">
      <c r="A22" s="85"/>
      <c r="B22" s="88" t="s">
        <v>417</v>
      </c>
      <c r="C22" s="84">
        <v>1090.8</v>
      </c>
    </row>
    <row r="23" spans="1:3">
      <c r="A23" s="85"/>
      <c r="B23" s="88" t="s">
        <v>241</v>
      </c>
      <c r="C23" s="84">
        <f>C20*20%</f>
        <v>112.14000000000001</v>
      </c>
    </row>
    <row r="24" spans="1:3">
      <c r="A24" s="85"/>
      <c r="B24" s="88" t="s">
        <v>242</v>
      </c>
      <c r="C24" s="84">
        <f>C20*60%</f>
        <v>336.42</v>
      </c>
    </row>
    <row r="25" spans="1:3">
      <c r="A25" s="85"/>
      <c r="B25" s="88" t="s">
        <v>243</v>
      </c>
      <c r="C25" s="84">
        <f>C23+(C24*0.1)</f>
        <v>145.78200000000001</v>
      </c>
    </row>
    <row r="26" spans="1:3" s="36" customFormat="1">
      <c r="A26" s="85"/>
      <c r="B26" s="89" t="s">
        <v>51</v>
      </c>
      <c r="C26" s="84"/>
    </row>
    <row r="27" spans="1:3" s="36" customFormat="1">
      <c r="A27" s="85"/>
      <c r="B27" s="88" t="s">
        <v>487</v>
      </c>
      <c r="C27" s="84">
        <f>150+30</f>
        <v>180</v>
      </c>
    </row>
    <row r="28" spans="1:3" s="36" customFormat="1">
      <c r="A28" s="85"/>
      <c r="B28" s="88" t="s">
        <v>488</v>
      </c>
      <c r="C28" s="84">
        <v>60</v>
      </c>
    </row>
    <row r="29" spans="1:3" s="36" customFormat="1">
      <c r="A29" s="85"/>
      <c r="B29" s="88" t="s">
        <v>322</v>
      </c>
      <c r="C29" s="84">
        <v>0</v>
      </c>
    </row>
    <row r="30" spans="1:3" s="36" customFormat="1">
      <c r="A30" s="85"/>
      <c r="B30" s="88" t="s">
        <v>469</v>
      </c>
      <c r="C30" s="84">
        <v>10</v>
      </c>
    </row>
    <row r="31" spans="1:3" s="77" customFormat="1">
      <c r="A31" s="85"/>
      <c r="B31" s="88" t="s">
        <v>489</v>
      </c>
      <c r="C31" s="84">
        <v>2</v>
      </c>
    </row>
    <row r="32" spans="1:3" s="36" customFormat="1">
      <c r="A32" s="85"/>
      <c r="B32" s="88" t="s">
        <v>309</v>
      </c>
      <c r="C32" s="84">
        <v>1</v>
      </c>
    </row>
    <row r="33" spans="1:3" s="36" customFormat="1" hidden="1">
      <c r="A33" s="85"/>
      <c r="B33" s="89" t="s">
        <v>145</v>
      </c>
      <c r="C33" s="84"/>
    </row>
    <row r="34" spans="1:3" s="36" customFormat="1" hidden="1">
      <c r="A34" s="85"/>
      <c r="B34" s="88" t="s">
        <v>310</v>
      </c>
      <c r="C34" s="84">
        <v>0</v>
      </c>
    </row>
    <row r="35" spans="1:3" s="36" customFormat="1" hidden="1">
      <c r="A35" s="85"/>
      <c r="B35" s="88" t="s">
        <v>311</v>
      </c>
      <c r="C35" s="84">
        <v>0</v>
      </c>
    </row>
    <row r="36" spans="1:3" s="36" customFormat="1" hidden="1">
      <c r="A36" s="85"/>
      <c r="B36" s="88" t="s">
        <v>312</v>
      </c>
      <c r="C36" s="84">
        <v>0</v>
      </c>
    </row>
    <row r="37" spans="1:3" s="36" customFormat="1" hidden="1">
      <c r="A37" s="85"/>
      <c r="B37" s="88" t="s">
        <v>308</v>
      </c>
      <c r="C37" s="84">
        <v>0</v>
      </c>
    </row>
    <row r="38" spans="1:3" s="36" customFormat="1" hidden="1">
      <c r="A38" s="85"/>
      <c r="B38" s="88" t="s">
        <v>309</v>
      </c>
      <c r="C38" s="84">
        <v>0</v>
      </c>
    </row>
    <row r="39" spans="1:3" s="36" customFormat="1" hidden="1">
      <c r="A39" s="85"/>
      <c r="B39" s="88" t="s">
        <v>313</v>
      </c>
      <c r="C39" s="84">
        <v>0</v>
      </c>
    </row>
    <row r="40" spans="1:3" s="54" customFormat="1" hidden="1">
      <c r="A40" s="85"/>
      <c r="B40" s="88" t="s">
        <v>325</v>
      </c>
      <c r="C40" s="84">
        <v>0</v>
      </c>
    </row>
    <row r="41" spans="1:3" s="36" customFormat="1">
      <c r="A41" s="85"/>
      <c r="B41" s="89" t="s">
        <v>101</v>
      </c>
      <c r="C41" s="84"/>
    </row>
    <row r="42" spans="1:3" s="36" customFormat="1">
      <c r="A42" s="85"/>
      <c r="B42" s="88" t="s">
        <v>314</v>
      </c>
      <c r="C42" s="84">
        <v>300</v>
      </c>
    </row>
    <row r="43" spans="1:3" s="36" customFormat="1">
      <c r="A43" s="85"/>
      <c r="B43" s="89" t="s">
        <v>113</v>
      </c>
      <c r="C43" s="84"/>
    </row>
    <row r="44" spans="1:3" s="36" customFormat="1">
      <c r="A44" s="85"/>
      <c r="B44" s="90" t="s">
        <v>321</v>
      </c>
      <c r="C44" s="84">
        <v>1080</v>
      </c>
    </row>
    <row r="45" spans="1:3" s="36" customFormat="1">
      <c r="A45" s="85"/>
      <c r="B45" s="90" t="s">
        <v>458</v>
      </c>
      <c r="C45" s="84">
        <v>320</v>
      </c>
    </row>
    <row r="46" spans="1:3" s="36" customFormat="1">
      <c r="A46" s="85"/>
      <c r="B46" s="90" t="s">
        <v>465</v>
      </c>
      <c r="C46" s="84">
        <v>0</v>
      </c>
    </row>
    <row r="47" spans="1:3" s="36" customFormat="1">
      <c r="A47" s="85"/>
      <c r="B47" s="90" t="s">
        <v>322</v>
      </c>
      <c r="C47" s="84">
        <v>64</v>
      </c>
    </row>
    <row r="48" spans="1:3" s="36" customFormat="1">
      <c r="A48" s="85"/>
      <c r="B48" s="90" t="s">
        <v>307</v>
      </c>
      <c r="C48" s="84">
        <v>60</v>
      </c>
    </row>
    <row r="49" spans="1:14" s="36" customFormat="1">
      <c r="A49" s="85"/>
      <c r="B49" s="90" t="s">
        <v>309</v>
      </c>
      <c r="C49" s="84">
        <v>4</v>
      </c>
    </row>
    <row r="50" spans="1:14" s="36" customFormat="1">
      <c r="A50" s="85"/>
      <c r="B50" s="90" t="s">
        <v>313</v>
      </c>
      <c r="C50" s="84">
        <v>0</v>
      </c>
    </row>
    <row r="51" spans="1:14" s="36" customFormat="1">
      <c r="A51" s="85"/>
      <c r="B51" s="90" t="s">
        <v>370</v>
      </c>
      <c r="C51" s="84">
        <v>1</v>
      </c>
    </row>
    <row r="52" spans="1:14" s="54" customFormat="1">
      <c r="A52" s="85"/>
      <c r="B52" s="91" t="s">
        <v>371</v>
      </c>
      <c r="C52" s="87">
        <f>C44+C45+C46</f>
        <v>1400</v>
      </c>
    </row>
    <row r="53" spans="1:14" s="36" customFormat="1">
      <c r="A53" s="85"/>
      <c r="B53" s="88" t="s">
        <v>4</v>
      </c>
      <c r="C53" s="92">
        <f>C44+C45+C46</f>
        <v>1400</v>
      </c>
    </row>
    <row r="54" spans="1:14" s="36" customFormat="1">
      <c r="A54" s="85"/>
      <c r="B54" s="89" t="s">
        <v>144</v>
      </c>
      <c r="C54" s="84"/>
    </row>
    <row r="55" spans="1:14" s="36" customFormat="1">
      <c r="A55" s="85"/>
      <c r="B55" s="88" t="s">
        <v>316</v>
      </c>
      <c r="C55" s="84">
        <v>0</v>
      </c>
    </row>
    <row r="56" spans="1:14" s="36" customFormat="1">
      <c r="A56" s="85"/>
      <c r="B56" s="93" t="s">
        <v>328</v>
      </c>
      <c r="C56" s="84"/>
      <c r="E56" s="41"/>
      <c r="F56" s="41"/>
      <c r="G56" s="41"/>
      <c r="H56" s="41"/>
      <c r="I56" s="41"/>
      <c r="J56" s="41"/>
      <c r="K56" s="201"/>
      <c r="L56" s="201"/>
      <c r="M56" s="41"/>
      <c r="N56" s="198"/>
    </row>
    <row r="57" spans="1:14" s="36" customFormat="1">
      <c r="A57" s="85"/>
      <c r="B57" s="94" t="s">
        <v>337</v>
      </c>
      <c r="C57" s="84">
        <v>1</v>
      </c>
      <c r="E57" s="41"/>
      <c r="F57" s="41"/>
      <c r="G57" s="41"/>
      <c r="H57" s="41"/>
      <c r="I57" s="41"/>
      <c r="J57" s="41"/>
      <c r="K57" s="201"/>
      <c r="L57" s="201"/>
      <c r="M57" s="41"/>
      <c r="N57" s="198"/>
    </row>
    <row r="58" spans="1:14" s="36" customFormat="1">
      <c r="A58" s="85"/>
      <c r="B58" s="94" t="s">
        <v>394</v>
      </c>
      <c r="C58" s="84">
        <v>1</v>
      </c>
      <c r="E58" s="41"/>
      <c r="F58" s="41"/>
      <c r="G58" s="41"/>
      <c r="H58" s="41"/>
      <c r="I58" s="41"/>
      <c r="J58" s="41"/>
      <c r="K58" s="201"/>
      <c r="L58" s="201"/>
      <c r="M58" s="41"/>
      <c r="N58" s="198"/>
    </row>
    <row r="59" spans="1:14" s="36" customFormat="1">
      <c r="A59" s="85"/>
      <c r="B59" s="88" t="s">
        <v>334</v>
      </c>
      <c r="C59" s="84">
        <v>170</v>
      </c>
      <c r="E59" s="42"/>
      <c r="F59" s="42"/>
      <c r="G59" s="42"/>
      <c r="H59" s="42"/>
      <c r="I59" s="42"/>
      <c r="J59" s="42"/>
      <c r="K59" s="201"/>
      <c r="L59" s="201"/>
      <c r="M59" s="42"/>
      <c r="N59" s="198"/>
    </row>
    <row r="60" spans="1:14" s="36" customFormat="1">
      <c r="A60" s="85"/>
      <c r="B60" s="88" t="s">
        <v>335</v>
      </c>
      <c r="C60" s="84">
        <v>440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</row>
    <row r="61" spans="1:14" s="36" customFormat="1">
      <c r="A61" s="85"/>
      <c r="B61" s="88" t="s">
        <v>329</v>
      </c>
      <c r="C61" s="84">
        <v>4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4" s="36" customFormat="1">
      <c r="A62" s="85"/>
      <c r="B62" s="88" t="s">
        <v>330</v>
      </c>
      <c r="C62" s="84">
        <v>32</v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s="36" customFormat="1">
      <c r="A63" s="85"/>
      <c r="B63" s="88" t="s">
        <v>331</v>
      </c>
      <c r="C63" s="84">
        <v>16</v>
      </c>
    </row>
    <row r="64" spans="1:14" s="36" customFormat="1">
      <c r="A64" s="85"/>
      <c r="B64" s="88" t="s">
        <v>332</v>
      </c>
      <c r="C64" s="84">
        <v>10</v>
      </c>
    </row>
    <row r="65" spans="1:5" s="36" customFormat="1">
      <c r="A65" s="85"/>
      <c r="B65" s="88" t="s">
        <v>333</v>
      </c>
      <c r="C65" s="84">
        <v>6</v>
      </c>
    </row>
    <row r="66" spans="1:5" s="36" customFormat="1">
      <c r="A66" s="85"/>
      <c r="B66" s="88" t="s">
        <v>336</v>
      </c>
      <c r="C66" s="84">
        <v>21</v>
      </c>
    </row>
    <row r="67" spans="1:5">
      <c r="A67" s="85"/>
      <c r="B67" s="88" t="s">
        <v>8</v>
      </c>
      <c r="C67" s="84">
        <v>450</v>
      </c>
    </row>
    <row r="68" spans="1:5">
      <c r="A68" s="85"/>
      <c r="B68" s="90" t="s">
        <v>294</v>
      </c>
      <c r="C68" s="84"/>
    </row>
    <row r="69" spans="1:5">
      <c r="A69" s="177">
        <v>1</v>
      </c>
      <c r="B69" s="172" t="s">
        <v>9</v>
      </c>
      <c r="C69" s="95">
        <f>C88+C103+C123+C139</f>
        <v>0.3881539768508217</v>
      </c>
      <c r="E69">
        <f>(C87+C102+C122+C138)/C5</f>
        <v>0.3881539768508217</v>
      </c>
    </row>
    <row r="70" spans="1:5">
      <c r="A70" s="96" t="s">
        <v>31</v>
      </c>
      <c r="B70" s="97" t="s">
        <v>10</v>
      </c>
      <c r="C70" s="98"/>
    </row>
    <row r="71" spans="1:5">
      <c r="A71" s="96"/>
      <c r="B71" s="87" t="s">
        <v>11</v>
      </c>
      <c r="C71" s="98"/>
    </row>
    <row r="72" spans="1:5">
      <c r="A72" s="96"/>
      <c r="B72" s="87" t="s">
        <v>490</v>
      </c>
      <c r="C72" s="98">
        <v>112</v>
      </c>
      <c r="D72">
        <f>(96+16)/12/4</f>
        <v>2.3333333333333335</v>
      </c>
    </row>
    <row r="73" spans="1:5">
      <c r="A73" s="96"/>
      <c r="B73" s="87" t="s">
        <v>12</v>
      </c>
      <c r="C73" s="98">
        <f>(C72*0.25*C20)/100</f>
        <v>156.99600000000001</v>
      </c>
      <c r="D73" s="164">
        <v>1</v>
      </c>
    </row>
    <row r="74" spans="1:5">
      <c r="A74" s="96"/>
      <c r="B74" s="99" t="s">
        <v>37</v>
      </c>
      <c r="C74" s="98"/>
    </row>
    <row r="75" spans="1:5">
      <c r="A75" s="96"/>
      <c r="B75" s="87" t="s">
        <v>418</v>
      </c>
      <c r="C75" s="98">
        <v>96</v>
      </c>
    </row>
    <row r="76" spans="1:5">
      <c r="A76" s="96"/>
      <c r="B76" s="87" t="s">
        <v>38</v>
      </c>
      <c r="C76" s="98">
        <f>(C75*0.37*C21)*20%/100</f>
        <v>37.438079999999992</v>
      </c>
      <c r="D76" s="164">
        <v>0.2</v>
      </c>
    </row>
    <row r="77" spans="1:5">
      <c r="A77" s="96"/>
      <c r="B77" s="100" t="s">
        <v>15</v>
      </c>
      <c r="C77" s="101">
        <f>(C73+C76)/2003</f>
        <v>9.7071432850723907E-2</v>
      </c>
    </row>
    <row r="78" spans="1:5">
      <c r="A78" s="96"/>
      <c r="B78" s="87" t="s">
        <v>46</v>
      </c>
      <c r="C78" s="102">
        <f>C77*1378*1.2*1.2</f>
        <v>192.62078563434844</v>
      </c>
      <c r="E78">
        <f>1378*1.2*1.2</f>
        <v>1984.3199999999997</v>
      </c>
    </row>
    <row r="79" spans="1:5">
      <c r="A79" s="96"/>
      <c r="B79" s="87" t="s">
        <v>474</v>
      </c>
      <c r="C79" s="102">
        <f>C78*22%</f>
        <v>42.376572839556658</v>
      </c>
    </row>
    <row r="80" spans="1:5" ht="63.75">
      <c r="A80" s="96"/>
      <c r="B80" s="87" t="s">
        <v>36</v>
      </c>
      <c r="C80" s="102">
        <f>C77*E80</f>
        <v>54.285257393110335</v>
      </c>
      <c r="E80" s="6">
        <v>559.23</v>
      </c>
    </row>
    <row r="81" spans="1:7">
      <c r="A81" s="96"/>
      <c r="B81" s="103" t="s">
        <v>39</v>
      </c>
      <c r="C81" s="102">
        <f>C78*E4</f>
        <v>77.048314253739377</v>
      </c>
      <c r="E81" s="12"/>
    </row>
    <row r="82" spans="1:7">
      <c r="A82" s="96"/>
      <c r="B82" s="87" t="s">
        <v>42</v>
      </c>
      <c r="C82" s="102">
        <f>C78+C79+C80+C81</f>
        <v>366.33093012075477</v>
      </c>
      <c r="E82" s="12"/>
    </row>
    <row r="83" spans="1:7">
      <c r="A83" s="96"/>
      <c r="B83" s="103" t="s">
        <v>40</v>
      </c>
      <c r="C83" s="102">
        <f>C82*E8</f>
        <v>109.89927903622643</v>
      </c>
      <c r="E83" s="12"/>
    </row>
    <row r="84" spans="1:7">
      <c r="A84" s="96"/>
      <c r="B84" s="87" t="s">
        <v>41</v>
      </c>
      <c r="C84" s="102">
        <f>C82+C83</f>
        <v>476.23020915698123</v>
      </c>
    </row>
    <row r="85" spans="1:7">
      <c r="A85" s="96"/>
      <c r="B85" s="87" t="s">
        <v>470</v>
      </c>
      <c r="C85" s="110">
        <f>C84*5%</f>
        <v>23.811510457849064</v>
      </c>
      <c r="E85" s="8">
        <v>0.1</v>
      </c>
    </row>
    <row r="86" spans="1:7">
      <c r="A86" s="96"/>
      <c r="B86" s="87" t="s">
        <v>476</v>
      </c>
      <c r="C86" s="102">
        <f>(C84+C85)/0.95-(C84+C85)</f>
        <v>26.317985242885811</v>
      </c>
      <c r="E86" s="8">
        <v>0.04</v>
      </c>
    </row>
    <row r="87" spans="1:7">
      <c r="A87" s="96"/>
      <c r="B87" s="99" t="s">
        <v>19</v>
      </c>
      <c r="C87" s="102">
        <f>C84+C85+C86</f>
        <v>526.35970485771611</v>
      </c>
      <c r="D87" s="13">
        <f>E87-C86</f>
        <v>-5.2635970485771679</v>
      </c>
      <c r="E87">
        <f>C87*4%</f>
        <v>21.054388194308643</v>
      </c>
    </row>
    <row r="88" spans="1:7">
      <c r="A88" s="96"/>
      <c r="B88" s="87" t="s">
        <v>20</v>
      </c>
      <c r="C88" s="104">
        <f>C87/C5</f>
        <v>0.16698911342351228</v>
      </c>
    </row>
    <row r="89" spans="1:7">
      <c r="A89" s="96" t="s">
        <v>32</v>
      </c>
      <c r="B89" s="105" t="s">
        <v>13</v>
      </c>
      <c r="C89" s="98"/>
    </row>
    <row r="90" spans="1:7">
      <c r="A90" s="96"/>
      <c r="B90" s="87" t="s">
        <v>491</v>
      </c>
      <c r="C90" s="98">
        <v>112</v>
      </c>
      <c r="G90">
        <f>98*6*10%</f>
        <v>58.800000000000004</v>
      </c>
    </row>
    <row r="91" spans="1:7">
      <c r="A91" s="96"/>
      <c r="B91" s="87" t="s">
        <v>14</v>
      </c>
      <c r="C91" s="98">
        <f>(C90*0.13*C19)/100</f>
        <v>176.46720000000002</v>
      </c>
      <c r="D91" s="164">
        <v>0.5</v>
      </c>
      <c r="E91" s="6"/>
    </row>
    <row r="92" spans="1:7">
      <c r="A92" s="96"/>
      <c r="B92" s="100" t="s">
        <v>15</v>
      </c>
      <c r="C92" s="106">
        <f>C91/2003</f>
        <v>8.8101447828257629E-2</v>
      </c>
      <c r="D92" s="7"/>
      <c r="E92" s="7"/>
    </row>
    <row r="93" spans="1:7">
      <c r="A93" s="96"/>
      <c r="B93" s="87" t="s">
        <v>46</v>
      </c>
      <c r="C93" s="107">
        <f>(1378*1.2*1.2)*C92</f>
        <v>174.82146495456814</v>
      </c>
      <c r="E93">
        <f>1378*1.2*1.2</f>
        <v>1984.3199999999997</v>
      </c>
    </row>
    <row r="94" spans="1:7">
      <c r="A94" s="96"/>
      <c r="B94" s="87" t="s">
        <v>474</v>
      </c>
      <c r="C94" s="107">
        <f>C93*22%</f>
        <v>38.460722290004995</v>
      </c>
    </row>
    <row r="95" spans="1:7" ht="63.75">
      <c r="A95" s="96"/>
      <c r="B95" s="87" t="s">
        <v>36</v>
      </c>
      <c r="C95" s="107">
        <f>C92*E95</f>
        <v>49.268972668996518</v>
      </c>
      <c r="E95" s="6">
        <v>559.23</v>
      </c>
    </row>
    <row r="96" spans="1:7">
      <c r="A96" s="96"/>
      <c r="B96" s="103" t="s">
        <v>39</v>
      </c>
      <c r="C96" s="107">
        <f>C93*E4</f>
        <v>69.928585981827254</v>
      </c>
      <c r="E96" s="12"/>
    </row>
    <row r="97" spans="1:10">
      <c r="A97" s="96"/>
      <c r="B97" s="87" t="s">
        <v>42</v>
      </c>
      <c r="C97" s="107">
        <f>C93+C94+C95+C96</f>
        <v>332.47974589539695</v>
      </c>
      <c r="E97" s="12"/>
    </row>
    <row r="98" spans="1:10">
      <c r="A98" s="96"/>
      <c r="B98" s="103" t="s">
        <v>40</v>
      </c>
      <c r="C98" s="107">
        <f>C97*E8</f>
        <v>99.743923768619084</v>
      </c>
      <c r="E98" s="12"/>
    </row>
    <row r="99" spans="1:10">
      <c r="A99" s="96"/>
      <c r="B99" s="87" t="s">
        <v>41</v>
      </c>
      <c r="C99" s="107">
        <f>C97+C98</f>
        <v>432.22366966401603</v>
      </c>
    </row>
    <row r="100" spans="1:10">
      <c r="A100" s="96"/>
      <c r="B100" s="87" t="s">
        <v>470</v>
      </c>
      <c r="C100" s="110">
        <f>C99*5%</f>
        <v>21.611183483200804</v>
      </c>
      <c r="E100" s="8">
        <v>0.1</v>
      </c>
    </row>
    <row r="101" spans="1:10">
      <c r="A101" s="96"/>
      <c r="B101" s="87" t="s">
        <v>476</v>
      </c>
      <c r="C101" s="102">
        <f>(C99+C100)/0.95-(C99+C100)</f>
        <v>23.886044902485139</v>
      </c>
      <c r="E101" s="8">
        <v>0.04</v>
      </c>
      <c r="I101" s="3"/>
    </row>
    <row r="102" spans="1:10">
      <c r="A102" s="96"/>
      <c r="B102" s="99" t="s">
        <v>19</v>
      </c>
      <c r="C102" s="107">
        <f>C99+C100+C101</f>
        <v>477.72089804970199</v>
      </c>
      <c r="I102" s="3"/>
    </row>
    <row r="103" spans="1:10">
      <c r="A103" s="96"/>
      <c r="B103" s="87" t="s">
        <v>20</v>
      </c>
      <c r="C103" s="108">
        <f>C102/C5</f>
        <v>0.15155831362654962</v>
      </c>
      <c r="I103" s="3"/>
    </row>
    <row r="104" spans="1:10">
      <c r="A104" s="96" t="s">
        <v>33</v>
      </c>
      <c r="B104" s="97" t="s">
        <v>16</v>
      </c>
      <c r="C104" s="98"/>
      <c r="I104" s="3"/>
    </row>
    <row r="105" spans="1:10">
      <c r="A105" s="96"/>
      <c r="B105" s="87" t="s">
        <v>230</v>
      </c>
      <c r="C105" s="98">
        <f>1*4</f>
        <v>4</v>
      </c>
      <c r="I105" s="3"/>
    </row>
    <row r="106" spans="1:10">
      <c r="A106" s="96"/>
      <c r="B106" s="87" t="s">
        <v>27</v>
      </c>
      <c r="C106" s="98">
        <f>(C105*0.28*C22)/100</f>
        <v>12.216960000000002</v>
      </c>
      <c r="I106" s="4"/>
    </row>
    <row r="107" spans="1:10">
      <c r="A107" s="96"/>
      <c r="B107" s="100" t="s">
        <v>17</v>
      </c>
      <c r="C107" s="102">
        <f>C106/2003</f>
        <v>6.0993310034947587E-3</v>
      </c>
      <c r="I107" s="3"/>
    </row>
    <row r="108" spans="1:10">
      <c r="A108" s="96"/>
      <c r="B108" s="87" t="s">
        <v>45</v>
      </c>
      <c r="C108" s="102">
        <f>1378*1.2*1.35*C107</f>
        <v>13.61590255896156</v>
      </c>
      <c r="E108">
        <f>1378*1.2*1.35</f>
        <v>2232.36</v>
      </c>
      <c r="I108" s="5"/>
      <c r="J108" s="4"/>
    </row>
    <row r="109" spans="1:10">
      <c r="A109" s="96"/>
      <c r="B109" s="87" t="s">
        <v>474</v>
      </c>
      <c r="C109" s="102">
        <f>C108*22%</f>
        <v>2.9954985629715432</v>
      </c>
      <c r="I109" s="5"/>
      <c r="J109" s="3"/>
    </row>
    <row r="110" spans="1:10" ht="63.75">
      <c r="A110" s="96"/>
      <c r="B110" s="87" t="s">
        <v>36</v>
      </c>
      <c r="C110" s="102">
        <f>E110*C107</f>
        <v>0.69367691502745887</v>
      </c>
      <c r="E110" s="6">
        <v>113.73</v>
      </c>
      <c r="J110" s="3"/>
    </row>
    <row r="111" spans="1:10">
      <c r="A111" s="96"/>
      <c r="B111" s="87" t="s">
        <v>230</v>
      </c>
      <c r="C111" s="102"/>
      <c r="J111" s="3"/>
    </row>
    <row r="112" spans="1:10">
      <c r="A112" s="96"/>
      <c r="B112" s="87" t="s">
        <v>28</v>
      </c>
      <c r="C112" s="102">
        <f>(4*0.26*C22)/100</f>
        <v>11.34432</v>
      </c>
      <c r="J112" s="3"/>
    </row>
    <row r="113" spans="1:10">
      <c r="A113" s="96"/>
      <c r="B113" s="87" t="s">
        <v>29</v>
      </c>
      <c r="C113" s="102">
        <f>C112/12</f>
        <v>0.94535999999999998</v>
      </c>
      <c r="J113" s="3"/>
    </row>
    <row r="114" spans="1:10">
      <c r="A114" s="96"/>
      <c r="B114" s="103" t="s">
        <v>30</v>
      </c>
      <c r="C114" s="102">
        <f>C113*20.78</f>
        <v>19.6445808</v>
      </c>
      <c r="F114">
        <f>(0.8*22)</f>
        <v>17.600000000000001</v>
      </c>
      <c r="G114" t="s">
        <v>231</v>
      </c>
      <c r="J114" s="3"/>
    </row>
    <row r="115" spans="1:10">
      <c r="A115" s="96"/>
      <c r="B115" s="103" t="s">
        <v>373</v>
      </c>
      <c r="C115" s="102">
        <f>((C22*5.61)/100)*4/12</f>
        <v>20.397960000000001</v>
      </c>
      <c r="D115">
        <f>C22/100*2.61*2.15*4/12</f>
        <v>20.403413999999994</v>
      </c>
      <c r="J115" s="3"/>
    </row>
    <row r="116" spans="1:10">
      <c r="A116" s="96"/>
      <c r="B116" s="103" t="s">
        <v>39</v>
      </c>
      <c r="C116" s="102">
        <f>C108*E4</f>
        <v>5.4463610235846245</v>
      </c>
      <c r="E116" s="8"/>
      <c r="G116" t="s">
        <v>232</v>
      </c>
      <c r="J116" s="3"/>
    </row>
    <row r="117" spans="1:10">
      <c r="A117" s="96"/>
      <c r="B117" s="87" t="s">
        <v>42</v>
      </c>
      <c r="C117" s="102">
        <f>C108+C109+C110+C114+C115+C116</f>
        <v>62.793979860545186</v>
      </c>
      <c r="J117" s="3"/>
    </row>
    <row r="118" spans="1:10">
      <c r="A118" s="96"/>
      <c r="B118" s="103" t="s">
        <v>40</v>
      </c>
      <c r="C118" s="102">
        <f>C117*E8</f>
        <v>18.838193958163554</v>
      </c>
      <c r="E118" s="8"/>
      <c r="J118" s="3"/>
    </row>
    <row r="119" spans="1:10">
      <c r="A119" s="96"/>
      <c r="B119" s="87" t="s">
        <v>41</v>
      </c>
      <c r="C119" s="102">
        <f>C117+C118</f>
        <v>81.632173818708736</v>
      </c>
      <c r="J119" s="3"/>
    </row>
    <row r="120" spans="1:10">
      <c r="A120" s="96"/>
      <c r="B120" s="87" t="s">
        <v>470</v>
      </c>
      <c r="C120" s="110">
        <f>C119*5%</f>
        <v>4.081608690935437</v>
      </c>
      <c r="E120" s="8">
        <v>0.1</v>
      </c>
      <c r="J120" s="3"/>
    </row>
    <row r="121" spans="1:10">
      <c r="A121" s="96"/>
      <c r="B121" s="87" t="s">
        <v>476</v>
      </c>
      <c r="C121" s="102">
        <f>(C119+C120)/0.95-(C119+C120)</f>
        <v>4.511251711033907</v>
      </c>
      <c r="E121" s="8">
        <v>0.04</v>
      </c>
    </row>
    <row r="122" spans="1:10">
      <c r="A122" s="96"/>
      <c r="B122" s="99" t="s">
        <v>19</v>
      </c>
      <c r="C122" s="102">
        <f>C119+C120+C121</f>
        <v>90.225034220678083</v>
      </c>
    </row>
    <row r="123" spans="1:10">
      <c r="A123" s="96"/>
      <c r="B123" s="87" t="s">
        <v>20</v>
      </c>
      <c r="C123" s="109">
        <f>C122/C5</f>
        <v>2.8624148722003414E-2</v>
      </c>
    </row>
    <row r="124" spans="1:10">
      <c r="A124" s="96" t="s">
        <v>34</v>
      </c>
      <c r="B124" s="97" t="s">
        <v>375</v>
      </c>
      <c r="C124" s="110"/>
    </row>
    <row r="125" spans="1:10">
      <c r="A125" s="96"/>
      <c r="B125" s="87" t="s">
        <v>419</v>
      </c>
      <c r="C125" s="106">
        <f>D126</f>
        <v>6.31226727947179</v>
      </c>
    </row>
    <row r="126" spans="1:10">
      <c r="A126" s="96"/>
      <c r="B126" s="87" t="s">
        <v>35</v>
      </c>
      <c r="C126" s="110">
        <f>3.8*C125</f>
        <v>23.986615661992801</v>
      </c>
      <c r="D126" s="62">
        <f>890/170886.3*C19</f>
        <v>6.31226727947179</v>
      </c>
      <c r="E126" t="s">
        <v>248</v>
      </c>
    </row>
    <row r="127" spans="1:10">
      <c r="A127" s="96"/>
      <c r="B127" s="100" t="s">
        <v>15</v>
      </c>
      <c r="C127" s="110">
        <f>C126/2003</f>
        <v>1.1975344813775737E-2</v>
      </c>
    </row>
    <row r="128" spans="1:10">
      <c r="A128" s="96"/>
      <c r="B128" s="87" t="s">
        <v>47</v>
      </c>
      <c r="C128" s="110">
        <f>1378*1.2*1.2*C127</f>
        <v>23.762916220871467</v>
      </c>
      <c r="E128">
        <f>1378*1.2*1.2</f>
        <v>1984.3199999999997</v>
      </c>
    </row>
    <row r="129" spans="1:12">
      <c r="A129" s="96"/>
      <c r="B129" s="87" t="s">
        <v>474</v>
      </c>
      <c r="C129" s="110">
        <f>C128*22%</f>
        <v>5.2278415685917228</v>
      </c>
      <c r="L129">
        <f>890/148826.3</f>
        <v>5.9801258245350455E-3</v>
      </c>
    </row>
    <row r="130" spans="1:12" ht="63.75">
      <c r="A130" s="96"/>
      <c r="B130" s="87" t="s">
        <v>36</v>
      </c>
      <c r="C130" s="110">
        <f>C127*E130</f>
        <v>6.6969720802078054</v>
      </c>
      <c r="E130">
        <v>559.23</v>
      </c>
    </row>
    <row r="131" spans="1:12">
      <c r="A131" s="96"/>
      <c r="B131" s="103" t="s">
        <v>225</v>
      </c>
      <c r="C131" s="110">
        <f>D131*C125/12</f>
        <v>44.711893229591844</v>
      </c>
      <c r="D131" s="61">
        <f>850/10</f>
        <v>85</v>
      </c>
      <c r="G131" s="63"/>
      <c r="H131">
        <f>C131/C5</f>
        <v>1.4184975295391537E-2</v>
      </c>
    </row>
    <row r="132" spans="1:12">
      <c r="A132" s="96"/>
      <c r="B132" s="103" t="s">
        <v>39</v>
      </c>
      <c r="C132" s="110">
        <f>C128*E4</f>
        <v>9.5051664883485874</v>
      </c>
      <c r="E132" s="8"/>
    </row>
    <row r="133" spans="1:12">
      <c r="A133" s="96"/>
      <c r="B133" s="87" t="s">
        <v>42</v>
      </c>
      <c r="C133" s="110">
        <f>C128+C129+C130+C131+C132</f>
        <v>89.904789587611432</v>
      </c>
    </row>
    <row r="134" spans="1:12">
      <c r="A134" s="96"/>
      <c r="B134" s="103" t="s">
        <v>40</v>
      </c>
      <c r="C134" s="110">
        <f>C133*E8</f>
        <v>26.97143687628343</v>
      </c>
      <c r="E134" s="8"/>
    </row>
    <row r="135" spans="1:12">
      <c r="A135" s="96"/>
      <c r="B135" s="87" t="s">
        <v>41</v>
      </c>
      <c r="C135" s="110">
        <f>C133+C134</f>
        <v>116.87622646389487</v>
      </c>
    </row>
    <row r="136" spans="1:12">
      <c r="A136" s="96"/>
      <c r="B136" s="87" t="s">
        <v>470</v>
      </c>
      <c r="C136" s="110">
        <f>C135*5%</f>
        <v>5.8438113231947435</v>
      </c>
      <c r="E136" s="8">
        <v>0.1</v>
      </c>
    </row>
    <row r="137" spans="1:12">
      <c r="A137" s="96"/>
      <c r="B137" s="87" t="s">
        <v>476</v>
      </c>
      <c r="C137" s="102">
        <f>(C135+C136)/0.95-(C135+C136)</f>
        <v>6.4589493572152605</v>
      </c>
      <c r="E137" s="8">
        <v>0.04</v>
      </c>
    </row>
    <row r="138" spans="1:12">
      <c r="A138" s="96"/>
      <c r="B138" s="99" t="s">
        <v>19</v>
      </c>
      <c r="C138" s="110">
        <f>C135+C136+C137</f>
        <v>129.17898714430487</v>
      </c>
    </row>
    <row r="139" spans="1:12">
      <c r="A139" s="96"/>
      <c r="B139" s="87" t="s">
        <v>20</v>
      </c>
      <c r="C139" s="111">
        <f>C138/C5</f>
        <v>4.0982401078756392E-2</v>
      </c>
    </row>
    <row r="140" spans="1:12" hidden="1">
      <c r="A140" s="177">
        <v>2</v>
      </c>
      <c r="B140" s="172" t="s">
        <v>24</v>
      </c>
      <c r="C140" s="95">
        <f>C155</f>
        <v>0</v>
      </c>
    </row>
    <row r="141" spans="1:12" hidden="1">
      <c r="A141" s="96" t="s">
        <v>376</v>
      </c>
      <c r="B141" s="99" t="s">
        <v>25</v>
      </c>
      <c r="C141" s="98"/>
    </row>
    <row r="142" spans="1:12" hidden="1">
      <c r="A142" s="96"/>
      <c r="B142" s="87" t="s">
        <v>420</v>
      </c>
      <c r="C142" s="112">
        <v>0</v>
      </c>
    </row>
    <row r="143" spans="1:12" hidden="1">
      <c r="A143" s="96"/>
      <c r="B143" s="87" t="s">
        <v>43</v>
      </c>
      <c r="C143" s="102">
        <f>0.41*C142*C12/100</f>
        <v>0</v>
      </c>
    </row>
    <row r="144" spans="1:12" hidden="1">
      <c r="A144" s="96"/>
      <c r="B144" s="100" t="s">
        <v>44</v>
      </c>
      <c r="C144" s="102">
        <f>C143/2003</f>
        <v>0</v>
      </c>
    </row>
    <row r="145" spans="1:5" ht="25.5" hidden="1">
      <c r="A145" s="96"/>
      <c r="B145" s="87" t="s">
        <v>48</v>
      </c>
      <c r="C145" s="102">
        <f>(1378*1.2*1.08*1.3)*C144</f>
        <v>0</v>
      </c>
      <c r="E145">
        <f>1378*1.2*1.08*1.3</f>
        <v>2321.6543999999999</v>
      </c>
    </row>
    <row r="146" spans="1:5" hidden="1">
      <c r="A146" s="96"/>
      <c r="B146" s="87" t="s">
        <v>474</v>
      </c>
      <c r="C146" s="102">
        <f>C145*22%</f>
        <v>0</v>
      </c>
    </row>
    <row r="147" spans="1:5" ht="63.75" hidden="1">
      <c r="A147" s="96"/>
      <c r="B147" s="87" t="s">
        <v>36</v>
      </c>
      <c r="C147" s="102">
        <f>C144*E147</f>
        <v>0</v>
      </c>
      <c r="E147" s="6">
        <v>207.25</v>
      </c>
    </row>
    <row r="148" spans="1:5" hidden="1">
      <c r="A148" s="96"/>
      <c r="B148" s="103" t="s">
        <v>39</v>
      </c>
      <c r="C148" s="102">
        <f>C145*E4</f>
        <v>0</v>
      </c>
      <c r="E148" s="8"/>
    </row>
    <row r="149" spans="1:5" hidden="1">
      <c r="A149" s="96"/>
      <c r="B149" s="87" t="s">
        <v>42</v>
      </c>
      <c r="C149" s="102">
        <f>C145+C146+C147+C148</f>
        <v>0</v>
      </c>
    </row>
    <row r="150" spans="1:5" hidden="1">
      <c r="A150" s="96"/>
      <c r="B150" s="103" t="s">
        <v>40</v>
      </c>
      <c r="C150" s="102">
        <f>C149*E8</f>
        <v>0</v>
      </c>
      <c r="E150" s="8"/>
    </row>
    <row r="151" spans="1:5" hidden="1">
      <c r="A151" s="96"/>
      <c r="B151" s="87" t="s">
        <v>41</v>
      </c>
      <c r="C151" s="102">
        <f>C149+C150</f>
        <v>0</v>
      </c>
    </row>
    <row r="152" spans="1:5" hidden="1">
      <c r="A152" s="96"/>
      <c r="B152" s="87" t="s">
        <v>470</v>
      </c>
      <c r="C152" s="110">
        <f>C151*5%</f>
        <v>0</v>
      </c>
      <c r="E152" s="8">
        <v>0.1</v>
      </c>
    </row>
    <row r="153" spans="1:5" hidden="1">
      <c r="A153" s="96"/>
      <c r="B153" s="87" t="s">
        <v>476</v>
      </c>
      <c r="C153" s="102">
        <f>(C151+C152)/0.95-(C151+C152)</f>
        <v>0</v>
      </c>
      <c r="E153" s="8">
        <v>0.04</v>
      </c>
    </row>
    <row r="154" spans="1:5" hidden="1">
      <c r="A154" s="96"/>
      <c r="B154" s="99" t="s">
        <v>19</v>
      </c>
      <c r="C154" s="102">
        <f>C151+C152+C153</f>
        <v>0</v>
      </c>
    </row>
    <row r="155" spans="1:5" hidden="1">
      <c r="A155" s="178"/>
      <c r="B155" s="179" t="s">
        <v>20</v>
      </c>
      <c r="C155" s="109">
        <f>C154/C5</f>
        <v>0</v>
      </c>
    </row>
    <row r="156" spans="1:5" hidden="1">
      <c r="A156" s="177">
        <v>3</v>
      </c>
      <c r="B156" s="172" t="s">
        <v>49</v>
      </c>
      <c r="C156" s="113"/>
    </row>
    <row r="157" spans="1:5" s="37" customFormat="1" hidden="1">
      <c r="A157" s="177"/>
      <c r="B157" s="179" t="s">
        <v>365</v>
      </c>
      <c r="C157" s="92"/>
    </row>
    <row r="158" spans="1:5" s="37" customFormat="1" hidden="1">
      <c r="A158" s="177"/>
      <c r="B158" s="179" t="s">
        <v>366</v>
      </c>
      <c r="C158" s="92"/>
    </row>
    <row r="159" spans="1:5" s="37" customFormat="1" hidden="1">
      <c r="A159" s="177"/>
      <c r="B159" s="179" t="s">
        <v>42</v>
      </c>
      <c r="C159" s="92">
        <f>C158*C157/12</f>
        <v>0</v>
      </c>
    </row>
    <row r="160" spans="1:5" s="37" customFormat="1" hidden="1">
      <c r="A160" s="177"/>
      <c r="B160" s="179" t="s">
        <v>40</v>
      </c>
      <c r="C160" s="92">
        <f>C159*E8</f>
        <v>0</v>
      </c>
      <c r="E160" s="8">
        <v>0.66569999999999996</v>
      </c>
    </row>
    <row r="161" spans="1:5" s="37" customFormat="1" hidden="1">
      <c r="A161" s="177"/>
      <c r="B161" s="179" t="s">
        <v>41</v>
      </c>
      <c r="C161" s="92">
        <f>C159+C160</f>
        <v>0</v>
      </c>
    </row>
    <row r="162" spans="1:5" s="37" customFormat="1" hidden="1">
      <c r="A162" s="177"/>
      <c r="B162" s="179" t="s">
        <v>18</v>
      </c>
      <c r="C162" s="92">
        <f>C161*10%</f>
        <v>0</v>
      </c>
      <c r="E162" s="8">
        <v>0.1</v>
      </c>
    </row>
    <row r="163" spans="1:5" s="37" customFormat="1" hidden="1">
      <c r="A163" s="177"/>
      <c r="B163" s="179" t="s">
        <v>476</v>
      </c>
      <c r="C163" s="102">
        <f>(C161+C162)/0.95-(C161+C162)</f>
        <v>0</v>
      </c>
      <c r="E163" s="8">
        <v>0.04</v>
      </c>
    </row>
    <row r="164" spans="1:5" s="37" customFormat="1" hidden="1">
      <c r="A164" s="177"/>
      <c r="B164" s="172" t="s">
        <v>19</v>
      </c>
      <c r="C164" s="92">
        <f>C161+C162+C163</f>
        <v>0</v>
      </c>
    </row>
    <row r="165" spans="1:5" hidden="1">
      <c r="A165" s="178"/>
      <c r="B165" s="179" t="s">
        <v>20</v>
      </c>
      <c r="C165" s="92">
        <f>C164/C5</f>
        <v>0</v>
      </c>
    </row>
    <row r="166" spans="1:5" hidden="1">
      <c r="A166" s="178"/>
      <c r="B166" s="179"/>
      <c r="C166" s="92"/>
    </row>
    <row r="167" spans="1:5" hidden="1">
      <c r="A167" s="177">
        <v>4</v>
      </c>
      <c r="B167" s="172" t="s">
        <v>50</v>
      </c>
      <c r="C167" s="113"/>
    </row>
    <row r="168" spans="1:5" s="37" customFormat="1" hidden="1">
      <c r="A168" s="177"/>
      <c r="B168" s="179" t="s">
        <v>367</v>
      </c>
      <c r="C168" s="113"/>
    </row>
    <row r="169" spans="1:5" s="37" customFormat="1" hidden="1">
      <c r="A169" s="177"/>
      <c r="B169" s="179" t="s">
        <v>366</v>
      </c>
      <c r="C169" s="113"/>
    </row>
    <row r="170" spans="1:5" s="37" customFormat="1" hidden="1">
      <c r="A170" s="177"/>
      <c r="B170" s="179" t="s">
        <v>42</v>
      </c>
      <c r="C170" s="92">
        <f>C169*C168/12</f>
        <v>0</v>
      </c>
    </row>
    <row r="171" spans="1:5" s="37" customFormat="1" hidden="1">
      <c r="A171" s="177"/>
      <c r="B171" s="179" t="s">
        <v>40</v>
      </c>
      <c r="C171" s="92">
        <f>C170*E8</f>
        <v>0</v>
      </c>
    </row>
    <row r="172" spans="1:5" s="37" customFormat="1" hidden="1">
      <c r="A172" s="177"/>
      <c r="B172" s="179" t="s">
        <v>41</v>
      </c>
      <c r="C172" s="92">
        <f>C170+C171</f>
        <v>0</v>
      </c>
    </row>
    <row r="173" spans="1:5" s="37" customFormat="1" hidden="1">
      <c r="A173" s="177"/>
      <c r="B173" s="179" t="s">
        <v>18</v>
      </c>
      <c r="C173" s="92">
        <f>C172*10%</f>
        <v>0</v>
      </c>
    </row>
    <row r="174" spans="1:5" s="37" customFormat="1" hidden="1">
      <c r="A174" s="177"/>
      <c r="B174" s="179" t="s">
        <v>476</v>
      </c>
      <c r="C174" s="102">
        <f>(C172+C173)/0.95-(C172+C173)</f>
        <v>0</v>
      </c>
    </row>
    <row r="175" spans="1:5" s="37" customFormat="1" hidden="1">
      <c r="A175" s="177"/>
      <c r="B175" s="172" t="s">
        <v>19</v>
      </c>
      <c r="C175" s="92">
        <f>C172+C173+C174</f>
        <v>0</v>
      </c>
    </row>
    <row r="176" spans="1:5" s="37" customFormat="1" hidden="1">
      <c r="A176" s="177"/>
      <c r="B176" s="179" t="s">
        <v>20</v>
      </c>
      <c r="C176" s="92">
        <f>C175/C20</f>
        <v>0</v>
      </c>
    </row>
    <row r="177" spans="1:7" ht="25.5">
      <c r="A177" s="177">
        <v>5</v>
      </c>
      <c r="B177" s="172" t="s">
        <v>265</v>
      </c>
      <c r="C177" s="115">
        <f>C233+C312+C339+C412+C435+C443</f>
        <v>0.52065562728155945</v>
      </c>
      <c r="E177" s="13">
        <f>(C232+C311+C338+C411+C434+C442)/C5</f>
        <v>0.52065562728155945</v>
      </c>
      <c r="F177" s="13">
        <f>(C232+C311+C338+C411+C434)</f>
        <v>1052.3661481080596</v>
      </c>
      <c r="G177">
        <f>F177/C5</f>
        <v>0.33386615359734895</v>
      </c>
    </row>
    <row r="178" spans="1:7">
      <c r="A178" s="114"/>
      <c r="B178" s="89" t="s">
        <v>51</v>
      </c>
      <c r="C178" s="113"/>
    </row>
    <row r="179" spans="1:7">
      <c r="A179" s="114" t="s">
        <v>55</v>
      </c>
      <c r="B179" s="97" t="s">
        <v>52</v>
      </c>
      <c r="C179" s="113"/>
    </row>
    <row r="180" spans="1:7">
      <c r="A180" s="114"/>
      <c r="B180" s="116" t="s">
        <v>421</v>
      </c>
      <c r="C180" s="113">
        <v>2</v>
      </c>
    </row>
    <row r="181" spans="1:7">
      <c r="A181" s="114"/>
      <c r="B181" s="116" t="s">
        <v>53</v>
      </c>
      <c r="C181" s="117">
        <f>(C27*5%)+C28</f>
        <v>69</v>
      </c>
    </row>
    <row r="182" spans="1:7">
      <c r="A182" s="114"/>
      <c r="B182" s="116" t="s">
        <v>54</v>
      </c>
      <c r="C182" s="110">
        <f>1.2*C180*C181/100</f>
        <v>1.6559999999999999</v>
      </c>
    </row>
    <row r="183" spans="1:7" hidden="1">
      <c r="A183" s="114"/>
      <c r="B183" s="118"/>
      <c r="C183" s="111"/>
    </row>
    <row r="184" spans="1:7" hidden="1">
      <c r="A184" s="114"/>
      <c r="B184" s="116"/>
      <c r="C184" s="111"/>
    </row>
    <row r="185" spans="1:7" hidden="1">
      <c r="A185" s="114"/>
      <c r="B185" s="116"/>
      <c r="C185" s="111"/>
    </row>
    <row r="186" spans="1:7" hidden="1">
      <c r="A186" s="114"/>
      <c r="B186" s="116"/>
      <c r="C186" s="110"/>
    </row>
    <row r="187" spans="1:7">
      <c r="A187" s="114" t="s">
        <v>56</v>
      </c>
      <c r="B187" s="97" t="s">
        <v>58</v>
      </c>
      <c r="C187" s="111"/>
    </row>
    <row r="188" spans="1:7">
      <c r="A188" s="114"/>
      <c r="B188" s="116" t="s">
        <v>422</v>
      </c>
      <c r="C188" s="111">
        <f>12/36</f>
        <v>0.33333333333333331</v>
      </c>
    </row>
    <row r="189" spans="1:7">
      <c r="A189" s="114"/>
      <c r="B189" s="116" t="s">
        <v>302</v>
      </c>
      <c r="C189" s="117">
        <f>C32</f>
        <v>1</v>
      </c>
    </row>
    <row r="190" spans="1:7">
      <c r="A190" s="114"/>
      <c r="B190" s="116" t="s">
        <v>80</v>
      </c>
      <c r="C190" s="110">
        <f>1*1*C189*C188</f>
        <v>0.33333333333333331</v>
      </c>
      <c r="G190">
        <f>(0.58+0.83+1+1.19+1.45)/5</f>
        <v>1.01</v>
      </c>
    </row>
    <row r="191" spans="1:7" hidden="1">
      <c r="A191" s="114"/>
      <c r="B191" s="87"/>
      <c r="C191" s="111"/>
    </row>
    <row r="192" spans="1:7">
      <c r="A192" s="114" t="s">
        <v>59</v>
      </c>
      <c r="B192" s="97" t="s">
        <v>84</v>
      </c>
      <c r="C192" s="111"/>
    </row>
    <row r="193" spans="1:3">
      <c r="A193" s="114"/>
      <c r="B193" s="87" t="s">
        <v>423</v>
      </c>
      <c r="C193" s="119">
        <v>2</v>
      </c>
    </row>
    <row r="194" spans="1:3">
      <c r="A194" s="114"/>
      <c r="B194" s="87" t="s">
        <v>301</v>
      </c>
      <c r="C194" s="117">
        <f>C29+C30</f>
        <v>10</v>
      </c>
    </row>
    <row r="195" spans="1:3">
      <c r="A195" s="114"/>
      <c r="B195" s="116" t="s">
        <v>86</v>
      </c>
      <c r="C195" s="110">
        <f>C193*0.35*C194</f>
        <v>7</v>
      </c>
    </row>
    <row r="196" spans="1:3" hidden="1">
      <c r="A196" s="120"/>
      <c r="B196" s="99"/>
      <c r="C196" s="111"/>
    </row>
    <row r="197" spans="1:3" hidden="1">
      <c r="A197" s="114"/>
      <c r="B197" s="87"/>
      <c r="C197" s="111"/>
    </row>
    <row r="198" spans="1:3" hidden="1">
      <c r="A198" s="114"/>
      <c r="B198" s="87"/>
      <c r="C198" s="111"/>
    </row>
    <row r="199" spans="1:3" hidden="1">
      <c r="A199" s="114"/>
      <c r="B199" s="116"/>
      <c r="C199" s="110"/>
    </row>
    <row r="200" spans="1:3">
      <c r="A200" s="114" t="s">
        <v>61</v>
      </c>
      <c r="B200" s="121" t="s">
        <v>91</v>
      </c>
      <c r="C200" s="110"/>
    </row>
    <row r="201" spans="1:3" hidden="1">
      <c r="A201" s="114"/>
      <c r="B201" s="87" t="s">
        <v>424</v>
      </c>
      <c r="C201" s="110"/>
    </row>
    <row r="202" spans="1:3" hidden="1">
      <c r="A202" s="114"/>
      <c r="B202" s="87" t="s">
        <v>89</v>
      </c>
      <c r="C202" s="110"/>
    </row>
    <row r="203" spans="1:3" hidden="1">
      <c r="A203" s="114"/>
      <c r="B203" s="116" t="s">
        <v>93</v>
      </c>
      <c r="C203" s="110">
        <f>2*0.3*C202/12</f>
        <v>0</v>
      </c>
    </row>
    <row r="204" spans="1:3" hidden="1">
      <c r="A204" s="114"/>
      <c r="B204" s="116"/>
      <c r="C204" s="110"/>
    </row>
    <row r="205" spans="1:3" hidden="1">
      <c r="A205" s="114"/>
      <c r="B205" s="87" t="s">
        <v>424</v>
      </c>
      <c r="C205" s="110"/>
    </row>
    <row r="206" spans="1:3" hidden="1">
      <c r="A206" s="114"/>
      <c r="B206" s="87" t="s">
        <v>94</v>
      </c>
      <c r="C206" s="110"/>
    </row>
    <row r="207" spans="1:3" hidden="1">
      <c r="A207" s="114"/>
      <c r="B207" s="116" t="s">
        <v>95</v>
      </c>
      <c r="C207" s="110">
        <f>2*0.45*C206/12</f>
        <v>0</v>
      </c>
    </row>
    <row r="208" spans="1:3" hidden="1">
      <c r="A208" s="114"/>
      <c r="B208" s="116"/>
      <c r="C208" s="110"/>
    </row>
    <row r="209" spans="1:7">
      <c r="A209" s="114"/>
      <c r="B209" s="87" t="s">
        <v>471</v>
      </c>
      <c r="C209" s="110"/>
    </row>
    <row r="210" spans="1:7">
      <c r="A210" s="114"/>
      <c r="B210" s="87" t="s">
        <v>96</v>
      </c>
      <c r="C210" s="117">
        <v>10</v>
      </c>
    </row>
    <row r="211" spans="1:7">
      <c r="A211" s="114"/>
      <c r="B211" s="116" t="s">
        <v>97</v>
      </c>
      <c r="C211" s="110">
        <f>(0.55*C210)</f>
        <v>5.5</v>
      </c>
      <c r="G211">
        <f>(0.3+0.45+0.55+0.69)/4</f>
        <v>0.4975</v>
      </c>
    </row>
    <row r="212" spans="1:7" hidden="1">
      <c r="A212" s="114"/>
      <c r="B212" s="122"/>
      <c r="C212" s="110"/>
    </row>
    <row r="213" spans="1:7" hidden="1">
      <c r="A213" s="114"/>
      <c r="B213" s="116"/>
      <c r="C213" s="110"/>
    </row>
    <row r="214" spans="1:7" hidden="1">
      <c r="A214" s="114"/>
      <c r="B214" s="116"/>
      <c r="C214" s="110"/>
    </row>
    <row r="215" spans="1:7" hidden="1">
      <c r="A215" s="114"/>
      <c r="B215" s="116"/>
      <c r="C215" s="110"/>
    </row>
    <row r="216" spans="1:7">
      <c r="A216" s="114"/>
      <c r="B216" s="100" t="s">
        <v>103</v>
      </c>
      <c r="C216" s="110">
        <f>(C182+C190)/2003</f>
        <v>9.9317690131469445E-4</v>
      </c>
    </row>
    <row r="217" spans="1:7">
      <c r="A217" s="114"/>
      <c r="B217" s="87" t="s">
        <v>481</v>
      </c>
      <c r="C217" s="110">
        <f>1378*1.2*1.35*1.25*C216</f>
        <v>2.7714104842735896</v>
      </c>
      <c r="E217" s="9">
        <f>1378*1.2*1.35*1.25</f>
        <v>2790.4500000000003</v>
      </c>
    </row>
    <row r="218" spans="1:7" hidden="1">
      <c r="A218" s="114"/>
      <c r="B218" s="100" t="s">
        <v>104</v>
      </c>
      <c r="C218" s="110"/>
    </row>
    <row r="219" spans="1:7" hidden="1">
      <c r="A219" s="114"/>
      <c r="B219" s="87" t="s">
        <v>425</v>
      </c>
      <c r="C219" s="110"/>
      <c r="E219" s="10">
        <f>1378*1.2*1.35*1.35</f>
        <v>3013.6860000000001</v>
      </c>
    </row>
    <row r="220" spans="1:7" hidden="1">
      <c r="A220" s="114"/>
      <c r="B220" s="100" t="s">
        <v>105</v>
      </c>
      <c r="C220" s="110"/>
    </row>
    <row r="221" spans="1:7" hidden="1">
      <c r="A221" s="114"/>
      <c r="B221" s="87" t="s">
        <v>106</v>
      </c>
      <c r="C221" s="110"/>
      <c r="E221" s="9">
        <f>1378*1.2*1.2*1.35</f>
        <v>2678.8319999999999</v>
      </c>
      <c r="F221" s="9"/>
    </row>
    <row r="222" spans="1:7">
      <c r="A222" s="114"/>
      <c r="B222" s="100" t="s">
        <v>102</v>
      </c>
      <c r="C222" s="110">
        <f>(C195+C211)/2003</f>
        <v>6.2406390414378428E-3</v>
      </c>
    </row>
    <row r="223" spans="1:7">
      <c r="A223" s="114"/>
      <c r="B223" s="87" t="s">
        <v>485</v>
      </c>
      <c r="C223" s="110">
        <f>1378*1.2*1.08*1.25*C222</f>
        <v>13.931352970544181</v>
      </c>
      <c r="E223" s="9">
        <f>1378*1.2*1.08*1.25</f>
        <v>2232.3599999999997</v>
      </c>
    </row>
    <row r="224" spans="1:7">
      <c r="A224" s="114"/>
      <c r="B224" s="87" t="s">
        <v>474</v>
      </c>
      <c r="C224" s="110">
        <f>(C217+C223)*22%</f>
        <v>3.6746079600599093</v>
      </c>
    </row>
    <row r="225" spans="1:5" ht="63.75">
      <c r="A225" s="114"/>
      <c r="B225" s="87" t="s">
        <v>36</v>
      </c>
      <c r="C225" s="110">
        <f>(C216+C218+C220+C222)*E225</f>
        <v>1.8635033250124811</v>
      </c>
      <c r="E225" s="13">
        <v>257.61</v>
      </c>
    </row>
    <row r="226" spans="1:5">
      <c r="A226" s="114"/>
      <c r="B226" s="103" t="s">
        <v>39</v>
      </c>
      <c r="C226" s="110">
        <f>(C217+C219+C221+C223)*E4</f>
        <v>6.6811053819271082</v>
      </c>
      <c r="E226" s="8"/>
    </row>
    <row r="227" spans="1:5">
      <c r="A227" s="114"/>
      <c r="B227" s="87" t="s">
        <v>42</v>
      </c>
      <c r="C227" s="110">
        <f>C217+C219+C221+C223+C224+C225+C226</f>
        <v>28.921980121817267</v>
      </c>
    </row>
    <row r="228" spans="1:5">
      <c r="A228" s="114"/>
      <c r="B228" s="103" t="s">
        <v>40</v>
      </c>
      <c r="C228" s="110">
        <f>C227*E8</f>
        <v>8.676594036545179</v>
      </c>
      <c r="E228" s="8"/>
    </row>
    <row r="229" spans="1:5">
      <c r="A229" s="114"/>
      <c r="B229" s="87" t="s">
        <v>41</v>
      </c>
      <c r="C229" s="110">
        <f>C227+C228</f>
        <v>37.598574158362446</v>
      </c>
    </row>
    <row r="230" spans="1:5">
      <c r="A230" s="114"/>
      <c r="B230" s="87" t="s">
        <v>470</v>
      </c>
      <c r="C230" s="110">
        <f>C229*5%</f>
        <v>1.8799287079181224</v>
      </c>
      <c r="E230" s="8">
        <v>0.1</v>
      </c>
    </row>
    <row r="231" spans="1:5">
      <c r="A231" s="114"/>
      <c r="B231" s="87" t="s">
        <v>476</v>
      </c>
      <c r="C231" s="102">
        <f>(C229+C230)/0.95-(C229+C230)</f>
        <v>2.0778159403305594</v>
      </c>
      <c r="D231" s="59">
        <f>(C230+C229)*4%</f>
        <v>1.5791401146512229</v>
      </c>
      <c r="E231" s="8">
        <v>0.04</v>
      </c>
    </row>
    <row r="232" spans="1:5">
      <c r="A232" s="114"/>
      <c r="B232" s="99" t="s">
        <v>19</v>
      </c>
      <c r="C232" s="110">
        <f>C229+C230+C231</f>
        <v>41.556318806611131</v>
      </c>
    </row>
    <row r="233" spans="1:5">
      <c r="A233" s="114"/>
      <c r="B233" s="87" t="s">
        <v>20</v>
      </c>
      <c r="C233" s="111">
        <f>C232/C5</f>
        <v>1.3183860334705283E-2</v>
      </c>
    </row>
    <row r="234" spans="1:5" hidden="1">
      <c r="A234" s="114"/>
      <c r="B234" s="89" t="s">
        <v>145</v>
      </c>
      <c r="C234" s="92"/>
    </row>
    <row r="235" spans="1:5" hidden="1">
      <c r="A235" s="114" t="s">
        <v>65</v>
      </c>
      <c r="B235" s="97" t="s">
        <v>146</v>
      </c>
      <c r="C235" s="113"/>
    </row>
    <row r="236" spans="1:5" hidden="1">
      <c r="A236" s="114"/>
      <c r="B236" s="116" t="s">
        <v>421</v>
      </c>
      <c r="C236" s="113">
        <v>2</v>
      </c>
    </row>
    <row r="237" spans="1:5" hidden="1">
      <c r="A237" s="114"/>
      <c r="B237" s="116" t="s">
        <v>53</v>
      </c>
      <c r="C237" s="117">
        <f>(C34*5%)+C35+C36</f>
        <v>0</v>
      </c>
    </row>
    <row r="238" spans="1:5" hidden="1">
      <c r="A238" s="114"/>
      <c r="B238" s="116" t="s">
        <v>54</v>
      </c>
      <c r="C238" s="110">
        <f>1.2*C236*C237/100</f>
        <v>0</v>
      </c>
    </row>
    <row r="239" spans="1:5" hidden="1">
      <c r="A239" s="114" t="s">
        <v>68</v>
      </c>
      <c r="B239" s="121" t="s">
        <v>147</v>
      </c>
      <c r="C239" s="113"/>
    </row>
    <row r="240" spans="1:5" hidden="1">
      <c r="A240" s="114"/>
      <c r="B240" s="116" t="s">
        <v>421</v>
      </c>
      <c r="C240" s="113">
        <v>2</v>
      </c>
    </row>
    <row r="241" spans="1:3" hidden="1">
      <c r="A241" s="114"/>
      <c r="B241" s="116" t="s">
        <v>53</v>
      </c>
      <c r="C241" s="117">
        <f>(C34*5%)+C35+C36</f>
        <v>0</v>
      </c>
    </row>
    <row r="242" spans="1:3" hidden="1">
      <c r="A242" s="114"/>
      <c r="B242" s="116" t="s">
        <v>57</v>
      </c>
      <c r="C242" s="110">
        <f>1.1*C240*C241/100</f>
        <v>0</v>
      </c>
    </row>
    <row r="243" spans="1:3" hidden="1">
      <c r="A243" s="114" t="s">
        <v>71</v>
      </c>
      <c r="B243" s="97" t="s">
        <v>58</v>
      </c>
      <c r="C243" s="113"/>
    </row>
    <row r="244" spans="1:3" hidden="1">
      <c r="A244" s="114"/>
      <c r="B244" s="116" t="s">
        <v>422</v>
      </c>
      <c r="C244" s="113"/>
    </row>
    <row r="245" spans="1:3" hidden="1">
      <c r="A245" s="114"/>
      <c r="B245" s="116" t="s">
        <v>60</v>
      </c>
      <c r="C245" s="113"/>
    </row>
    <row r="246" spans="1:3" hidden="1">
      <c r="A246" s="114"/>
      <c r="B246" s="116" t="s">
        <v>62</v>
      </c>
      <c r="C246" s="92"/>
    </row>
    <row r="247" spans="1:3" hidden="1">
      <c r="A247" s="114"/>
      <c r="B247" s="87"/>
      <c r="C247" s="113"/>
    </row>
    <row r="248" spans="1:3" hidden="1">
      <c r="A248" s="114"/>
      <c r="B248" s="116" t="s">
        <v>422</v>
      </c>
      <c r="C248" s="113"/>
    </row>
    <row r="249" spans="1:3" hidden="1">
      <c r="A249" s="114"/>
      <c r="B249" s="116" t="s">
        <v>63</v>
      </c>
      <c r="C249" s="113"/>
    </row>
    <row r="250" spans="1:3" hidden="1">
      <c r="A250" s="114"/>
      <c r="B250" s="116" t="s">
        <v>64</v>
      </c>
      <c r="C250" s="92"/>
    </row>
    <row r="251" spans="1:3" hidden="1">
      <c r="A251" s="114"/>
      <c r="B251" s="87"/>
      <c r="C251" s="113"/>
    </row>
    <row r="252" spans="1:3" hidden="1">
      <c r="A252" s="114"/>
      <c r="B252" s="116" t="s">
        <v>422</v>
      </c>
      <c r="C252" s="113"/>
    </row>
    <row r="253" spans="1:3" hidden="1">
      <c r="A253" s="114"/>
      <c r="B253" s="116" t="s">
        <v>66</v>
      </c>
      <c r="C253" s="113"/>
    </row>
    <row r="254" spans="1:3" hidden="1">
      <c r="A254" s="114"/>
      <c r="B254" s="116" t="s">
        <v>67</v>
      </c>
      <c r="C254" s="92"/>
    </row>
    <row r="255" spans="1:3" hidden="1">
      <c r="A255" s="114"/>
      <c r="B255" s="87"/>
      <c r="C255" s="113"/>
    </row>
    <row r="256" spans="1:3" hidden="1">
      <c r="A256" s="114"/>
      <c r="B256" s="116" t="s">
        <v>422</v>
      </c>
      <c r="C256" s="113"/>
    </row>
    <row r="257" spans="1:3" hidden="1">
      <c r="A257" s="114"/>
      <c r="B257" s="116" t="s">
        <v>69</v>
      </c>
      <c r="C257" s="113"/>
    </row>
    <row r="258" spans="1:3" hidden="1">
      <c r="A258" s="114"/>
      <c r="B258" s="116" t="s">
        <v>70</v>
      </c>
      <c r="C258" s="92"/>
    </row>
    <row r="259" spans="1:3" hidden="1">
      <c r="A259" s="114"/>
      <c r="B259" s="87"/>
      <c r="C259" s="113"/>
    </row>
    <row r="260" spans="1:3" hidden="1">
      <c r="A260" s="114"/>
      <c r="B260" s="116" t="s">
        <v>422</v>
      </c>
      <c r="C260" s="113"/>
    </row>
    <row r="261" spans="1:3" hidden="1">
      <c r="A261" s="114"/>
      <c r="B261" s="116" t="s">
        <v>72</v>
      </c>
      <c r="C261" s="113"/>
    </row>
    <row r="262" spans="1:3" hidden="1">
      <c r="A262" s="114"/>
      <c r="B262" s="116" t="s">
        <v>73</v>
      </c>
      <c r="C262" s="92"/>
    </row>
    <row r="263" spans="1:3" hidden="1">
      <c r="A263" s="114"/>
      <c r="B263" s="87"/>
      <c r="C263" s="113"/>
    </row>
    <row r="264" spans="1:3" hidden="1">
      <c r="A264" s="114"/>
      <c r="B264" s="116" t="s">
        <v>422</v>
      </c>
      <c r="C264" s="113"/>
    </row>
    <row r="265" spans="1:3" hidden="1">
      <c r="A265" s="114"/>
      <c r="B265" s="116" t="s">
        <v>75</v>
      </c>
      <c r="C265" s="113"/>
    </row>
    <row r="266" spans="1:3" hidden="1">
      <c r="A266" s="114"/>
      <c r="B266" s="116" t="s">
        <v>76</v>
      </c>
      <c r="C266" s="92"/>
    </row>
    <row r="267" spans="1:3" hidden="1">
      <c r="A267" s="114"/>
      <c r="B267" s="87"/>
      <c r="C267" s="113"/>
    </row>
    <row r="268" spans="1:3" hidden="1">
      <c r="A268" s="114"/>
      <c r="B268" s="116" t="s">
        <v>422</v>
      </c>
      <c r="C268" s="113"/>
    </row>
    <row r="269" spans="1:3" hidden="1">
      <c r="A269" s="114"/>
      <c r="B269" s="116" t="s">
        <v>78</v>
      </c>
      <c r="C269" s="113"/>
    </row>
    <row r="270" spans="1:3" hidden="1">
      <c r="A270" s="114"/>
      <c r="B270" s="116" t="s">
        <v>79</v>
      </c>
      <c r="C270" s="92"/>
    </row>
    <row r="271" spans="1:3" hidden="1">
      <c r="A271" s="114"/>
      <c r="B271" s="87"/>
      <c r="C271" s="113"/>
    </row>
    <row r="272" spans="1:3" hidden="1">
      <c r="A272" s="114"/>
      <c r="B272" s="116" t="s">
        <v>422</v>
      </c>
      <c r="C272" s="111">
        <f>12/36</f>
        <v>0.33333333333333331</v>
      </c>
    </row>
    <row r="273" spans="1:6" hidden="1">
      <c r="A273" s="114"/>
      <c r="B273" s="116" t="s">
        <v>302</v>
      </c>
      <c r="C273" s="92">
        <f>C38+C39</f>
        <v>0</v>
      </c>
    </row>
    <row r="274" spans="1:6" hidden="1">
      <c r="A274" s="114"/>
      <c r="B274" s="116" t="s">
        <v>80</v>
      </c>
      <c r="C274" s="110">
        <f>1*C272*C273</f>
        <v>0</v>
      </c>
    </row>
    <row r="275" spans="1:6" hidden="1">
      <c r="A275" s="114" t="s">
        <v>71</v>
      </c>
      <c r="B275" s="97" t="s">
        <v>84</v>
      </c>
      <c r="C275" s="113"/>
    </row>
    <row r="276" spans="1:6" hidden="1">
      <c r="A276" s="114"/>
      <c r="B276" s="87" t="s">
        <v>423</v>
      </c>
      <c r="C276" s="113">
        <v>2</v>
      </c>
    </row>
    <row r="277" spans="1:6" hidden="1">
      <c r="A277" s="114"/>
      <c r="B277" s="87" t="s">
        <v>301</v>
      </c>
      <c r="C277" s="92">
        <f>C37</f>
        <v>0</v>
      </c>
    </row>
    <row r="278" spans="1:6" hidden="1">
      <c r="A278" s="114"/>
      <c r="B278" s="116" t="s">
        <v>86</v>
      </c>
      <c r="C278" s="92">
        <f>C276*0.35*C277</f>
        <v>0</v>
      </c>
    </row>
    <row r="279" spans="1:6" hidden="1">
      <c r="A279" s="114" t="s">
        <v>74</v>
      </c>
      <c r="B279" s="97" t="s">
        <v>87</v>
      </c>
      <c r="C279" s="113"/>
    </row>
    <row r="280" spans="1:6" hidden="1">
      <c r="A280" s="114"/>
      <c r="B280" s="87" t="s">
        <v>423</v>
      </c>
      <c r="C280" s="113">
        <v>2</v>
      </c>
    </row>
    <row r="281" spans="1:6" hidden="1">
      <c r="A281" s="114"/>
      <c r="B281" s="87" t="s">
        <v>324</v>
      </c>
      <c r="C281" s="92">
        <f>C38+C39</f>
        <v>0</v>
      </c>
    </row>
    <row r="282" spans="1:6" hidden="1">
      <c r="A282" s="114"/>
      <c r="B282" s="116" t="s">
        <v>90</v>
      </c>
      <c r="C282" s="92">
        <f>C280*0.35*C281</f>
        <v>0</v>
      </c>
    </row>
    <row r="283" spans="1:6" hidden="1">
      <c r="A283" s="114" t="s">
        <v>77</v>
      </c>
      <c r="B283" s="121" t="s">
        <v>91</v>
      </c>
      <c r="C283" s="92"/>
    </row>
    <row r="284" spans="1:6" hidden="1">
      <c r="A284" s="114"/>
      <c r="B284" s="87" t="s">
        <v>426</v>
      </c>
      <c r="C284" s="92"/>
    </row>
    <row r="285" spans="1:6" hidden="1">
      <c r="A285" s="114"/>
      <c r="B285" s="87" t="s">
        <v>96</v>
      </c>
      <c r="C285" s="92">
        <v>0</v>
      </c>
    </row>
    <row r="286" spans="1:6" hidden="1">
      <c r="A286" s="114"/>
      <c r="B286" s="116" t="s">
        <v>97</v>
      </c>
      <c r="C286" s="110">
        <f>0.55*C285</f>
        <v>0</v>
      </c>
    </row>
    <row r="287" spans="1:6" s="36" customFormat="1" hidden="1">
      <c r="A287" s="114" t="s">
        <v>81</v>
      </c>
      <c r="B287" s="97" t="s">
        <v>304</v>
      </c>
      <c r="C287" s="110"/>
      <c r="E287" s="17" t="s">
        <v>298</v>
      </c>
      <c r="F287" s="17"/>
    </row>
    <row r="288" spans="1:6" s="36" customFormat="1" hidden="1">
      <c r="A288" s="114"/>
      <c r="B288" s="116" t="s">
        <v>427</v>
      </c>
      <c r="C288" s="119">
        <v>3</v>
      </c>
      <c r="E288" s="17"/>
      <c r="F288" s="17"/>
    </row>
    <row r="289" spans="1:9" s="36" customFormat="1" hidden="1">
      <c r="A289" s="114"/>
      <c r="B289" s="87" t="s">
        <v>326</v>
      </c>
      <c r="C289" s="117">
        <f>C40</f>
        <v>0</v>
      </c>
      <c r="E289" s="36">
        <v>1</v>
      </c>
    </row>
    <row r="290" spans="1:9" s="36" customFormat="1" hidden="1">
      <c r="A290" s="114"/>
      <c r="B290" s="116" t="s">
        <v>118</v>
      </c>
      <c r="C290" s="110">
        <f>(C288*C289*0.5)</f>
        <v>0</v>
      </c>
    </row>
    <row r="291" spans="1:9" s="36" customFormat="1" hidden="1">
      <c r="A291" s="120" t="s">
        <v>82</v>
      </c>
      <c r="B291" s="121" t="s">
        <v>305</v>
      </c>
      <c r="C291" s="110"/>
      <c r="D291" s="17" t="s">
        <v>405</v>
      </c>
      <c r="E291" s="17"/>
      <c r="F291" s="17"/>
      <c r="G291" s="17"/>
      <c r="H291" s="17"/>
      <c r="I291"/>
    </row>
    <row r="292" spans="1:9" s="36" customFormat="1" hidden="1">
      <c r="A292" s="114"/>
      <c r="B292" s="116" t="s">
        <v>428</v>
      </c>
      <c r="C292" s="119">
        <v>2</v>
      </c>
    </row>
    <row r="293" spans="1:9" s="36" customFormat="1" hidden="1">
      <c r="A293" s="114"/>
      <c r="B293" s="116" t="s">
        <v>140</v>
      </c>
      <c r="C293" s="106">
        <f>(((((C34*5%)+C35+C36)/10)*20%)*5.251)*2</f>
        <v>0</v>
      </c>
      <c r="F293" s="36">
        <f>C293/5.251</f>
        <v>0</v>
      </c>
    </row>
    <row r="294" spans="1:9" s="36" customFormat="1" hidden="1">
      <c r="A294" s="114"/>
      <c r="B294" s="116" t="s">
        <v>141</v>
      </c>
      <c r="C294" s="110">
        <f>(C292*C293*1.1)/100</f>
        <v>0</v>
      </c>
    </row>
    <row r="295" spans="1:9" hidden="1">
      <c r="A295" s="114"/>
      <c r="B295" s="100" t="s">
        <v>103</v>
      </c>
      <c r="C295" s="110">
        <f>(C238+C242+C274+C290)/2003</f>
        <v>0</v>
      </c>
    </row>
    <row r="296" spans="1:9" hidden="1">
      <c r="A296" s="114"/>
      <c r="B296" s="87" t="s">
        <v>205</v>
      </c>
      <c r="C296" s="110">
        <f>1378*1.2*1.35*1.25*C295</f>
        <v>0</v>
      </c>
      <c r="E296" s="73">
        <f>1378*1.2*1.35*1.25</f>
        <v>2790.4500000000003</v>
      </c>
    </row>
    <row r="297" spans="1:9" hidden="1">
      <c r="A297" s="114"/>
      <c r="B297" s="100" t="s">
        <v>104</v>
      </c>
      <c r="C297" s="110"/>
    </row>
    <row r="298" spans="1:9" hidden="1">
      <c r="A298" s="114"/>
      <c r="B298" s="87" t="s">
        <v>425</v>
      </c>
      <c r="C298" s="110"/>
    </row>
    <row r="299" spans="1:9" hidden="1">
      <c r="A299" s="114"/>
      <c r="B299" s="100" t="s">
        <v>105</v>
      </c>
      <c r="C299" s="123">
        <f>(C282+C294)/2003</f>
        <v>0</v>
      </c>
    </row>
    <row r="300" spans="1:9" hidden="1">
      <c r="A300" s="114"/>
      <c r="B300" s="87" t="s">
        <v>206</v>
      </c>
      <c r="C300" s="110">
        <f>1378*1.2*1.2*1.25*C299</f>
        <v>0</v>
      </c>
      <c r="E300" s="73">
        <f>1378*1.2*1.2*1.25</f>
        <v>2480.3999999999996</v>
      </c>
    </row>
    <row r="301" spans="1:9" hidden="1">
      <c r="A301" s="114"/>
      <c r="B301" s="100" t="s">
        <v>102</v>
      </c>
      <c r="C301" s="110">
        <f>(C278+C286)/2003</f>
        <v>0</v>
      </c>
    </row>
    <row r="302" spans="1:9" hidden="1">
      <c r="A302" s="114"/>
      <c r="B302" s="87" t="s">
        <v>406</v>
      </c>
      <c r="C302" s="110">
        <f>1378*1.2*1.08*1.25*C301</f>
        <v>0</v>
      </c>
      <c r="E302" s="73">
        <f>1378*1.2*1.08*1.25</f>
        <v>2232.3599999999997</v>
      </c>
    </row>
    <row r="303" spans="1:9" hidden="1">
      <c r="A303" s="114"/>
      <c r="B303" s="87" t="s">
        <v>474</v>
      </c>
      <c r="C303" s="110">
        <f>(C296+C300+C302)*22%</f>
        <v>0</v>
      </c>
    </row>
    <row r="304" spans="1:9" ht="63.75" hidden="1">
      <c r="A304" s="114"/>
      <c r="B304" s="87" t="s">
        <v>36</v>
      </c>
      <c r="C304" s="110">
        <f>(C295+C297+C299+C301)*E304</f>
        <v>0</v>
      </c>
      <c r="E304" s="6">
        <v>257.61</v>
      </c>
    </row>
    <row r="305" spans="1:5" hidden="1">
      <c r="A305" s="114"/>
      <c r="B305" s="103" t="s">
        <v>39</v>
      </c>
      <c r="C305" s="110">
        <f>(C296+C298+C300+C302)*E4</f>
        <v>0</v>
      </c>
      <c r="E305" s="8"/>
    </row>
    <row r="306" spans="1:5" hidden="1">
      <c r="A306" s="114"/>
      <c r="B306" s="87" t="s">
        <v>42</v>
      </c>
      <c r="C306" s="110">
        <f>C296+C298+C300+C302+C303+C304+C305</f>
        <v>0</v>
      </c>
    </row>
    <row r="307" spans="1:5" hidden="1">
      <c r="A307" s="114"/>
      <c r="B307" s="103" t="s">
        <v>40</v>
      </c>
      <c r="C307" s="110">
        <f>C306*E8</f>
        <v>0</v>
      </c>
      <c r="E307" s="8"/>
    </row>
    <row r="308" spans="1:5" hidden="1">
      <c r="A308" s="114"/>
      <c r="B308" s="87" t="s">
        <v>41</v>
      </c>
      <c r="C308" s="110">
        <f>C306+C307</f>
        <v>0</v>
      </c>
    </row>
    <row r="309" spans="1:5" hidden="1">
      <c r="A309" s="114"/>
      <c r="B309" s="87" t="s">
        <v>470</v>
      </c>
      <c r="C309" s="110">
        <f>C308*5%</f>
        <v>0</v>
      </c>
      <c r="E309" s="8">
        <v>0.1</v>
      </c>
    </row>
    <row r="310" spans="1:5" hidden="1">
      <c r="A310" s="114"/>
      <c r="B310" s="87" t="s">
        <v>476</v>
      </c>
      <c r="C310" s="102">
        <f>(C308+C309)/0.95-(C308+C309)</f>
        <v>0</v>
      </c>
      <c r="E310" s="8">
        <v>0.04</v>
      </c>
    </row>
    <row r="311" spans="1:5" hidden="1">
      <c r="A311" s="114"/>
      <c r="B311" s="99" t="s">
        <v>19</v>
      </c>
      <c r="C311" s="110">
        <f>C308+C309+C310</f>
        <v>0</v>
      </c>
    </row>
    <row r="312" spans="1:5" hidden="1">
      <c r="A312" s="114"/>
      <c r="B312" s="87" t="s">
        <v>20</v>
      </c>
      <c r="C312" s="111">
        <f>C311/C5</f>
        <v>0</v>
      </c>
    </row>
    <row r="313" spans="1:5">
      <c r="A313" s="114"/>
      <c r="B313" s="89" t="s">
        <v>101</v>
      </c>
      <c r="C313" s="92"/>
    </row>
    <row r="314" spans="1:5">
      <c r="A314" s="114" t="s">
        <v>83</v>
      </c>
      <c r="B314" s="97" t="s">
        <v>107</v>
      </c>
      <c r="C314" s="92"/>
    </row>
    <row r="315" spans="1:5">
      <c r="A315" s="114"/>
      <c r="B315" s="116" t="s">
        <v>421</v>
      </c>
      <c r="C315" s="113">
        <v>2</v>
      </c>
    </row>
    <row r="316" spans="1:5">
      <c r="A316" s="114"/>
      <c r="B316" s="116" t="s">
        <v>53</v>
      </c>
      <c r="C316" s="92">
        <f>C42*10%</f>
        <v>30</v>
      </c>
    </row>
    <row r="317" spans="1:5">
      <c r="A317" s="114"/>
      <c r="B317" s="116" t="s">
        <v>108</v>
      </c>
      <c r="C317" s="110">
        <f>C315*2.2*C316/100</f>
        <v>1.32</v>
      </c>
    </row>
    <row r="318" spans="1:5">
      <c r="A318" s="114" t="s">
        <v>85</v>
      </c>
      <c r="B318" s="97" t="s">
        <v>109</v>
      </c>
      <c r="C318" s="92"/>
    </row>
    <row r="319" spans="1:5">
      <c r="A319" s="114"/>
      <c r="B319" s="87" t="s">
        <v>424</v>
      </c>
      <c r="C319" s="113">
        <v>2</v>
      </c>
    </row>
    <row r="320" spans="1:5">
      <c r="A320" s="114"/>
      <c r="B320" s="87" t="s">
        <v>110</v>
      </c>
      <c r="C320" s="92">
        <v>4</v>
      </c>
    </row>
    <row r="321" spans="1:5">
      <c r="A321" s="114"/>
      <c r="B321" s="116" t="s">
        <v>111</v>
      </c>
      <c r="C321" s="110">
        <f>C319*1.4*C320</f>
        <v>11.2</v>
      </c>
    </row>
    <row r="322" spans="1:5">
      <c r="A322" s="114" t="s">
        <v>88</v>
      </c>
      <c r="B322" s="121" t="s">
        <v>372</v>
      </c>
      <c r="C322" s="92"/>
    </row>
    <row r="323" spans="1:5">
      <c r="A323" s="114"/>
      <c r="B323" s="87" t="s">
        <v>493</v>
      </c>
      <c r="C323" s="113">
        <v>2</v>
      </c>
    </row>
    <row r="324" spans="1:5">
      <c r="A324" s="114"/>
      <c r="B324" s="87" t="s">
        <v>317</v>
      </c>
      <c r="C324" s="92">
        <v>3</v>
      </c>
      <c r="E324" s="1"/>
    </row>
    <row r="325" spans="1:5">
      <c r="A325" s="114"/>
      <c r="B325" s="116" t="s">
        <v>112</v>
      </c>
      <c r="C325" s="110">
        <f>C323*0.8*C324</f>
        <v>4.8000000000000007</v>
      </c>
    </row>
    <row r="326" spans="1:5">
      <c r="A326" s="114"/>
      <c r="B326" s="100" t="s">
        <v>103</v>
      </c>
      <c r="C326" s="110">
        <f>C317/2003</f>
        <v>6.5901148277583627E-4</v>
      </c>
    </row>
    <row r="327" spans="1:5">
      <c r="A327" s="114"/>
      <c r="B327" s="87" t="s">
        <v>481</v>
      </c>
      <c r="C327" s="110">
        <f>(1378*1.2*1.35*1.25)*C326</f>
        <v>1.8389385921118324</v>
      </c>
      <c r="E327" s="73">
        <f>1378*1.2*1.35*1.25</f>
        <v>2790.4500000000003</v>
      </c>
    </row>
    <row r="328" spans="1:5">
      <c r="A328" s="114"/>
      <c r="B328" s="100" t="s">
        <v>105</v>
      </c>
      <c r="C328" s="123">
        <f>(C321+C325)/2003</f>
        <v>7.9880179730404399E-3</v>
      </c>
    </row>
    <row r="329" spans="1:5">
      <c r="A329" s="114"/>
      <c r="B329" s="87" t="s">
        <v>484</v>
      </c>
      <c r="C329" s="110">
        <f>1378*1.2*1.2*1.25*C328</f>
        <v>19.813479780329505</v>
      </c>
      <c r="E329" s="73">
        <f>1378*1.2*1.2*1.25</f>
        <v>2480.3999999999996</v>
      </c>
    </row>
    <row r="330" spans="1:5">
      <c r="A330" s="114"/>
      <c r="B330" s="87" t="s">
        <v>474</v>
      </c>
      <c r="C330" s="110">
        <f>(C327+C329)*22%</f>
        <v>4.7635320419370943</v>
      </c>
    </row>
    <row r="331" spans="1:5" ht="63.75">
      <c r="A331" s="114"/>
      <c r="B331" s="87" t="s">
        <v>36</v>
      </c>
      <c r="C331" s="110">
        <f>(C326+C328)*E331</f>
        <v>2.2275612581128308</v>
      </c>
      <c r="E331" s="6">
        <v>257.61</v>
      </c>
    </row>
    <row r="332" spans="1:5">
      <c r="A332" s="114"/>
      <c r="B332" s="103" t="s">
        <v>39</v>
      </c>
      <c r="C332" s="110">
        <f>(C327+C329)*E4</f>
        <v>8.660967348976536</v>
      </c>
      <c r="E332" s="8"/>
    </row>
    <row r="333" spans="1:5">
      <c r="A333" s="114"/>
      <c r="B333" s="87" t="s">
        <v>42</v>
      </c>
      <c r="C333" s="110">
        <f>C327+C329+C330+C331+C332</f>
        <v>37.304479021467799</v>
      </c>
    </row>
    <row r="334" spans="1:5">
      <c r="A334" s="114"/>
      <c r="B334" s="103" t="s">
        <v>40</v>
      </c>
      <c r="C334" s="110">
        <f>C333*E8</f>
        <v>11.191343706440339</v>
      </c>
      <c r="E334" s="8"/>
    </row>
    <row r="335" spans="1:5">
      <c r="A335" s="114"/>
      <c r="B335" s="87" t="s">
        <v>41</v>
      </c>
      <c r="C335" s="110">
        <f>C333+C334</f>
        <v>48.495822727908134</v>
      </c>
    </row>
    <row r="336" spans="1:5">
      <c r="A336" s="114"/>
      <c r="B336" s="87" t="s">
        <v>470</v>
      </c>
      <c r="C336" s="110">
        <f>C335*5%</f>
        <v>2.4247911363954069</v>
      </c>
      <c r="E336" s="8">
        <v>0.1</v>
      </c>
    </row>
    <row r="337" spans="1:5">
      <c r="A337" s="114"/>
      <c r="B337" s="87" t="s">
        <v>476</v>
      </c>
      <c r="C337" s="102">
        <f>(C335+C336)/0.95-(C335+C336)</f>
        <v>2.6800323086475544</v>
      </c>
      <c r="E337" s="8">
        <v>0.04</v>
      </c>
    </row>
    <row r="338" spans="1:5">
      <c r="A338" s="114"/>
      <c r="B338" s="99" t="s">
        <v>19</v>
      </c>
      <c r="C338" s="110">
        <f>C335+C336+C337</f>
        <v>53.600646172951095</v>
      </c>
    </row>
    <row r="339" spans="1:5">
      <c r="A339" s="96"/>
      <c r="B339" s="87" t="s">
        <v>20</v>
      </c>
      <c r="C339" s="111">
        <f>C338/C5</f>
        <v>1.7004957447812254E-2</v>
      </c>
    </row>
    <row r="340" spans="1:5">
      <c r="A340" s="96"/>
      <c r="B340" s="89" t="s">
        <v>113</v>
      </c>
      <c r="C340" s="92"/>
    </row>
    <row r="341" spans="1:5">
      <c r="A341" s="96" t="s">
        <v>92</v>
      </c>
      <c r="B341" s="97" t="s">
        <v>114</v>
      </c>
      <c r="C341" s="92"/>
    </row>
    <row r="342" spans="1:5">
      <c r="A342" s="96"/>
      <c r="B342" s="116" t="s">
        <v>421</v>
      </c>
      <c r="C342" s="113">
        <v>2</v>
      </c>
    </row>
    <row r="343" spans="1:5">
      <c r="A343" s="96"/>
      <c r="B343" s="116" t="s">
        <v>53</v>
      </c>
      <c r="C343" s="117">
        <f>((C44*5%)+C45+C46)*50%</f>
        <v>187</v>
      </c>
      <c r="D343" s="164">
        <v>0.5</v>
      </c>
    </row>
    <row r="344" spans="1:5">
      <c r="A344" s="96"/>
      <c r="B344" s="116" t="s">
        <v>54</v>
      </c>
      <c r="C344" s="110">
        <f>C342*1.2*C343/100</f>
        <v>4.4880000000000004</v>
      </c>
    </row>
    <row r="345" spans="1:5">
      <c r="A345" s="96" t="s">
        <v>119</v>
      </c>
      <c r="B345" s="97" t="s">
        <v>115</v>
      </c>
      <c r="C345" s="92"/>
    </row>
    <row r="346" spans="1:5">
      <c r="A346" s="96"/>
      <c r="B346" s="116" t="s">
        <v>421</v>
      </c>
      <c r="C346" s="113">
        <v>2</v>
      </c>
    </row>
    <row r="347" spans="1:5">
      <c r="A347" s="96"/>
      <c r="B347" s="116" t="s">
        <v>53</v>
      </c>
      <c r="C347" s="117">
        <f>((C44*5%)+C45+C46)*50%</f>
        <v>187</v>
      </c>
      <c r="D347" s="164">
        <v>0.5</v>
      </c>
    </row>
    <row r="348" spans="1:5">
      <c r="A348" s="96"/>
      <c r="B348" s="116" t="s">
        <v>57</v>
      </c>
      <c r="C348" s="92">
        <f>C346*1.1*C347/100</f>
        <v>4.1140000000000008</v>
      </c>
    </row>
    <row r="349" spans="1:5">
      <c r="A349" s="96" t="s">
        <v>121</v>
      </c>
      <c r="B349" s="121" t="s">
        <v>116</v>
      </c>
      <c r="C349" s="92"/>
    </row>
    <row r="350" spans="1:5">
      <c r="A350" s="96"/>
      <c r="B350" s="116" t="s">
        <v>429</v>
      </c>
      <c r="C350" s="119">
        <v>3</v>
      </c>
    </row>
    <row r="351" spans="1:5">
      <c r="A351" s="96"/>
      <c r="B351" s="116" t="s">
        <v>384</v>
      </c>
      <c r="C351" s="92">
        <f>(C47+C48+C49+C50)*50%</f>
        <v>64</v>
      </c>
      <c r="D351" s="164">
        <v>0.5</v>
      </c>
    </row>
    <row r="352" spans="1:5">
      <c r="A352" s="96"/>
      <c r="B352" s="116" t="s">
        <v>117</v>
      </c>
      <c r="C352" s="92">
        <f>C350*8.8*C351/100</f>
        <v>16.896000000000001</v>
      </c>
    </row>
    <row r="353" spans="1:5">
      <c r="A353" s="96" t="s">
        <v>125</v>
      </c>
      <c r="B353" s="121" t="s">
        <v>120</v>
      </c>
      <c r="C353" s="92"/>
    </row>
    <row r="354" spans="1:5">
      <c r="A354" s="96"/>
      <c r="B354" s="116" t="s">
        <v>421</v>
      </c>
      <c r="C354" s="113">
        <v>2</v>
      </c>
    </row>
    <row r="355" spans="1:5">
      <c r="A355" s="96"/>
      <c r="B355" s="116" t="s">
        <v>131</v>
      </c>
      <c r="C355" s="124">
        <f>C52</f>
        <v>1400</v>
      </c>
    </row>
    <row r="356" spans="1:5">
      <c r="A356" s="96"/>
      <c r="B356" s="116" t="s">
        <v>122</v>
      </c>
      <c r="C356" s="110">
        <f>C354*0.48*C355/100</f>
        <v>13.44</v>
      </c>
      <c r="E356" t="s">
        <v>299</v>
      </c>
    </row>
    <row r="357" spans="1:5">
      <c r="A357" s="96"/>
      <c r="B357" s="116" t="s">
        <v>421</v>
      </c>
      <c r="C357" s="113">
        <v>2</v>
      </c>
    </row>
    <row r="358" spans="1:5">
      <c r="A358" s="96"/>
      <c r="B358" s="116" t="s">
        <v>130</v>
      </c>
      <c r="C358" s="124">
        <f>C52</f>
        <v>1400</v>
      </c>
    </row>
    <row r="359" spans="1:5">
      <c r="A359" s="96"/>
      <c r="B359" s="116" t="s">
        <v>123</v>
      </c>
      <c r="C359" s="110">
        <f>C357*1.73*C358/100</f>
        <v>48.44</v>
      </c>
    </row>
    <row r="360" spans="1:5">
      <c r="A360" s="96" t="s">
        <v>132</v>
      </c>
      <c r="B360" s="121" t="s">
        <v>124</v>
      </c>
      <c r="C360" s="92"/>
    </row>
    <row r="361" spans="1:5">
      <c r="A361" s="96"/>
      <c r="B361" s="116" t="s">
        <v>430</v>
      </c>
      <c r="C361" s="113">
        <v>1</v>
      </c>
    </row>
    <row r="362" spans="1:5">
      <c r="A362" s="96"/>
      <c r="B362" s="116" t="s">
        <v>129</v>
      </c>
      <c r="C362" s="125">
        <f>C53</f>
        <v>1400</v>
      </c>
      <c r="E362" s="35" t="s">
        <v>299</v>
      </c>
    </row>
    <row r="363" spans="1:5">
      <c r="A363" s="96"/>
      <c r="B363" s="116" t="s">
        <v>126</v>
      </c>
      <c r="C363" s="92">
        <f>C361*2.2*C362/100</f>
        <v>30.800000000000004</v>
      </c>
    </row>
    <row r="364" spans="1:5">
      <c r="A364" s="96"/>
      <c r="B364" s="116" t="s">
        <v>431</v>
      </c>
      <c r="C364" s="113">
        <v>2</v>
      </c>
    </row>
    <row r="365" spans="1:5">
      <c r="A365" s="96"/>
      <c r="B365" s="116" t="s">
        <v>128</v>
      </c>
      <c r="C365" s="92">
        <f>C51</f>
        <v>1</v>
      </c>
    </row>
    <row r="366" spans="1:5">
      <c r="A366" s="96"/>
      <c r="B366" s="116" t="s">
        <v>127</v>
      </c>
      <c r="C366" s="110">
        <f>C364*1.5*C365</f>
        <v>3</v>
      </c>
    </row>
    <row r="367" spans="1:5">
      <c r="A367" s="96" t="s">
        <v>134</v>
      </c>
      <c r="B367" s="121" t="s">
        <v>58</v>
      </c>
      <c r="C367" s="92"/>
    </row>
    <row r="368" spans="1:5">
      <c r="A368" s="96"/>
      <c r="B368" s="116" t="s">
        <v>432</v>
      </c>
      <c r="C368" s="111">
        <f>12/36</f>
        <v>0.33333333333333331</v>
      </c>
    </row>
    <row r="369" spans="1:5">
      <c r="A369" s="96"/>
      <c r="B369" s="116" t="s">
        <v>323</v>
      </c>
      <c r="C369" s="92">
        <f>C49+C50</f>
        <v>4</v>
      </c>
      <c r="E369" t="s">
        <v>6</v>
      </c>
    </row>
    <row r="370" spans="1:5">
      <c r="A370" s="96"/>
      <c r="B370" s="116" t="s">
        <v>133</v>
      </c>
      <c r="C370" s="110">
        <f>C369*C368*1</f>
        <v>1.3333333333333333</v>
      </c>
    </row>
    <row r="371" spans="1:5">
      <c r="A371" s="96" t="s">
        <v>135</v>
      </c>
      <c r="B371" s="97" t="s">
        <v>84</v>
      </c>
      <c r="C371" s="92"/>
    </row>
    <row r="372" spans="1:5">
      <c r="A372" s="96"/>
      <c r="B372" s="87" t="s">
        <v>423</v>
      </c>
      <c r="C372" s="113">
        <v>2</v>
      </c>
    </row>
    <row r="373" spans="1:5">
      <c r="A373" s="96"/>
      <c r="B373" s="87" t="s">
        <v>303</v>
      </c>
      <c r="C373" s="92">
        <f>(C47+C48)*20%</f>
        <v>24.8</v>
      </c>
      <c r="E373" s="8">
        <v>0.2</v>
      </c>
    </row>
    <row r="374" spans="1:5">
      <c r="A374" s="96"/>
      <c r="B374" s="116" t="s">
        <v>86</v>
      </c>
      <c r="C374" s="110">
        <f>C373*C372*0.35</f>
        <v>17.36</v>
      </c>
      <c r="E374" t="s">
        <v>300</v>
      </c>
    </row>
    <row r="375" spans="1:5">
      <c r="A375" s="96" t="s">
        <v>136</v>
      </c>
      <c r="B375" s="97" t="s">
        <v>87</v>
      </c>
      <c r="C375" s="92"/>
    </row>
    <row r="376" spans="1:5">
      <c r="A376" s="96"/>
      <c r="B376" s="87" t="s">
        <v>423</v>
      </c>
      <c r="C376" s="113">
        <v>2</v>
      </c>
    </row>
    <row r="377" spans="1:5">
      <c r="A377" s="96"/>
      <c r="B377" s="87" t="s">
        <v>324</v>
      </c>
      <c r="C377" s="92">
        <f>C49+C50</f>
        <v>4</v>
      </c>
      <c r="E377" t="s">
        <v>6</v>
      </c>
    </row>
    <row r="378" spans="1:5">
      <c r="A378" s="96"/>
      <c r="B378" s="116" t="s">
        <v>90</v>
      </c>
      <c r="C378" s="110">
        <f>C376*0.35*C377</f>
        <v>2.8</v>
      </c>
    </row>
    <row r="379" spans="1:5">
      <c r="A379" s="96" t="s">
        <v>138</v>
      </c>
      <c r="B379" s="121" t="s">
        <v>91</v>
      </c>
      <c r="C379" s="92"/>
    </row>
    <row r="380" spans="1:5">
      <c r="A380" s="96"/>
      <c r="B380" s="87" t="s">
        <v>472</v>
      </c>
      <c r="C380" s="92"/>
    </row>
    <row r="381" spans="1:5">
      <c r="A381" s="96"/>
      <c r="B381" s="87" t="s">
        <v>96</v>
      </c>
      <c r="C381" s="92">
        <v>10</v>
      </c>
    </row>
    <row r="382" spans="1:5">
      <c r="A382" s="96"/>
      <c r="B382" s="116" t="s">
        <v>97</v>
      </c>
      <c r="C382" s="110">
        <f>0.55*C381</f>
        <v>5.5</v>
      </c>
    </row>
    <row r="383" spans="1:5">
      <c r="A383" s="96" t="s">
        <v>139</v>
      </c>
      <c r="B383" s="121" t="s">
        <v>98</v>
      </c>
      <c r="C383" s="92"/>
    </row>
    <row r="384" spans="1:5">
      <c r="A384" s="96"/>
      <c r="B384" s="116" t="s">
        <v>423</v>
      </c>
      <c r="C384" s="113">
        <v>2</v>
      </c>
    </row>
    <row r="385" spans="1:10">
      <c r="A385" s="96"/>
      <c r="B385" s="116" t="s">
        <v>99</v>
      </c>
      <c r="C385" s="92">
        <f>(C47+C48)*20%</f>
        <v>24.8</v>
      </c>
      <c r="D385" s="77" t="s">
        <v>464</v>
      </c>
      <c r="E385" t="s">
        <v>315</v>
      </c>
    </row>
    <row r="386" spans="1:10">
      <c r="A386" s="96"/>
      <c r="B386" s="116" t="s">
        <v>100</v>
      </c>
      <c r="C386" s="92">
        <f>C384*0.6*C385</f>
        <v>29.759999999999998</v>
      </c>
    </row>
    <row r="387" spans="1:10">
      <c r="A387" s="96" t="s">
        <v>148</v>
      </c>
      <c r="B387" s="121" t="s">
        <v>137</v>
      </c>
      <c r="C387" s="92"/>
      <c r="E387" s="17" t="s">
        <v>466</v>
      </c>
      <c r="F387" s="17"/>
      <c r="G387" s="17"/>
      <c r="H387" s="17"/>
      <c r="I387" s="17"/>
      <c r="J387" s="36"/>
    </row>
    <row r="388" spans="1:10">
      <c r="A388" s="96"/>
      <c r="B388" s="116" t="s">
        <v>462</v>
      </c>
      <c r="C388" s="113">
        <v>1</v>
      </c>
    </row>
    <row r="389" spans="1:10">
      <c r="A389" s="96"/>
      <c r="B389" s="116" t="s">
        <v>140</v>
      </c>
      <c r="C389" s="106">
        <f>(((((C44*5%)+C45+C46)/10)*20%)*5.251)*C388</f>
        <v>39.277480000000004</v>
      </c>
    </row>
    <row r="390" spans="1:10">
      <c r="A390" s="96"/>
      <c r="B390" s="116" t="s">
        <v>141</v>
      </c>
      <c r="C390" s="110">
        <f>2*1.29*C389</f>
        <v>101.33589840000002</v>
      </c>
    </row>
    <row r="391" spans="1:10" hidden="1">
      <c r="A391" s="96"/>
      <c r="B391" s="100" t="s">
        <v>142</v>
      </c>
      <c r="C391" s="110"/>
    </row>
    <row r="392" spans="1:10" hidden="1">
      <c r="A392" s="96"/>
      <c r="B392" s="87" t="s">
        <v>433</v>
      </c>
      <c r="C392" s="110"/>
    </row>
    <row r="393" spans="1:10">
      <c r="A393" s="96"/>
      <c r="B393" s="100" t="s">
        <v>103</v>
      </c>
      <c r="C393" s="110">
        <f>(C344+C348+C352+C356+C359+C363+C366+C370)/2003</f>
        <v>6.1163920785488428E-2</v>
      </c>
    </row>
    <row r="394" spans="1:10">
      <c r="A394" s="96"/>
      <c r="B394" s="87" t="s">
        <v>481</v>
      </c>
      <c r="C394" s="110">
        <f>1378*1.2*1.35*1.25*C393</f>
        <v>170.6748627558662</v>
      </c>
      <c r="E394" s="73">
        <f>1378*1.2*1.35*1.25</f>
        <v>2790.4500000000003</v>
      </c>
    </row>
    <row r="395" spans="1:10" hidden="1">
      <c r="A395" s="96"/>
      <c r="B395" s="100" t="s">
        <v>104</v>
      </c>
      <c r="C395" s="110"/>
    </row>
    <row r="396" spans="1:10" hidden="1">
      <c r="A396" s="96"/>
      <c r="B396" s="87" t="s">
        <v>425</v>
      </c>
      <c r="C396" s="110"/>
    </row>
    <row r="397" spans="1:10" hidden="1">
      <c r="A397" s="96"/>
      <c r="B397" s="100" t="s">
        <v>143</v>
      </c>
      <c r="C397" s="110"/>
    </row>
    <row r="398" spans="1:10" hidden="1">
      <c r="A398" s="96"/>
      <c r="B398" s="87" t="s">
        <v>434</v>
      </c>
      <c r="C398" s="110"/>
    </row>
    <row r="399" spans="1:10">
      <c r="A399" s="96"/>
      <c r="B399" s="100" t="s">
        <v>105</v>
      </c>
      <c r="C399" s="110">
        <f>(C378+C386+C390)/2003</f>
        <v>6.6847677683474799E-2</v>
      </c>
    </row>
    <row r="400" spans="1:10">
      <c r="A400" s="96"/>
      <c r="B400" s="87" t="s">
        <v>482</v>
      </c>
      <c r="C400" s="110">
        <f>1378*1.2*1.35*1.25*C399</f>
        <v>186.53510219185227</v>
      </c>
      <c r="E400">
        <f>1378*1.2*1.2*1.25</f>
        <v>2480.3999999999996</v>
      </c>
    </row>
    <row r="401" spans="1:5">
      <c r="A401" s="96"/>
      <c r="B401" s="100" t="s">
        <v>102</v>
      </c>
      <c r="C401" s="110">
        <f>(C374+C382)/2003</f>
        <v>1.1412880678981527E-2</v>
      </c>
    </row>
    <row r="402" spans="1:5">
      <c r="A402" s="96"/>
      <c r="B402" s="87" t="s">
        <v>483</v>
      </c>
      <c r="C402" s="110">
        <f>1378*1.2*1.35*1.25*C401</f>
        <v>31.847072890664005</v>
      </c>
      <c r="E402">
        <f>1378*1.2*1.08*1.25</f>
        <v>2232.3599999999997</v>
      </c>
    </row>
    <row r="403" spans="1:5">
      <c r="A403" s="96"/>
      <c r="B403" s="87" t="s">
        <v>474</v>
      </c>
      <c r="C403" s="106">
        <f>(C402+C400+C394)*E403</f>
        <v>85.592548324444152</v>
      </c>
      <c r="E403" s="12">
        <v>0.22</v>
      </c>
    </row>
    <row r="404" spans="1:5" ht="63.75">
      <c r="A404" s="96"/>
      <c r="B404" s="87" t="s">
        <v>36</v>
      </c>
      <c r="C404" s="110">
        <f>(C393+C399+C401)*E404</f>
        <v>35.91714007330205</v>
      </c>
      <c r="E404" s="6">
        <v>257.61</v>
      </c>
    </row>
    <row r="405" spans="1:5">
      <c r="A405" s="96"/>
      <c r="B405" s="103" t="s">
        <v>39</v>
      </c>
      <c r="C405" s="110">
        <f>(C394+C400+C402)*E4</f>
        <v>155.62281513535299</v>
      </c>
      <c r="E405" s="8"/>
    </row>
    <row r="406" spans="1:5">
      <c r="A406" s="96"/>
      <c r="B406" s="87" t="s">
        <v>42</v>
      </c>
      <c r="C406" s="110">
        <f>C392+C394+C396+C398+C400+C402+C403+C404+C405</f>
        <v>666.18954137148171</v>
      </c>
    </row>
    <row r="407" spans="1:5">
      <c r="A407" s="96"/>
      <c r="B407" s="103" t="s">
        <v>40</v>
      </c>
      <c r="C407" s="110">
        <f>C406*E8</f>
        <v>199.8568624114445</v>
      </c>
      <c r="E407" s="8"/>
    </row>
    <row r="408" spans="1:5">
      <c r="A408" s="96"/>
      <c r="B408" s="87" t="s">
        <v>41</v>
      </c>
      <c r="C408" s="110">
        <f>C406+C407</f>
        <v>866.04640378292618</v>
      </c>
    </row>
    <row r="409" spans="1:5">
      <c r="A409" s="96"/>
      <c r="B409" s="87" t="s">
        <v>470</v>
      </c>
      <c r="C409" s="110">
        <f>C408*5%</f>
        <v>43.302320189146315</v>
      </c>
      <c r="E409" s="8">
        <v>0.1</v>
      </c>
    </row>
    <row r="410" spans="1:5">
      <c r="A410" s="96"/>
      <c r="B410" s="87" t="s">
        <v>476</v>
      </c>
      <c r="C410" s="102">
        <f>(C408+C409)/0.95-(C408+C409)</f>
        <v>47.860459156424895</v>
      </c>
      <c r="E410" s="8">
        <v>0.04</v>
      </c>
    </row>
    <row r="411" spans="1:5">
      <c r="A411" s="96"/>
      <c r="B411" s="99" t="s">
        <v>19</v>
      </c>
      <c r="C411" s="110">
        <f>C408+C409+C410</f>
        <v>957.20918312849744</v>
      </c>
    </row>
    <row r="412" spans="1:5">
      <c r="A412" s="96"/>
      <c r="B412" s="87" t="s">
        <v>20</v>
      </c>
      <c r="C412" s="111">
        <f>C411/C5</f>
        <v>0.30367733581483142</v>
      </c>
    </row>
    <row r="413" spans="1:5" hidden="1">
      <c r="A413" s="96"/>
      <c r="B413" s="89" t="s">
        <v>144</v>
      </c>
      <c r="C413" s="92"/>
    </row>
    <row r="414" spans="1:5" hidden="1">
      <c r="A414" s="96" t="s">
        <v>149</v>
      </c>
      <c r="B414" s="121" t="s">
        <v>152</v>
      </c>
      <c r="C414" s="92"/>
    </row>
    <row r="415" spans="1:5" hidden="1">
      <c r="A415" s="96"/>
      <c r="B415" s="116" t="s">
        <v>421</v>
      </c>
      <c r="C415" s="113">
        <v>2</v>
      </c>
    </row>
    <row r="416" spans="1:5" hidden="1">
      <c r="A416" s="96"/>
      <c r="B416" s="116" t="s">
        <v>153</v>
      </c>
      <c r="C416" s="92">
        <f>C55</f>
        <v>0</v>
      </c>
      <c r="D416" s="164"/>
    </row>
    <row r="417" spans="1:5" hidden="1">
      <c r="A417" s="96"/>
      <c r="B417" s="116" t="s">
        <v>108</v>
      </c>
      <c r="C417" s="126">
        <f>C415*2.2*C416/100</f>
        <v>0</v>
      </c>
    </row>
    <row r="418" spans="1:5" hidden="1">
      <c r="A418" s="96" t="s">
        <v>150</v>
      </c>
      <c r="B418" s="97" t="s">
        <v>154</v>
      </c>
      <c r="C418" s="92"/>
    </row>
    <row r="419" spans="1:5" ht="25.5" hidden="1">
      <c r="A419" s="127"/>
      <c r="B419" s="94" t="s">
        <v>407</v>
      </c>
      <c r="C419" s="128">
        <v>12</v>
      </c>
    </row>
    <row r="420" spans="1:5" hidden="1">
      <c r="A420" s="127"/>
      <c r="B420" s="94" t="s">
        <v>459</v>
      </c>
      <c r="C420" s="125">
        <f>C55*5%</f>
        <v>0</v>
      </c>
    </row>
    <row r="421" spans="1:5" hidden="1">
      <c r="A421" s="127"/>
      <c r="B421" s="129" t="s">
        <v>155</v>
      </c>
      <c r="C421" s="126">
        <f>C419*0.2*C420</f>
        <v>0</v>
      </c>
    </row>
    <row r="422" spans="1:5" hidden="1">
      <c r="A422" s="96"/>
      <c r="B422" s="100" t="s">
        <v>103</v>
      </c>
      <c r="C422" s="110">
        <f>C417/2003</f>
        <v>0</v>
      </c>
    </row>
    <row r="423" spans="1:5" hidden="1">
      <c r="A423" s="96"/>
      <c r="B423" s="87" t="s">
        <v>481</v>
      </c>
      <c r="C423" s="110">
        <f>1378*1.2*1.35*1.25*C422</f>
        <v>0</v>
      </c>
      <c r="E423" s="73">
        <f>1378*1.2*1.35*1.25</f>
        <v>2790.4500000000003</v>
      </c>
    </row>
    <row r="424" spans="1:5" hidden="1">
      <c r="A424" s="96"/>
      <c r="B424" s="100" t="s">
        <v>105</v>
      </c>
      <c r="C424" s="110">
        <f>C421/2003</f>
        <v>0</v>
      </c>
    </row>
    <row r="425" spans="1:5" hidden="1">
      <c r="A425" s="96"/>
      <c r="B425" s="87" t="s">
        <v>482</v>
      </c>
      <c r="C425" s="110">
        <f>1378*1.2*1.2*1.25*C424</f>
        <v>0</v>
      </c>
      <c r="E425">
        <f>1378*1.2*1.2*1.25</f>
        <v>2480.3999999999996</v>
      </c>
    </row>
    <row r="426" spans="1:5" hidden="1">
      <c r="A426" s="96"/>
      <c r="B426" s="87" t="s">
        <v>474</v>
      </c>
      <c r="C426" s="110">
        <f>(C423+C425)*22%</f>
        <v>0</v>
      </c>
    </row>
    <row r="427" spans="1:5" ht="63.75" hidden="1">
      <c r="A427" s="96"/>
      <c r="B427" s="87" t="s">
        <v>36</v>
      </c>
      <c r="C427" s="110">
        <f>(C422+C424)*E427</f>
        <v>0</v>
      </c>
      <c r="E427" s="6">
        <v>257.61</v>
      </c>
    </row>
    <row r="428" spans="1:5" hidden="1">
      <c r="A428" s="96"/>
      <c r="B428" s="103" t="s">
        <v>39</v>
      </c>
      <c r="C428" s="110">
        <f>(C423+C425)*E4</f>
        <v>0</v>
      </c>
      <c r="E428" s="8"/>
    </row>
    <row r="429" spans="1:5" hidden="1">
      <c r="A429" s="96"/>
      <c r="B429" s="87" t="s">
        <v>42</v>
      </c>
      <c r="C429" s="110">
        <f>C423+C425+C426+C427+C428</f>
        <v>0</v>
      </c>
    </row>
    <row r="430" spans="1:5" hidden="1">
      <c r="A430" s="96"/>
      <c r="B430" s="103" t="s">
        <v>40</v>
      </c>
      <c r="C430" s="110">
        <f>C429*E8</f>
        <v>0</v>
      </c>
      <c r="E430" s="8"/>
    </row>
    <row r="431" spans="1:5" hidden="1">
      <c r="A431" s="96"/>
      <c r="B431" s="87" t="s">
        <v>41</v>
      </c>
      <c r="C431" s="110">
        <f>C429+C430</f>
        <v>0</v>
      </c>
    </row>
    <row r="432" spans="1:5" hidden="1">
      <c r="A432" s="96"/>
      <c r="B432" s="87" t="s">
        <v>470</v>
      </c>
      <c r="C432" s="110">
        <f>C431*5%</f>
        <v>0</v>
      </c>
      <c r="E432" s="8">
        <v>0.1</v>
      </c>
    </row>
    <row r="433" spans="1:5" hidden="1">
      <c r="A433" s="96"/>
      <c r="B433" s="87" t="s">
        <v>476</v>
      </c>
      <c r="C433" s="102">
        <f>(C431+C432)/0.95-(C431+C432)</f>
        <v>0</v>
      </c>
      <c r="E433" s="8">
        <v>0.04</v>
      </c>
    </row>
    <row r="434" spans="1:5" hidden="1">
      <c r="A434" s="96"/>
      <c r="B434" s="99" t="s">
        <v>19</v>
      </c>
      <c r="C434" s="110">
        <f>C431+C432+C433</f>
        <v>0</v>
      </c>
    </row>
    <row r="435" spans="1:5" hidden="1">
      <c r="A435" s="96"/>
      <c r="B435" s="87" t="s">
        <v>20</v>
      </c>
      <c r="C435" s="111">
        <f>C434/C5</f>
        <v>0</v>
      </c>
    </row>
    <row r="436" spans="1:5">
      <c r="A436" s="96" t="s">
        <v>151</v>
      </c>
      <c r="B436" s="130" t="s">
        <v>306</v>
      </c>
      <c r="C436" s="110">
        <f>0.13*C5</f>
        <v>409.76780000000002</v>
      </c>
      <c r="D436" s="14"/>
      <c r="E436" s="14"/>
    </row>
    <row r="437" spans="1:5">
      <c r="A437" s="96"/>
      <c r="B437" s="87" t="s">
        <v>42</v>
      </c>
      <c r="C437" s="110">
        <f>C436</f>
        <v>409.76780000000002</v>
      </c>
    </row>
    <row r="438" spans="1:5">
      <c r="A438" s="96"/>
      <c r="B438" s="103" t="s">
        <v>40</v>
      </c>
      <c r="C438" s="110">
        <f>C437*E8</f>
        <v>122.93034</v>
      </c>
      <c r="E438" s="8"/>
    </row>
    <row r="439" spans="1:5">
      <c r="A439" s="96"/>
      <c r="B439" s="87" t="s">
        <v>41</v>
      </c>
      <c r="C439" s="110">
        <f>C437+C438</f>
        <v>532.69813999999997</v>
      </c>
    </row>
    <row r="440" spans="1:5">
      <c r="A440" s="96"/>
      <c r="B440" s="87" t="s">
        <v>470</v>
      </c>
      <c r="C440" s="110">
        <f>C439*5%</f>
        <v>26.634906999999998</v>
      </c>
      <c r="E440" s="8"/>
    </row>
    <row r="441" spans="1:5">
      <c r="A441" s="96"/>
      <c r="B441" s="87" t="s">
        <v>476</v>
      </c>
      <c r="C441" s="102">
        <f>(C439+C440)/0.95-(C439+C440)</f>
        <v>29.438581421052618</v>
      </c>
      <c r="E441" s="8">
        <v>0.04</v>
      </c>
    </row>
    <row r="442" spans="1:5">
      <c r="A442" s="96"/>
      <c r="B442" s="99" t="s">
        <v>19</v>
      </c>
      <c r="C442" s="110">
        <f>C439+C440+C441</f>
        <v>588.77162842105258</v>
      </c>
    </row>
    <row r="443" spans="1:5">
      <c r="A443" s="96"/>
      <c r="B443" s="87" t="s">
        <v>20</v>
      </c>
      <c r="C443" s="111">
        <f>C442/C5</f>
        <v>0.18678947368421051</v>
      </c>
    </row>
    <row r="444" spans="1:5">
      <c r="A444" s="178" t="s">
        <v>159</v>
      </c>
      <c r="B444" s="171" t="s">
        <v>157</v>
      </c>
      <c r="C444" s="115">
        <f>C451</f>
        <v>4.2039709119215944E-2</v>
      </c>
    </row>
    <row r="445" spans="1:5" ht="26.25">
      <c r="A445" s="96"/>
      <c r="B445" s="116" t="s">
        <v>435</v>
      </c>
      <c r="C445" s="110">
        <f>1.29*C12/12</f>
        <v>92.224249999999998</v>
      </c>
      <c r="E445">
        <f>(2*120*1.29)/12</f>
        <v>25.8</v>
      </c>
    </row>
    <row r="446" spans="1:5">
      <c r="A446" s="96"/>
      <c r="B446" s="103" t="s">
        <v>40</v>
      </c>
      <c r="C446" s="110">
        <f>C445*E8</f>
        <v>27.667275</v>
      </c>
    </row>
    <row r="447" spans="1:5">
      <c r="A447" s="96"/>
      <c r="B447" s="87" t="s">
        <v>41</v>
      </c>
      <c r="C447" s="110">
        <f>C445+C446</f>
        <v>119.891525</v>
      </c>
    </row>
    <row r="448" spans="1:5">
      <c r="A448" s="96"/>
      <c r="B448" s="87" t="s">
        <v>470</v>
      </c>
      <c r="C448" s="110">
        <f>C447*5%</f>
        <v>5.9945762500000006</v>
      </c>
    </row>
    <row r="449" spans="1:5">
      <c r="A449" s="96"/>
      <c r="B449" s="116" t="s">
        <v>476</v>
      </c>
      <c r="C449" s="102">
        <f>(C447+C448)/0.95-(C447+C448)</f>
        <v>6.6255842763158057</v>
      </c>
    </row>
    <row r="450" spans="1:5">
      <c r="A450" s="96"/>
      <c r="B450" s="122" t="s">
        <v>19</v>
      </c>
      <c r="C450" s="110">
        <f>C447+C448+C449</f>
        <v>132.5116855263158</v>
      </c>
    </row>
    <row r="451" spans="1:5">
      <c r="A451" s="96"/>
      <c r="B451" s="116" t="s">
        <v>156</v>
      </c>
      <c r="C451" s="111">
        <f>C450/C5</f>
        <v>4.2039709119215944E-2</v>
      </c>
    </row>
    <row r="452" spans="1:5">
      <c r="A452" s="177" t="s">
        <v>160</v>
      </c>
      <c r="B452" s="171" t="s">
        <v>158</v>
      </c>
      <c r="C452" s="115">
        <f>C459</f>
        <v>4.8231604260805874E-2</v>
      </c>
    </row>
    <row r="453" spans="1:5" ht="26.25">
      <c r="A453" s="132"/>
      <c r="B453" s="116" t="s">
        <v>378</v>
      </c>
      <c r="C453" s="110">
        <f>1.48*C12/12</f>
        <v>105.80766666666666</v>
      </c>
      <c r="D453">
        <f>2*1.48*120</f>
        <v>355.2</v>
      </c>
    </row>
    <row r="454" spans="1:5">
      <c r="A454" s="132"/>
      <c r="B454" s="103" t="s">
        <v>40</v>
      </c>
      <c r="C454" s="110">
        <f>C453*E8</f>
        <v>31.742299999999997</v>
      </c>
    </row>
    <row r="455" spans="1:5">
      <c r="A455" s="132"/>
      <c r="B455" s="87" t="s">
        <v>41</v>
      </c>
      <c r="C455" s="110">
        <f>C453+C454</f>
        <v>137.54996666666665</v>
      </c>
    </row>
    <row r="456" spans="1:5">
      <c r="A456" s="132"/>
      <c r="B456" s="87" t="s">
        <v>470</v>
      </c>
      <c r="C456" s="110">
        <f>C455*5%</f>
        <v>6.8774983333333326</v>
      </c>
    </row>
    <row r="457" spans="1:5">
      <c r="A457" s="132"/>
      <c r="B457" s="116" t="s">
        <v>476</v>
      </c>
      <c r="C457" s="102">
        <f>(C455+C456)/0.95-(C455+C456)</f>
        <v>7.6014455263157856</v>
      </c>
    </row>
    <row r="458" spans="1:5">
      <c r="A458" s="132"/>
      <c r="B458" s="122" t="s">
        <v>19</v>
      </c>
      <c r="C458" s="110">
        <f>C455+C456+C457</f>
        <v>152.02891052631577</v>
      </c>
    </row>
    <row r="459" spans="1:5">
      <c r="A459" s="132"/>
      <c r="B459" s="116" t="s">
        <v>156</v>
      </c>
      <c r="C459" s="111">
        <f>C458/C5</f>
        <v>4.8231604260805874E-2</v>
      </c>
    </row>
    <row r="460" spans="1:5">
      <c r="A460" s="177">
        <v>8</v>
      </c>
      <c r="B460" s="172" t="s">
        <v>21</v>
      </c>
      <c r="C460" s="133">
        <f>C475</f>
        <v>5.2756271682628621E-2</v>
      </c>
      <c r="E460">
        <f>(C460*C5/180)</f>
        <v>0.92383852066636873</v>
      </c>
    </row>
    <row r="461" spans="1:5">
      <c r="A461" s="132"/>
      <c r="B461" s="134" t="s">
        <v>22</v>
      </c>
      <c r="C461" s="92">
        <v>2</v>
      </c>
      <c r="E461">
        <f>180*1*1.19/12</f>
        <v>17.849999999999998</v>
      </c>
    </row>
    <row r="462" spans="1:5">
      <c r="A462" s="132"/>
      <c r="B462" s="135" t="s">
        <v>463</v>
      </c>
      <c r="C462" s="92">
        <f>C11*3*25%</f>
        <v>157.5</v>
      </c>
    </row>
    <row r="463" spans="1:5">
      <c r="A463" s="132"/>
      <c r="B463" s="135" t="s">
        <v>228</v>
      </c>
      <c r="C463" s="92">
        <f>(C462*1.8)/10*C461</f>
        <v>56.7</v>
      </c>
    </row>
    <row r="464" spans="1:5">
      <c r="A464" s="132"/>
      <c r="B464" s="116" t="s">
        <v>161</v>
      </c>
      <c r="C464" s="110">
        <f>C463/2003</f>
        <v>2.8307538691962057E-2</v>
      </c>
    </row>
    <row r="465" spans="1:10">
      <c r="A465" s="132"/>
      <c r="B465" s="116" t="s">
        <v>229</v>
      </c>
      <c r="C465" s="110">
        <f>(1378*1.2*1.2*1.25)*C464</f>
        <v>70.214018971542671</v>
      </c>
      <c r="E465">
        <f>1378*1.2*1.2*1.25</f>
        <v>2480.3999999999996</v>
      </c>
    </row>
    <row r="466" spans="1:10">
      <c r="A466" s="132"/>
      <c r="B466" s="87" t="s">
        <v>474</v>
      </c>
      <c r="C466" s="110">
        <f>C465*22%</f>
        <v>15.447084173739388</v>
      </c>
    </row>
    <row r="467" spans="1:10" ht="63.75">
      <c r="A467" s="132"/>
      <c r="B467" s="87" t="s">
        <v>36</v>
      </c>
      <c r="C467" s="110">
        <f>C464*E467</f>
        <v>1.9869061407888167</v>
      </c>
      <c r="E467" s="6">
        <v>70.19</v>
      </c>
      <c r="H467" s="13">
        <f>(C465+C466+C467)/C5</f>
        <v>2.7806580231997766E-2</v>
      </c>
    </row>
    <row r="468" spans="1:10">
      <c r="A468" s="132"/>
      <c r="B468" s="103" t="s">
        <v>39</v>
      </c>
      <c r="C468" s="110">
        <f>C465*E4</f>
        <v>28.085607588617069</v>
      </c>
      <c r="E468" s="8"/>
      <c r="H468">
        <f>H467*12*180</f>
        <v>60.062213301115172</v>
      </c>
      <c r="J468">
        <f>1.19*67%*10%*4%</f>
        <v>3.1892000000000005E-3</v>
      </c>
    </row>
    <row r="469" spans="1:10">
      <c r="A469" s="132"/>
      <c r="B469" s="87" t="s">
        <v>42</v>
      </c>
      <c r="C469" s="110">
        <f>C465+C466+C467+C468</f>
        <v>115.73361687468794</v>
      </c>
    </row>
    <row r="470" spans="1:10">
      <c r="A470" s="132"/>
      <c r="B470" s="103" t="s">
        <v>40</v>
      </c>
      <c r="C470" s="110">
        <f>C469*E8</f>
        <v>34.720085062406383</v>
      </c>
      <c r="E470" s="8"/>
    </row>
    <row r="471" spans="1:10">
      <c r="A471" s="132"/>
      <c r="B471" s="87" t="s">
        <v>41</v>
      </c>
      <c r="C471" s="110">
        <f>C469+C470</f>
        <v>150.45370193709431</v>
      </c>
    </row>
    <row r="472" spans="1:10">
      <c r="A472" s="132"/>
      <c r="B472" s="87" t="s">
        <v>470</v>
      </c>
      <c r="C472" s="110">
        <f>C471*5%</f>
        <v>7.5226850968547154</v>
      </c>
      <c r="E472" s="8">
        <v>0.1</v>
      </c>
    </row>
    <row r="473" spans="1:10">
      <c r="A473" s="132"/>
      <c r="B473" s="87" t="s">
        <v>476</v>
      </c>
      <c r="C473" s="102">
        <f>(C471+C472)/0.95-(C471+C472)</f>
        <v>8.3145466859973283</v>
      </c>
      <c r="E473" s="8">
        <v>0.04</v>
      </c>
    </row>
    <row r="474" spans="1:10">
      <c r="A474" s="132"/>
      <c r="B474" s="99" t="s">
        <v>19</v>
      </c>
      <c r="C474" s="110">
        <f>C471+C472+C473</f>
        <v>166.29093371994637</v>
      </c>
    </row>
    <row r="475" spans="1:10">
      <c r="A475" s="132"/>
      <c r="B475" s="87" t="s">
        <v>20</v>
      </c>
      <c r="C475" s="111">
        <f>C474/C5</f>
        <v>5.2756271682628621E-2</v>
      </c>
      <c r="H475">
        <f>C475*C5/180</f>
        <v>0.92383852066636873</v>
      </c>
    </row>
    <row r="476" spans="1:10" ht="39">
      <c r="A476" s="177">
        <v>9</v>
      </c>
      <c r="B476" s="171" t="s">
        <v>257</v>
      </c>
      <c r="C476" s="115">
        <f>C544</f>
        <v>9.1097154992147836E-2</v>
      </c>
    </row>
    <row r="477" spans="1:10">
      <c r="A477" s="132" t="s">
        <v>167</v>
      </c>
      <c r="B477" s="130" t="s">
        <v>162</v>
      </c>
      <c r="C477" s="92"/>
    </row>
    <row r="478" spans="1:10">
      <c r="A478" s="132"/>
      <c r="B478" s="116" t="s">
        <v>436</v>
      </c>
      <c r="C478" s="113">
        <v>2</v>
      </c>
    </row>
    <row r="479" spans="1:10">
      <c r="A479" s="132"/>
      <c r="B479" s="116" t="s">
        <v>387</v>
      </c>
      <c r="C479" s="126">
        <f>5*4</f>
        <v>20</v>
      </c>
      <c r="E479" s="17" t="s">
        <v>393</v>
      </c>
      <c r="F479" s="17"/>
      <c r="G479" s="17"/>
    </row>
    <row r="480" spans="1:10">
      <c r="A480" s="132"/>
      <c r="B480" s="116" t="s">
        <v>170</v>
      </c>
      <c r="C480" s="136">
        <f>C478*0.13*C479</f>
        <v>5.2</v>
      </c>
    </row>
    <row r="481" spans="1:7">
      <c r="A481" s="132" t="s">
        <v>169</v>
      </c>
      <c r="B481" s="130" t="s">
        <v>168</v>
      </c>
      <c r="C481" s="92"/>
    </row>
    <row r="482" spans="1:7">
      <c r="A482" s="132"/>
      <c r="B482" s="116" t="s">
        <v>437</v>
      </c>
      <c r="C482" s="113">
        <v>2</v>
      </c>
    </row>
    <row r="483" spans="1:7">
      <c r="A483" s="132"/>
      <c r="B483" s="116" t="s">
        <v>338</v>
      </c>
      <c r="C483" s="126">
        <f>(C59+C60)*20%</f>
        <v>122</v>
      </c>
      <c r="E483" s="8">
        <v>0.2</v>
      </c>
    </row>
    <row r="484" spans="1:7">
      <c r="A484" s="132"/>
      <c r="B484" s="116" t="s">
        <v>171</v>
      </c>
      <c r="C484" s="126">
        <f>C482*0.1*C483/10</f>
        <v>2.4400000000000004</v>
      </c>
    </row>
    <row r="485" spans="1:7">
      <c r="A485" s="132" t="s">
        <v>172</v>
      </c>
      <c r="B485" s="130" t="s">
        <v>163</v>
      </c>
      <c r="C485" s="92"/>
    </row>
    <row r="486" spans="1:7">
      <c r="A486" s="132"/>
      <c r="B486" s="116" t="s">
        <v>438</v>
      </c>
      <c r="C486" s="113">
        <v>2</v>
      </c>
    </row>
    <row r="487" spans="1:7">
      <c r="A487" s="132"/>
      <c r="B487" s="116" t="s">
        <v>387</v>
      </c>
      <c r="C487" s="92">
        <f>C479</f>
        <v>20</v>
      </c>
      <c r="E487" s="17" t="s">
        <v>393</v>
      </c>
      <c r="F487" s="17"/>
      <c r="G487" s="17"/>
    </row>
    <row r="488" spans="1:7">
      <c r="A488" s="132"/>
      <c r="B488" s="116" t="s">
        <v>173</v>
      </c>
      <c r="C488" s="126">
        <f>C486*C487*0.05</f>
        <v>2</v>
      </c>
    </row>
    <row r="489" spans="1:7">
      <c r="A489" s="132" t="s">
        <v>174</v>
      </c>
      <c r="B489" s="130" t="s">
        <v>164</v>
      </c>
      <c r="C489" s="92"/>
    </row>
    <row r="490" spans="1:7">
      <c r="A490" s="132"/>
      <c r="B490" s="116" t="s">
        <v>439</v>
      </c>
      <c r="C490" s="113">
        <v>2</v>
      </c>
    </row>
    <row r="491" spans="1:7">
      <c r="A491" s="132"/>
      <c r="B491" s="116" t="s">
        <v>233</v>
      </c>
      <c r="C491" s="126">
        <f>C58</f>
        <v>1</v>
      </c>
    </row>
    <row r="492" spans="1:7">
      <c r="A492" s="132"/>
      <c r="B492" s="116" t="s">
        <v>175</v>
      </c>
      <c r="C492" s="126">
        <f>C490*C491*0.3</f>
        <v>0.6</v>
      </c>
    </row>
    <row r="493" spans="1:7" ht="26.25">
      <c r="A493" s="132" t="s">
        <v>177</v>
      </c>
      <c r="B493" s="130" t="s">
        <v>181</v>
      </c>
      <c r="C493" s="92"/>
    </row>
    <row r="494" spans="1:7">
      <c r="A494" s="132"/>
      <c r="B494" s="80" t="s">
        <v>440</v>
      </c>
      <c r="C494" s="113">
        <v>1</v>
      </c>
    </row>
    <row r="495" spans="1:7" ht="26.25">
      <c r="A495" s="132"/>
      <c r="B495" s="116" t="s">
        <v>180</v>
      </c>
      <c r="C495" s="92">
        <f>(C59+C60)*20%</f>
        <v>122</v>
      </c>
      <c r="E495" s="14" t="s">
        <v>468</v>
      </c>
      <c r="F495" s="14"/>
    </row>
    <row r="496" spans="1:7">
      <c r="A496" s="132"/>
      <c r="B496" s="116" t="s">
        <v>182</v>
      </c>
      <c r="C496" s="137">
        <f>C494*C495*0.2</f>
        <v>24.400000000000002</v>
      </c>
    </row>
    <row r="497" spans="1:6">
      <c r="A497" s="132" t="s">
        <v>183</v>
      </c>
      <c r="B497" s="130" t="s">
        <v>165</v>
      </c>
      <c r="C497" s="92"/>
    </row>
    <row r="498" spans="1:6">
      <c r="A498" s="132"/>
      <c r="B498" s="116" t="s">
        <v>441</v>
      </c>
      <c r="C498" s="113">
        <v>2</v>
      </c>
    </row>
    <row r="499" spans="1:6">
      <c r="A499" s="132"/>
      <c r="B499" s="116" t="s">
        <v>185</v>
      </c>
      <c r="C499" s="117">
        <f>(C61+C62)*50%</f>
        <v>18</v>
      </c>
      <c r="E499" s="14" t="s">
        <v>494</v>
      </c>
      <c r="F499" s="166"/>
    </row>
    <row r="500" spans="1:6">
      <c r="A500" s="132"/>
      <c r="B500" s="116" t="s">
        <v>176</v>
      </c>
      <c r="C500" s="136">
        <f>C498*C499*0.1</f>
        <v>3.6</v>
      </c>
    </row>
    <row r="501" spans="1:6">
      <c r="A501" s="132" t="s">
        <v>184</v>
      </c>
      <c r="B501" s="138" t="s">
        <v>178</v>
      </c>
      <c r="C501" s="92"/>
    </row>
    <row r="502" spans="1:6">
      <c r="A502" s="132"/>
      <c r="B502" s="116" t="s">
        <v>441</v>
      </c>
      <c r="C502" s="113">
        <v>2</v>
      </c>
    </row>
    <row r="503" spans="1:6">
      <c r="A503" s="132"/>
      <c r="B503" s="116" t="s">
        <v>185</v>
      </c>
      <c r="C503" s="117">
        <f>(C61+C62)*10%</f>
        <v>3.6</v>
      </c>
      <c r="E503" s="70" t="s">
        <v>388</v>
      </c>
      <c r="F503" s="44"/>
    </row>
    <row r="504" spans="1:6">
      <c r="A504" s="132"/>
      <c r="B504" s="116" t="s">
        <v>179</v>
      </c>
      <c r="C504" s="136">
        <f>C503*0.2*C502</f>
        <v>1.4400000000000002</v>
      </c>
    </row>
    <row r="505" spans="1:6">
      <c r="A505" s="132" t="s">
        <v>187</v>
      </c>
      <c r="B505" s="130" t="s">
        <v>166</v>
      </c>
      <c r="C505" s="92"/>
    </row>
    <row r="506" spans="1:6">
      <c r="A506" s="132"/>
      <c r="B506" s="116" t="s">
        <v>442</v>
      </c>
      <c r="C506" s="113">
        <v>1</v>
      </c>
    </row>
    <row r="507" spans="1:6">
      <c r="A507" s="132"/>
      <c r="B507" s="116" t="s">
        <v>188</v>
      </c>
      <c r="C507" s="92">
        <f>C62/10*20%</f>
        <v>0.64000000000000012</v>
      </c>
      <c r="E507" s="70" t="s">
        <v>389</v>
      </c>
      <c r="F507" s="44"/>
    </row>
    <row r="508" spans="1:6">
      <c r="A508" s="132"/>
      <c r="B508" s="116" t="s">
        <v>186</v>
      </c>
      <c r="C508" s="126">
        <f>C506*C507*2.6</f>
        <v>1.6640000000000004</v>
      </c>
    </row>
    <row r="509" spans="1:6">
      <c r="A509" s="132" t="s">
        <v>194</v>
      </c>
      <c r="B509" s="130" t="s">
        <v>189</v>
      </c>
      <c r="C509" s="92"/>
    </row>
    <row r="510" spans="1:6">
      <c r="A510" s="132"/>
      <c r="B510" s="116" t="s">
        <v>443</v>
      </c>
      <c r="C510" s="113">
        <v>2</v>
      </c>
    </row>
    <row r="511" spans="1:6">
      <c r="A511" s="132"/>
      <c r="B511" s="116" t="s">
        <v>190</v>
      </c>
      <c r="C511" s="92">
        <f>C63*50%</f>
        <v>8</v>
      </c>
      <c r="E511" s="14" t="s">
        <v>467</v>
      </c>
    </row>
    <row r="512" spans="1:6">
      <c r="A512" s="132"/>
      <c r="B512" s="116" t="s">
        <v>192</v>
      </c>
      <c r="C512" s="126">
        <f>C510*C511*0.25</f>
        <v>4</v>
      </c>
    </row>
    <row r="513" spans="1:6">
      <c r="A513" s="132"/>
      <c r="B513" s="116" t="s">
        <v>444</v>
      </c>
      <c r="C513" s="113">
        <v>1</v>
      </c>
    </row>
    <row r="514" spans="1:6">
      <c r="A514" s="132"/>
      <c r="B514" s="116" t="s">
        <v>191</v>
      </c>
      <c r="C514" s="92">
        <f>C63*5%</f>
        <v>0.8</v>
      </c>
      <c r="E514" s="70" t="s">
        <v>390</v>
      </c>
      <c r="F514" s="70"/>
    </row>
    <row r="515" spans="1:6">
      <c r="A515" s="132"/>
      <c r="B515" s="116" t="s">
        <v>193</v>
      </c>
      <c r="C515" s="126">
        <f>C513*C514*0.55</f>
        <v>0.44000000000000006</v>
      </c>
    </row>
    <row r="516" spans="1:6">
      <c r="A516" s="132" t="s">
        <v>196</v>
      </c>
      <c r="B516" s="130" t="s">
        <v>195</v>
      </c>
      <c r="C516" s="92"/>
    </row>
    <row r="517" spans="1:6">
      <c r="A517" s="132"/>
      <c r="B517" s="116" t="s">
        <v>445</v>
      </c>
      <c r="C517" s="113">
        <v>1</v>
      </c>
    </row>
    <row r="518" spans="1:6">
      <c r="A518" s="132"/>
      <c r="B518" s="116" t="s">
        <v>197</v>
      </c>
      <c r="C518" s="92">
        <f>C64/10*30%</f>
        <v>0.3</v>
      </c>
      <c r="E518" s="70" t="s">
        <v>391</v>
      </c>
    </row>
    <row r="519" spans="1:6">
      <c r="A519" s="132"/>
      <c r="B519" s="116" t="s">
        <v>198</v>
      </c>
      <c r="C519" s="92">
        <f>C517*C518*0.75/10</f>
        <v>2.2499999999999999E-2</v>
      </c>
    </row>
    <row r="520" spans="1:6">
      <c r="A520" s="132"/>
      <c r="B520" s="116" t="s">
        <v>446</v>
      </c>
      <c r="C520" s="113">
        <v>1</v>
      </c>
    </row>
    <row r="521" spans="1:6">
      <c r="A521" s="132"/>
      <c r="B521" s="116" t="s">
        <v>199</v>
      </c>
      <c r="C521" s="92">
        <f>C65/10*30%</f>
        <v>0.18</v>
      </c>
      <c r="E521" s="70" t="s">
        <v>392</v>
      </c>
    </row>
    <row r="522" spans="1:6">
      <c r="A522" s="132"/>
      <c r="B522" s="116" t="s">
        <v>200</v>
      </c>
      <c r="C522" s="126">
        <f>C520*C521*10.6/10</f>
        <v>0.1908</v>
      </c>
    </row>
    <row r="523" spans="1:6">
      <c r="A523" s="132" t="s">
        <v>201</v>
      </c>
      <c r="B523" s="130" t="s">
        <v>377</v>
      </c>
      <c r="C523" s="92"/>
    </row>
    <row r="524" spans="1:6">
      <c r="A524" s="132"/>
      <c r="B524" s="116" t="s">
        <v>447</v>
      </c>
      <c r="C524" s="113">
        <v>1</v>
      </c>
    </row>
    <row r="525" spans="1:6">
      <c r="A525" s="132"/>
      <c r="B525" s="116" t="s">
        <v>327</v>
      </c>
      <c r="C525" s="92">
        <f>C66/10</f>
        <v>2.1</v>
      </c>
    </row>
    <row r="526" spans="1:6">
      <c r="A526" s="132"/>
      <c r="B526" s="116" t="s">
        <v>339</v>
      </c>
      <c r="C526" s="126">
        <f>C524*C525*5.6</f>
        <v>11.76</v>
      </c>
    </row>
    <row r="527" spans="1:6">
      <c r="A527" s="132"/>
      <c r="B527" s="100" t="s">
        <v>202</v>
      </c>
      <c r="C527" s="110">
        <f>(C480+C484+C488+C500+C512)/2003</f>
        <v>8.6070893659510751E-3</v>
      </c>
      <c r="E527" s="45"/>
    </row>
    <row r="528" spans="1:6">
      <c r="A528" s="132"/>
      <c r="B528" s="87" t="s">
        <v>478</v>
      </c>
      <c r="C528" s="110">
        <f>1378*1.2*1.35*1.25*C527</f>
        <v>24.017652521218182</v>
      </c>
    </row>
    <row r="529" spans="1:25">
      <c r="A529" s="132"/>
      <c r="B529" s="100" t="s">
        <v>203</v>
      </c>
      <c r="C529" s="110">
        <f>(C492+C496+C504+C515+C519+C522+C526)/2003</f>
        <v>1.9397553669495759E-2</v>
      </c>
    </row>
    <row r="530" spans="1:25">
      <c r="A530" s="132"/>
      <c r="B530" s="87" t="s">
        <v>479</v>
      </c>
      <c r="C530" s="110">
        <f>1378*1.2*1.2*1.25*C529</f>
        <v>48.113692121817273</v>
      </c>
      <c r="F530" s="13"/>
    </row>
    <row r="531" spans="1:25">
      <c r="A531" s="132"/>
      <c r="B531" s="100" t="s">
        <v>204</v>
      </c>
      <c r="C531" s="110">
        <f>C508/2003</f>
        <v>8.3075386919620583E-4</v>
      </c>
    </row>
    <row r="532" spans="1:25">
      <c r="A532" s="132"/>
      <c r="B532" s="87" t="s">
        <v>480</v>
      </c>
      <c r="C532" s="110">
        <f>1378*1.2*1.08*1.25*C531</f>
        <v>1.8545417074388417</v>
      </c>
      <c r="E532" s="13"/>
    </row>
    <row r="533" spans="1:25">
      <c r="A533" s="96"/>
      <c r="B533" s="116" t="s">
        <v>475</v>
      </c>
      <c r="C533" s="110">
        <f>(C528+C530+C532)*22%</f>
        <v>16.276894997104343</v>
      </c>
    </row>
    <row r="534" spans="1:25" ht="63.75">
      <c r="A534" s="96"/>
      <c r="B534" s="87" t="s">
        <v>362</v>
      </c>
      <c r="C534" s="106">
        <f>(C527+C529+C531)*E534</f>
        <v>2.4040070399400904</v>
      </c>
      <c r="E534" s="6">
        <v>83.37</v>
      </c>
      <c r="F534" s="202" t="s">
        <v>340</v>
      </c>
      <c r="G534" s="203"/>
      <c r="H534" s="204" t="s">
        <v>395</v>
      </c>
      <c r="I534" s="161" t="s">
        <v>341</v>
      </c>
      <c r="J534" s="205" t="s">
        <v>396</v>
      </c>
      <c r="K534" s="161" t="s">
        <v>341</v>
      </c>
      <c r="L534" s="205" t="s">
        <v>397</v>
      </c>
      <c r="M534" s="161" t="s">
        <v>342</v>
      </c>
      <c r="N534" s="205" t="s">
        <v>398</v>
      </c>
      <c r="O534" s="161" t="s">
        <v>342</v>
      </c>
      <c r="P534" s="205" t="s">
        <v>355</v>
      </c>
      <c r="Q534" s="161" t="s">
        <v>343</v>
      </c>
      <c r="R534" s="205" t="s">
        <v>399</v>
      </c>
      <c r="S534" s="161" t="s">
        <v>343</v>
      </c>
      <c r="T534" s="205" t="s">
        <v>357</v>
      </c>
      <c r="U534" s="161" t="s">
        <v>344</v>
      </c>
      <c r="V534" s="205" t="s">
        <v>400</v>
      </c>
      <c r="W534" s="161" t="s">
        <v>344</v>
      </c>
      <c r="X534" s="205" t="s">
        <v>361</v>
      </c>
      <c r="Y534" s="208" t="s">
        <v>345</v>
      </c>
    </row>
    <row r="535" spans="1:25" s="36" customFormat="1">
      <c r="A535" s="96"/>
      <c r="B535" s="139" t="s">
        <v>345</v>
      </c>
      <c r="C535" s="106">
        <f>Y539</f>
        <v>59.582456666666673</v>
      </c>
      <c r="E535" s="6"/>
      <c r="F535" s="211" t="s">
        <v>346</v>
      </c>
      <c r="G535" s="211"/>
      <c r="H535" s="204"/>
      <c r="I535" s="204" t="s">
        <v>351</v>
      </c>
      <c r="J535" s="206"/>
      <c r="K535" s="204" t="s">
        <v>352</v>
      </c>
      <c r="L535" s="206"/>
      <c r="M535" s="204" t="s">
        <v>353</v>
      </c>
      <c r="N535" s="206"/>
      <c r="O535" s="204" t="s">
        <v>354</v>
      </c>
      <c r="P535" s="206"/>
      <c r="Q535" s="204" t="s">
        <v>356</v>
      </c>
      <c r="R535" s="206"/>
      <c r="S535" s="204" t="s">
        <v>359</v>
      </c>
      <c r="T535" s="206"/>
      <c r="U535" s="212" t="s">
        <v>358</v>
      </c>
      <c r="V535" s="206"/>
      <c r="W535" s="204" t="s">
        <v>360</v>
      </c>
      <c r="X535" s="206"/>
      <c r="Y535" s="209"/>
    </row>
    <row r="536" spans="1:25" s="71" customFormat="1" ht="27">
      <c r="A536" s="96"/>
      <c r="B536" s="139" t="s">
        <v>402</v>
      </c>
      <c r="C536" s="106">
        <f>(C499+C503)*10/12</f>
        <v>18</v>
      </c>
      <c r="E536" s="71" t="s">
        <v>401</v>
      </c>
      <c r="F536" s="162" t="s">
        <v>347</v>
      </c>
      <c r="G536" s="162" t="s">
        <v>347</v>
      </c>
      <c r="H536" s="204"/>
      <c r="I536" s="204"/>
      <c r="J536" s="207"/>
      <c r="K536" s="204"/>
      <c r="L536" s="207"/>
      <c r="M536" s="204"/>
      <c r="N536" s="207"/>
      <c r="O536" s="204"/>
      <c r="P536" s="207"/>
      <c r="Q536" s="204"/>
      <c r="R536" s="207"/>
      <c r="S536" s="204"/>
      <c r="T536" s="207"/>
      <c r="U536" s="212"/>
      <c r="V536" s="207"/>
      <c r="W536" s="204"/>
      <c r="X536" s="207"/>
      <c r="Y536" s="209"/>
    </row>
    <row r="537" spans="1:25">
      <c r="A537" s="96"/>
      <c r="B537" s="103" t="s">
        <v>39</v>
      </c>
      <c r="C537" s="106">
        <f>(C528+C530+C532)*E4</f>
        <v>29.594354540189716</v>
      </c>
      <c r="E537" s="8"/>
      <c r="F537" s="163" t="s">
        <v>348</v>
      </c>
      <c r="G537" s="163" t="s">
        <v>348</v>
      </c>
      <c r="H537" s="163" t="s">
        <v>349</v>
      </c>
      <c r="I537" s="163" t="s">
        <v>7</v>
      </c>
      <c r="J537" s="163" t="s">
        <v>349</v>
      </c>
      <c r="K537" s="163" t="s">
        <v>350</v>
      </c>
      <c r="L537" s="163" t="s">
        <v>349</v>
      </c>
      <c r="M537" s="163" t="s">
        <v>7</v>
      </c>
      <c r="N537" s="163" t="s">
        <v>349</v>
      </c>
      <c r="O537" s="163" t="s">
        <v>350</v>
      </c>
      <c r="P537" s="163" t="s">
        <v>349</v>
      </c>
      <c r="Q537" s="163" t="s">
        <v>7</v>
      </c>
      <c r="R537" s="163" t="s">
        <v>349</v>
      </c>
      <c r="S537" s="163" t="s">
        <v>350</v>
      </c>
      <c r="T537" s="163" t="s">
        <v>349</v>
      </c>
      <c r="U537" s="163" t="s">
        <v>7</v>
      </c>
      <c r="V537" s="163" t="s">
        <v>349</v>
      </c>
      <c r="W537" s="163" t="s">
        <v>350</v>
      </c>
      <c r="X537" s="163" t="s">
        <v>349</v>
      </c>
      <c r="Y537" s="210"/>
    </row>
    <row r="538" spans="1:25">
      <c r="A538" s="96"/>
      <c r="B538" s="87" t="s">
        <v>42</v>
      </c>
      <c r="C538" s="106">
        <f>C528+C530+C532+C533+C534+C535+C536+C537</f>
        <v>199.84359959437512</v>
      </c>
      <c r="F538" s="2">
        <v>1</v>
      </c>
      <c r="G538" s="2">
        <v>2</v>
      </c>
      <c r="H538" s="2">
        <v>3</v>
      </c>
      <c r="I538" s="2">
        <v>4</v>
      </c>
      <c r="J538" s="2">
        <v>5</v>
      </c>
      <c r="K538" s="2">
        <v>6</v>
      </c>
      <c r="L538" s="2">
        <v>7</v>
      </c>
      <c r="M538" s="2">
        <v>8</v>
      </c>
      <c r="N538" s="2">
        <v>9</v>
      </c>
      <c r="O538" s="2">
        <v>10</v>
      </c>
      <c r="P538" s="2">
        <v>11</v>
      </c>
      <c r="Q538" s="2">
        <v>12</v>
      </c>
      <c r="R538" s="2">
        <v>13</v>
      </c>
      <c r="S538" s="2">
        <v>14</v>
      </c>
      <c r="T538" s="2">
        <v>15</v>
      </c>
      <c r="U538" s="2">
        <v>16</v>
      </c>
      <c r="V538" s="2">
        <v>17</v>
      </c>
      <c r="W538" s="2">
        <v>18</v>
      </c>
      <c r="X538" s="2">
        <v>19</v>
      </c>
      <c r="Y538" s="2">
        <v>20</v>
      </c>
    </row>
    <row r="539" spans="1:25">
      <c r="A539" s="96"/>
      <c r="B539" s="103" t="s">
        <v>40</v>
      </c>
      <c r="C539" s="106">
        <f>C538*E8</f>
        <v>59.953079878312536</v>
      </c>
      <c r="E539" s="8"/>
      <c r="F539" s="46">
        <f>C59*30%*1.02*1</f>
        <v>52.02</v>
      </c>
      <c r="G539" s="46">
        <f>C60*30%*1.02*1</f>
        <v>134.64000000000001</v>
      </c>
      <c r="H539" s="47">
        <f>(F539*2.1+G539*1.8)/12</f>
        <v>29.299500000000005</v>
      </c>
      <c r="I539" s="47">
        <f>C62*20%*10/10*2</f>
        <v>12.8</v>
      </c>
      <c r="J539" s="47">
        <f>I539*8/12</f>
        <v>8.5333333333333332</v>
      </c>
      <c r="K539" s="48">
        <f>C62*0.005*2</f>
        <v>0.32</v>
      </c>
      <c r="L539" s="48">
        <f>K539*2.86/12</f>
        <v>7.6266666666666663E-2</v>
      </c>
      <c r="M539" s="47">
        <f>C63*4%*1</f>
        <v>0.64</v>
      </c>
      <c r="N539" s="47">
        <f>M539*45/12</f>
        <v>2.4</v>
      </c>
      <c r="O539" s="48">
        <f>C63*0.0005*1</f>
        <v>8.0000000000000002E-3</v>
      </c>
      <c r="P539" s="49">
        <f>O539*2.86/12</f>
        <v>1.9066666666666668E-3</v>
      </c>
      <c r="Q539" s="49">
        <f>C64*30%/10*10</f>
        <v>3</v>
      </c>
      <c r="R539" s="49">
        <f>Q539*35/12</f>
        <v>8.75</v>
      </c>
      <c r="S539" s="47">
        <f>C64*0.006*1</f>
        <v>0.06</v>
      </c>
      <c r="T539" s="47">
        <f>S539*2.86/12</f>
        <v>1.4299999999999998E-2</v>
      </c>
      <c r="U539" s="48">
        <f>C65*30%/10*10</f>
        <v>1.7999999999999998</v>
      </c>
      <c r="V539" s="48">
        <f>U539*70/12</f>
        <v>10.499999999999998</v>
      </c>
      <c r="W539" s="47">
        <f>C65*0.005*1</f>
        <v>0.03</v>
      </c>
      <c r="X539" s="47">
        <f>W539*2.86/12</f>
        <v>7.1499999999999992E-3</v>
      </c>
      <c r="Y539" s="50">
        <f>H539+J539+L539+N539+P539+R539+T539+V539+X539</f>
        <v>59.582456666666673</v>
      </c>
    </row>
    <row r="540" spans="1:25">
      <c r="A540" s="96"/>
      <c r="B540" s="87" t="s">
        <v>41</v>
      </c>
      <c r="C540" s="106">
        <f>C538+C539</f>
        <v>259.79667947268763</v>
      </c>
      <c r="F540" s="46"/>
      <c r="G540" s="46"/>
      <c r="H540" s="47"/>
      <c r="I540" s="47"/>
      <c r="J540" s="47"/>
      <c r="K540" s="48"/>
      <c r="L540" s="48"/>
      <c r="M540" s="47"/>
      <c r="N540" s="47"/>
      <c r="O540" s="48"/>
      <c r="P540" s="49"/>
      <c r="Q540" s="49"/>
      <c r="R540" s="49"/>
      <c r="S540" s="47"/>
      <c r="T540" s="47"/>
      <c r="U540" s="48"/>
      <c r="V540" s="48"/>
      <c r="W540" s="47"/>
      <c r="X540" s="47"/>
      <c r="Y540" s="50"/>
    </row>
    <row r="541" spans="1:25">
      <c r="A541" s="96"/>
      <c r="B541" s="87" t="s">
        <v>470</v>
      </c>
      <c r="C541" s="110">
        <f>C540*5%</f>
        <v>12.989833973634383</v>
      </c>
      <c r="E541" s="8"/>
      <c r="F541" s="51">
        <f t="shared" ref="F541:Y541" si="0">SUM(F539:F540)</f>
        <v>52.02</v>
      </c>
      <c r="G541" s="51">
        <f t="shared" si="0"/>
        <v>134.64000000000001</v>
      </c>
      <c r="H541" s="51">
        <f t="shared" si="0"/>
        <v>29.299500000000005</v>
      </c>
      <c r="I541" s="51">
        <f t="shared" si="0"/>
        <v>12.8</v>
      </c>
      <c r="J541" s="51">
        <f t="shared" si="0"/>
        <v>8.5333333333333332</v>
      </c>
      <c r="K541" s="51">
        <f t="shared" si="0"/>
        <v>0.32</v>
      </c>
      <c r="L541" s="51">
        <f t="shared" si="0"/>
        <v>7.6266666666666663E-2</v>
      </c>
      <c r="M541" s="51">
        <f t="shared" si="0"/>
        <v>0.64</v>
      </c>
      <c r="N541" s="51">
        <f t="shared" si="0"/>
        <v>2.4</v>
      </c>
      <c r="O541" s="51">
        <f t="shared" si="0"/>
        <v>8.0000000000000002E-3</v>
      </c>
      <c r="P541" s="51">
        <f t="shared" si="0"/>
        <v>1.9066666666666668E-3</v>
      </c>
      <c r="Q541" s="51">
        <f t="shared" si="0"/>
        <v>3</v>
      </c>
      <c r="R541" s="51">
        <f t="shared" si="0"/>
        <v>8.75</v>
      </c>
      <c r="S541" s="51">
        <f t="shared" si="0"/>
        <v>0.06</v>
      </c>
      <c r="T541" s="51">
        <f t="shared" si="0"/>
        <v>1.4299999999999998E-2</v>
      </c>
      <c r="U541" s="51">
        <f t="shared" si="0"/>
        <v>1.7999999999999998</v>
      </c>
      <c r="V541" s="51">
        <f t="shared" si="0"/>
        <v>10.499999999999998</v>
      </c>
      <c r="W541" s="51">
        <f t="shared" si="0"/>
        <v>0.03</v>
      </c>
      <c r="X541" s="51">
        <f t="shared" si="0"/>
        <v>7.1499999999999992E-3</v>
      </c>
      <c r="Y541" s="51">
        <f t="shared" si="0"/>
        <v>59.582456666666673</v>
      </c>
    </row>
    <row r="542" spans="1:25">
      <c r="A542" s="96"/>
      <c r="B542" s="87" t="s">
        <v>476</v>
      </c>
      <c r="C542" s="102">
        <f>(C540+C541)/0.95-(C540+C541)</f>
        <v>14.35718491822746</v>
      </c>
      <c r="E542" s="8"/>
      <c r="F542" s="77">
        <v>320</v>
      </c>
      <c r="G542" s="77">
        <v>800</v>
      </c>
      <c r="H542" s="77"/>
      <c r="I542" s="77">
        <v>75</v>
      </c>
      <c r="J542" s="77"/>
      <c r="K542" s="77"/>
      <c r="L542" s="77"/>
      <c r="M542" s="77">
        <v>30</v>
      </c>
      <c r="N542" s="77"/>
      <c r="O542" s="77"/>
      <c r="P542" s="77"/>
      <c r="Q542" s="77">
        <v>0</v>
      </c>
      <c r="R542" s="77"/>
      <c r="S542" s="77"/>
      <c r="T542" s="77"/>
      <c r="U542" s="77">
        <v>20</v>
      </c>
      <c r="V542" s="77"/>
      <c r="W542" s="77"/>
      <c r="X542" s="77"/>
      <c r="Y542" s="77"/>
    </row>
    <row r="543" spans="1:25">
      <c r="A543" s="96"/>
      <c r="B543" s="99" t="s">
        <v>19</v>
      </c>
      <c r="C543" s="106">
        <f>C540+C541+C542</f>
        <v>287.14369836454949</v>
      </c>
      <c r="F543" s="8">
        <v>0.3</v>
      </c>
      <c r="G543" s="8">
        <v>0.3</v>
      </c>
      <c r="H543" s="77"/>
      <c r="I543" s="8">
        <v>0.2</v>
      </c>
      <c r="J543" s="77"/>
      <c r="K543" s="12"/>
      <c r="L543" s="77"/>
      <c r="M543" s="8">
        <v>0.04</v>
      </c>
      <c r="N543" s="77"/>
      <c r="O543" s="12"/>
      <c r="P543" s="77"/>
      <c r="Q543" s="8">
        <v>0.3</v>
      </c>
      <c r="R543" s="77"/>
      <c r="S543" s="12"/>
      <c r="T543" s="77"/>
      <c r="U543" s="8">
        <v>0.3</v>
      </c>
      <c r="V543" s="77"/>
      <c r="W543" s="12"/>
      <c r="X543" s="77"/>
      <c r="Y543" s="77"/>
    </row>
    <row r="544" spans="1:25">
      <c r="A544" s="96"/>
      <c r="B544" s="87" t="s">
        <v>20</v>
      </c>
      <c r="C544" s="115">
        <f>C543/C5</f>
        <v>9.1097154992147836E-2</v>
      </c>
    </row>
    <row r="545" spans="1:7" ht="63.75" hidden="1">
      <c r="A545" s="175">
        <v>10</v>
      </c>
      <c r="B545" s="176" t="s">
        <v>268</v>
      </c>
      <c r="C545" s="140">
        <f>тариф!C33</f>
        <v>0</v>
      </c>
    </row>
    <row r="546" spans="1:7" s="54" customFormat="1" hidden="1">
      <c r="A546" s="140"/>
      <c r="B546" s="141"/>
      <c r="C546" s="140"/>
    </row>
    <row r="547" spans="1:7" s="54" customFormat="1" hidden="1">
      <c r="A547" s="140"/>
      <c r="B547" s="87" t="s">
        <v>477</v>
      </c>
      <c r="C547" s="142">
        <v>0</v>
      </c>
    </row>
    <row r="548" spans="1:7" s="54" customFormat="1" hidden="1">
      <c r="A548" s="140"/>
      <c r="B548" s="87" t="s">
        <v>470</v>
      </c>
      <c r="C548" s="181">
        <f>C547*5%</f>
        <v>0</v>
      </c>
    </row>
    <row r="549" spans="1:7" s="54" customFormat="1" hidden="1">
      <c r="A549" s="140"/>
      <c r="B549" s="87" t="s">
        <v>476</v>
      </c>
      <c r="C549" s="143">
        <f>(C547+C548)/0.95-(C547+C548)</f>
        <v>0</v>
      </c>
    </row>
    <row r="550" spans="1:7" s="54" customFormat="1" hidden="1">
      <c r="A550" s="140"/>
      <c r="B550" s="99" t="s">
        <v>19</v>
      </c>
      <c r="C550" s="142">
        <f>C547+C548+C549</f>
        <v>0</v>
      </c>
      <c r="D550" s="58">
        <f>C545*C5</f>
        <v>0</v>
      </c>
    </row>
    <row r="551" spans="1:7" hidden="1">
      <c r="A551" s="96"/>
      <c r="B551" s="87" t="s">
        <v>20</v>
      </c>
      <c r="C551" s="115">
        <f>C550/C5</f>
        <v>0</v>
      </c>
    </row>
    <row r="552" spans="1:7" hidden="1">
      <c r="A552" s="96"/>
      <c r="B552" s="135"/>
      <c r="C552" s="92"/>
      <c r="E552">
        <f>1.04*C5</f>
        <v>3278.1424000000002</v>
      </c>
    </row>
    <row r="553" spans="1:7" ht="25.5">
      <c r="A553" s="173">
        <v>11</v>
      </c>
      <c r="B553" s="174" t="s">
        <v>207</v>
      </c>
      <c r="C553" s="144">
        <f>C588</f>
        <v>5.8647032822153368E-2</v>
      </c>
    </row>
    <row r="554" spans="1:7">
      <c r="A554" s="145" t="s">
        <v>212</v>
      </c>
      <c r="B554" s="146" t="s">
        <v>208</v>
      </c>
      <c r="C554" s="92"/>
    </row>
    <row r="555" spans="1:7">
      <c r="A555" s="145"/>
      <c r="B555" s="116" t="s">
        <v>209</v>
      </c>
      <c r="C555" s="113">
        <v>32</v>
      </c>
    </row>
    <row r="556" spans="1:7">
      <c r="A556" s="145"/>
      <c r="B556" s="116" t="s">
        <v>448</v>
      </c>
      <c r="C556" s="92">
        <f>(C23*C555)*100%</f>
        <v>3588.4800000000005</v>
      </c>
      <c r="D556" s="164">
        <v>1</v>
      </c>
      <c r="E556" t="s">
        <v>240</v>
      </c>
      <c r="G556">
        <f>31+30+28+31</f>
        <v>120</v>
      </c>
    </row>
    <row r="557" spans="1:7">
      <c r="A557" s="145"/>
      <c r="B557" s="116" t="s">
        <v>210</v>
      </c>
      <c r="C557" s="110">
        <f>C556*0.22/100</f>
        <v>7.8946560000000012</v>
      </c>
      <c r="G557" s="14">
        <f>G556*50%</f>
        <v>60</v>
      </c>
    </row>
    <row r="558" spans="1:7">
      <c r="A558" s="145" t="s">
        <v>213</v>
      </c>
      <c r="B558" s="130" t="s">
        <v>211</v>
      </c>
      <c r="C558" s="92"/>
    </row>
    <row r="559" spans="1:7">
      <c r="A559" s="145"/>
      <c r="B559" s="116" t="s">
        <v>209</v>
      </c>
      <c r="C559" s="113">
        <v>32</v>
      </c>
    </row>
    <row r="560" spans="1:7">
      <c r="A560" s="145"/>
      <c r="B560" s="116" t="s">
        <v>449</v>
      </c>
      <c r="C560" s="92">
        <f>(C23*C559)*100%</f>
        <v>3588.4800000000005</v>
      </c>
      <c r="D560" s="164">
        <v>1</v>
      </c>
    </row>
    <row r="561" spans="1:8">
      <c r="A561" s="145"/>
      <c r="B561" s="116" t="s">
        <v>244</v>
      </c>
      <c r="C561" s="92">
        <f>C560*0.9/100</f>
        <v>32.296320000000009</v>
      </c>
    </row>
    <row r="562" spans="1:8">
      <c r="A562" s="145" t="s">
        <v>214</v>
      </c>
      <c r="B562" s="130" t="s">
        <v>234</v>
      </c>
      <c r="C562" s="147"/>
      <c r="H562" s="199"/>
    </row>
    <row r="563" spans="1:8">
      <c r="A563" s="145"/>
      <c r="B563" s="116" t="s">
        <v>450</v>
      </c>
      <c r="C563" s="148">
        <v>32</v>
      </c>
      <c r="E563" s="15">
        <f>0.017*0.08/0.92</f>
        <v>1.4782608695652175E-3</v>
      </c>
      <c r="F563" t="s">
        <v>245</v>
      </c>
      <c r="H563" s="199"/>
    </row>
    <row r="564" spans="1:8">
      <c r="A564" s="145"/>
      <c r="B564" s="116" t="s">
        <v>235</v>
      </c>
      <c r="C564" s="102">
        <f>C25*C563* E565/100</f>
        <v>0.86201530434782625</v>
      </c>
      <c r="E564" s="15">
        <v>1.7000000000000001E-2</v>
      </c>
      <c r="F564" t="s">
        <v>246</v>
      </c>
    </row>
    <row r="565" spans="1:8">
      <c r="A565" s="145"/>
      <c r="B565" s="116" t="s">
        <v>238</v>
      </c>
      <c r="C565" s="149">
        <f>C564/10*8.33</f>
        <v>0.71805874852173923</v>
      </c>
      <c r="E565" s="16">
        <f>SUM(E563:E564)</f>
        <v>1.8478260869565218E-2</v>
      </c>
      <c r="F565" s="17" t="s">
        <v>247</v>
      </c>
      <c r="G565" s="17"/>
      <c r="H565" s="17"/>
    </row>
    <row r="566" spans="1:8" ht="26.25">
      <c r="A566" s="145" t="s">
        <v>216</v>
      </c>
      <c r="B566" s="130" t="s">
        <v>236</v>
      </c>
      <c r="C566" s="147"/>
    </row>
    <row r="567" spans="1:8">
      <c r="A567" s="145"/>
      <c r="B567" s="116" t="s">
        <v>451</v>
      </c>
      <c r="C567" s="148">
        <v>32</v>
      </c>
    </row>
    <row r="568" spans="1:8">
      <c r="A568" s="145"/>
      <c r="B568" s="116" t="s">
        <v>235</v>
      </c>
      <c r="C568" s="102">
        <f>C25*C567* E569/100</f>
        <v>0.86201530434782625</v>
      </c>
    </row>
    <row r="569" spans="1:8">
      <c r="A569" s="145"/>
      <c r="B569" s="116" t="s">
        <v>380</v>
      </c>
      <c r="C569" s="149">
        <f>C568/10*10.6</f>
        <v>0.9137362226086958</v>
      </c>
      <c r="E569" s="16">
        <f>E563+E564</f>
        <v>1.8478260869565218E-2</v>
      </c>
    </row>
    <row r="570" spans="1:8">
      <c r="A570" s="145" t="s">
        <v>237</v>
      </c>
      <c r="B570" s="130" t="s">
        <v>215</v>
      </c>
      <c r="C570" s="147"/>
    </row>
    <row r="571" spans="1:8">
      <c r="A571" s="145"/>
      <c r="B571" s="116" t="s">
        <v>452</v>
      </c>
      <c r="C571" s="148">
        <v>32</v>
      </c>
    </row>
    <row r="572" spans="1:8">
      <c r="A572" s="145"/>
      <c r="B572" s="116" t="s">
        <v>381</v>
      </c>
      <c r="C572" s="147">
        <f>(C25*100%)*C571</f>
        <v>4665.0240000000003</v>
      </c>
      <c r="D572" s="164">
        <v>1</v>
      </c>
    </row>
    <row r="573" spans="1:8">
      <c r="A573" s="145"/>
      <c r="B573" s="116" t="s">
        <v>217</v>
      </c>
      <c r="C573" s="150">
        <f>C572*0.24/100</f>
        <v>11.196057600000001</v>
      </c>
    </row>
    <row r="574" spans="1:8">
      <c r="A574" s="145"/>
      <c r="B574" s="87" t="s">
        <v>23</v>
      </c>
      <c r="C574" s="149">
        <f>(C557+C561+C565+C569+C573)/2003</f>
        <v>2.6469709720983749E-2</v>
      </c>
    </row>
    <row r="575" spans="1:8">
      <c r="A575" s="145"/>
      <c r="B575" s="87" t="s">
        <v>46</v>
      </c>
      <c r="C575" s="107">
        <f>(1378*1.2*1.2)*C574</f>
        <v>52.524374393542466</v>
      </c>
    </row>
    <row r="576" spans="1:8">
      <c r="A576" s="145"/>
      <c r="B576" s="87" t="s">
        <v>474</v>
      </c>
      <c r="C576" s="102">
        <f>C575*22%</f>
        <v>11.555362366579343</v>
      </c>
    </row>
    <row r="577" spans="1:11" ht="63.75">
      <c r="A577" s="145"/>
      <c r="B577" s="87" t="s">
        <v>36</v>
      </c>
      <c r="C577" s="102">
        <f>C574*E577</f>
        <v>14.802655767265742</v>
      </c>
      <c r="E577" s="6">
        <v>559.23</v>
      </c>
    </row>
    <row r="578" spans="1:11">
      <c r="A578" s="145"/>
      <c r="B578" s="103" t="s">
        <v>454</v>
      </c>
      <c r="C578" s="102">
        <f>(C572* 0.017/100*E578)/12</f>
        <v>17.182838400000001</v>
      </c>
      <c r="E578" s="11">
        <v>260</v>
      </c>
    </row>
    <row r="579" spans="1:11">
      <c r="A579" s="145"/>
      <c r="B579" s="103" t="s">
        <v>453</v>
      </c>
      <c r="C579" s="102">
        <f>(C572*E563/100*E579)/12</f>
        <v>8.9649591652173939</v>
      </c>
      <c r="E579" s="11">
        <v>1560</v>
      </c>
      <c r="G579" t="s">
        <v>249</v>
      </c>
      <c r="I579" t="s">
        <v>250</v>
      </c>
    </row>
    <row r="580" spans="1:11" s="36" customFormat="1">
      <c r="A580" s="145"/>
      <c r="B580" s="139" t="s">
        <v>363</v>
      </c>
      <c r="C580" s="102">
        <f>I581*C24</f>
        <v>2.6164835664812922</v>
      </c>
      <c r="E580" s="52" t="s">
        <v>364</v>
      </c>
      <c r="F580" s="52"/>
      <c r="G580" s="52"/>
    </row>
    <row r="581" spans="1:11">
      <c r="A581" s="145"/>
      <c r="B581" s="103" t="s">
        <v>39</v>
      </c>
      <c r="C581" s="102">
        <f>C575*E4</f>
        <v>21.009749757416987</v>
      </c>
      <c r="E581" s="8"/>
      <c r="I581" s="165">
        <f>2*4*2*400/12/68574.48</f>
        <v>7.7774316820679269E-3</v>
      </c>
    </row>
    <row r="582" spans="1:11">
      <c r="A582" s="145"/>
      <c r="B582" s="87" t="s">
        <v>42</v>
      </c>
      <c r="C582" s="102">
        <f>C575+C576+C577+C578+C579+C580+C581</f>
        <v>128.65642341650323</v>
      </c>
      <c r="G582" s="61">
        <f>2*4*2*400/12/53841.36</f>
        <v>9.9056437900776166E-3</v>
      </c>
    </row>
    <row r="583" spans="1:11">
      <c r="A583" s="145"/>
      <c r="B583" s="103" t="s">
        <v>40</v>
      </c>
      <c r="C583" s="102">
        <f>C582*E8</f>
        <v>38.596927024950965</v>
      </c>
      <c r="E583" s="8"/>
    </row>
    <row r="584" spans="1:11">
      <c r="A584" s="96"/>
      <c r="B584" s="87" t="s">
        <v>41</v>
      </c>
      <c r="C584" s="102">
        <f>C582+C583</f>
        <v>167.25335044145419</v>
      </c>
      <c r="J584">
        <f>6400/460000/12</f>
        <v>1.1594202898550724E-3</v>
      </c>
      <c r="K584">
        <f>J584*C5</f>
        <v>3.6545623188405796</v>
      </c>
    </row>
    <row r="585" spans="1:11">
      <c r="A585" s="96"/>
      <c r="B585" s="87" t="s">
        <v>470</v>
      </c>
      <c r="C585" s="110">
        <f>C584*5%</f>
        <v>8.3626675220727105</v>
      </c>
      <c r="E585" s="8">
        <v>0.1</v>
      </c>
    </row>
    <row r="586" spans="1:11">
      <c r="A586" s="96"/>
      <c r="B586" s="87" t="s">
        <v>476</v>
      </c>
      <c r="C586" s="102">
        <f>(C584+C585)/0.95-(C584+C585)</f>
        <v>9.2429483138698458</v>
      </c>
      <c r="E586" s="8">
        <v>0.04</v>
      </c>
    </row>
    <row r="587" spans="1:11">
      <c r="A587" s="96"/>
      <c r="B587" s="99" t="s">
        <v>19</v>
      </c>
      <c r="C587" s="102">
        <f>C584+C585+C586</f>
        <v>184.85896627739675</v>
      </c>
      <c r="G587">
        <f>C580*12</f>
        <v>31.397802797775505</v>
      </c>
      <c r="H587">
        <f>F588-G587</f>
        <v>2186.9097925309857</v>
      </c>
    </row>
    <row r="588" spans="1:11">
      <c r="A588" s="96"/>
      <c r="B588" s="87" t="s">
        <v>20</v>
      </c>
      <c r="C588" s="109">
        <f>C587/C5</f>
        <v>5.8647032822153368E-2</v>
      </c>
      <c r="F588">
        <f>C588*12*C5</f>
        <v>2218.3075953287612</v>
      </c>
    </row>
    <row r="589" spans="1:11" hidden="1">
      <c r="A589" s="151">
        <v>12</v>
      </c>
      <c r="B589" s="172" t="s">
        <v>220</v>
      </c>
      <c r="C589" s="115">
        <f>C597</f>
        <v>0</v>
      </c>
    </row>
    <row r="590" spans="1:11" hidden="1">
      <c r="A590" s="96"/>
      <c r="B590" s="87" t="s">
        <v>239</v>
      </c>
      <c r="C590" s="113">
        <v>0</v>
      </c>
    </row>
    <row r="591" spans="1:11" hidden="1">
      <c r="A591" s="96"/>
      <c r="B591" s="87" t="s">
        <v>369</v>
      </c>
      <c r="C591" s="110">
        <f>C590*200/60</f>
        <v>0</v>
      </c>
    </row>
    <row r="592" spans="1:11" s="60" customFormat="1" hidden="1">
      <c r="A592" s="96"/>
      <c r="B592" s="103" t="s">
        <v>40</v>
      </c>
      <c r="C592" s="110">
        <f>C591*E8</f>
        <v>0</v>
      </c>
    </row>
    <row r="593" spans="1:5" hidden="1">
      <c r="A593" s="96"/>
      <c r="B593" s="87" t="s">
        <v>41</v>
      </c>
      <c r="C593" s="110">
        <f>C591+C592</f>
        <v>0</v>
      </c>
    </row>
    <row r="594" spans="1:5" hidden="1">
      <c r="A594" s="96"/>
      <c r="B594" s="87" t="s">
        <v>470</v>
      </c>
      <c r="C594" s="110">
        <f>C593*5%</f>
        <v>0</v>
      </c>
      <c r="E594" s="8">
        <v>0.1</v>
      </c>
    </row>
    <row r="595" spans="1:5" hidden="1">
      <c r="A595" s="96"/>
      <c r="B595" s="87" t="s">
        <v>476</v>
      </c>
      <c r="C595" s="102">
        <f>(C593+C594)/0.95-(C593+C594)</f>
        <v>0</v>
      </c>
      <c r="E595" s="8">
        <v>0.04</v>
      </c>
    </row>
    <row r="596" spans="1:5" hidden="1">
      <c r="A596" s="96"/>
      <c r="B596" s="99" t="s">
        <v>19</v>
      </c>
      <c r="C596" s="110">
        <f>C593+C594+C595</f>
        <v>0</v>
      </c>
    </row>
    <row r="597" spans="1:5" hidden="1">
      <c r="A597" s="96"/>
      <c r="B597" s="87" t="s">
        <v>20</v>
      </c>
      <c r="C597" s="111">
        <f>C596/C5</f>
        <v>0</v>
      </c>
    </row>
    <row r="598" spans="1:5" hidden="1">
      <c r="A598" s="96"/>
      <c r="B598" s="87"/>
      <c r="C598" s="92"/>
    </row>
    <row r="599" spans="1:5">
      <c r="A599" s="151">
        <v>13</v>
      </c>
      <c r="B599" s="171" t="s">
        <v>221</v>
      </c>
      <c r="C599" s="115">
        <f>C608</f>
        <v>0.20307771993386445</v>
      </c>
    </row>
    <row r="600" spans="1:5">
      <c r="A600" s="85"/>
      <c r="B600" s="116" t="s">
        <v>457</v>
      </c>
      <c r="C600" s="92">
        <v>0.99</v>
      </c>
    </row>
    <row r="601" spans="1:5">
      <c r="A601" s="85"/>
      <c r="B601" s="116" t="s">
        <v>218</v>
      </c>
      <c r="C601" s="92">
        <f>C67</f>
        <v>450</v>
      </c>
      <c r="D601">
        <v>85</v>
      </c>
    </row>
    <row r="602" spans="1:5" s="60" customFormat="1">
      <c r="A602" s="85"/>
      <c r="B602" s="116" t="s">
        <v>385</v>
      </c>
      <c r="C602" s="106">
        <f>C600*C601</f>
        <v>445.5</v>
      </c>
      <c r="D602" s="13">
        <f>C602/C6</f>
        <v>0.14133614207851375</v>
      </c>
    </row>
    <row r="603" spans="1:5" s="60" customFormat="1">
      <c r="A603" s="85"/>
      <c r="B603" s="103" t="s">
        <v>40</v>
      </c>
      <c r="C603" s="92">
        <f>C602*E8</f>
        <v>133.65</v>
      </c>
    </row>
    <row r="604" spans="1:5" s="60" customFormat="1">
      <c r="A604" s="85"/>
      <c r="B604" s="87" t="s">
        <v>41</v>
      </c>
      <c r="C604" s="92">
        <f>C602+C603</f>
        <v>579.15</v>
      </c>
    </row>
    <row r="605" spans="1:5" s="60" customFormat="1">
      <c r="A605" s="85"/>
      <c r="B605" s="87" t="s">
        <v>470</v>
      </c>
      <c r="C605" s="110">
        <f>C604*5%</f>
        <v>28.9575</v>
      </c>
    </row>
    <row r="606" spans="1:5" s="60" customFormat="1">
      <c r="A606" s="85"/>
      <c r="B606" s="87" t="s">
        <v>476</v>
      </c>
      <c r="C606" s="102">
        <f>(C604+C605)/0.95-(C604+C605)</f>
        <v>32.005657894736828</v>
      </c>
    </row>
    <row r="607" spans="1:5">
      <c r="A607" s="85"/>
      <c r="B607" s="122" t="s">
        <v>19</v>
      </c>
      <c r="C607" s="110">
        <f>C604+C605+C606</f>
        <v>640.11315789473679</v>
      </c>
    </row>
    <row r="608" spans="1:5">
      <c r="A608" s="85"/>
      <c r="B608" s="116" t="s">
        <v>219</v>
      </c>
      <c r="C608" s="111">
        <f>C607/C5</f>
        <v>0.20307771993386445</v>
      </c>
      <c r="D608" s="13">
        <f>C608-D602</f>
        <v>6.1741577855350699E-2</v>
      </c>
    </row>
    <row r="609" spans="1:4" hidden="1">
      <c r="A609" s="151">
        <v>14</v>
      </c>
      <c r="B609" s="131" t="s">
        <v>222</v>
      </c>
      <c r="C609" s="92"/>
    </row>
    <row r="610" spans="1:4" hidden="1">
      <c r="A610" s="85"/>
      <c r="B610" s="116" t="s">
        <v>386</v>
      </c>
      <c r="C610" s="92"/>
    </row>
    <row r="611" spans="1:4" hidden="1">
      <c r="A611" s="85"/>
      <c r="B611" s="116" t="s">
        <v>223</v>
      </c>
      <c r="C611" s="92"/>
    </row>
    <row r="612" spans="1:4" s="60" customFormat="1" hidden="1">
      <c r="A612" s="85"/>
      <c r="B612" s="116" t="s">
        <v>385</v>
      </c>
      <c r="C612" s="106">
        <f>C610*C611</f>
        <v>0</v>
      </c>
    </row>
    <row r="613" spans="1:4" s="60" customFormat="1" hidden="1">
      <c r="A613" s="85"/>
      <c r="B613" s="103" t="s">
        <v>40</v>
      </c>
      <c r="C613" s="92">
        <f>C612*E8</f>
        <v>0</v>
      </c>
    </row>
    <row r="614" spans="1:4" s="60" customFormat="1" hidden="1">
      <c r="A614" s="85"/>
      <c r="B614" s="87" t="s">
        <v>41</v>
      </c>
      <c r="C614" s="92">
        <f>C612+C613</f>
        <v>0</v>
      </c>
    </row>
    <row r="615" spans="1:4" s="60" customFormat="1" hidden="1">
      <c r="A615" s="85"/>
      <c r="B615" s="87" t="s">
        <v>18</v>
      </c>
      <c r="C615" s="110">
        <f>C614*10%</f>
        <v>0</v>
      </c>
    </row>
    <row r="616" spans="1:4" s="60" customFormat="1" hidden="1">
      <c r="A616" s="85"/>
      <c r="B616" s="87" t="s">
        <v>476</v>
      </c>
      <c r="C616" s="102">
        <f>(C614+C615)/0.95-(C614+C615)</f>
        <v>0</v>
      </c>
    </row>
    <row r="617" spans="1:4" hidden="1">
      <c r="A617" s="85"/>
      <c r="B617" s="122" t="s">
        <v>19</v>
      </c>
      <c r="C617" s="110">
        <f>C614+C615+C616</f>
        <v>0</v>
      </c>
    </row>
    <row r="618" spans="1:4" hidden="1">
      <c r="A618" s="85"/>
      <c r="B618" s="116" t="s">
        <v>219</v>
      </c>
      <c r="C618" s="111">
        <f>C617/C5</f>
        <v>0</v>
      </c>
    </row>
    <row r="619" spans="1:4" s="79" customFormat="1">
      <c r="A619" s="128"/>
      <c r="B619" s="152" t="s">
        <v>224</v>
      </c>
      <c r="C619" s="153">
        <f>C87+C102+C122+C138+C154+C164+C175+C232+C311+C338+C411+C434+C442+C450+C458+C474+C543+C550+C587+C596+C607+C617</f>
        <v>4427.5697531107744</v>
      </c>
      <c r="D619" s="155">
        <f>C619/C5</f>
        <v>1.4046590969431973</v>
      </c>
    </row>
    <row r="620" spans="1:4" s="1" customFormat="1">
      <c r="A620" s="113"/>
      <c r="B620" s="99" t="s">
        <v>26</v>
      </c>
      <c r="C620" s="111">
        <v>1.405</v>
      </c>
      <c r="D620" s="63">
        <f>C620-D619</f>
        <v>3.4090305680267718E-4</v>
      </c>
    </row>
    <row r="621" spans="1:4">
      <c r="C621" s="167">
        <f>C69+C140+C177+C444+C452+C460+C476+C545+C553+C589+C599</f>
        <v>1.4046590969431971</v>
      </c>
    </row>
    <row r="622" spans="1:4" s="74" customFormat="1">
      <c r="A622" s="80"/>
      <c r="B622" s="80"/>
      <c r="C622" s="167">
        <f>C620-C621</f>
        <v>3.4090305680289923E-4</v>
      </c>
    </row>
    <row r="623" spans="1:4" s="74" customFormat="1">
      <c r="A623" s="80"/>
      <c r="B623" s="80"/>
      <c r="C623" s="81"/>
    </row>
    <row r="624" spans="1:4" s="170" customFormat="1" ht="18.75">
      <c r="A624" s="168"/>
      <c r="B624" s="168" t="s">
        <v>296</v>
      </c>
      <c r="C624" s="169" t="s">
        <v>297</v>
      </c>
    </row>
    <row r="626" spans="2:2">
      <c r="B626" s="80" t="s">
        <v>473</v>
      </c>
    </row>
  </sheetData>
  <autoFilter ref="A4:N4"/>
  <mergeCells count="26">
    <mergeCell ref="Y534:Y537"/>
    <mergeCell ref="F535:G535"/>
    <mergeCell ref="I535:I536"/>
    <mergeCell ref="K535:K536"/>
    <mergeCell ref="M535:M536"/>
    <mergeCell ref="O535:O536"/>
    <mergeCell ref="Q535:Q536"/>
    <mergeCell ref="S535:S536"/>
    <mergeCell ref="U535:U536"/>
    <mergeCell ref="W535:W536"/>
    <mergeCell ref="P534:P536"/>
    <mergeCell ref="R534:R536"/>
    <mergeCell ref="T534:T536"/>
    <mergeCell ref="V534:V536"/>
    <mergeCell ref="X534:X536"/>
    <mergeCell ref="N56:N59"/>
    <mergeCell ref="H562:H563"/>
    <mergeCell ref="B1:C1"/>
    <mergeCell ref="B2:C2"/>
    <mergeCell ref="K56:K59"/>
    <mergeCell ref="L56:L59"/>
    <mergeCell ref="F534:G534"/>
    <mergeCell ref="H534:H536"/>
    <mergeCell ref="J534:J536"/>
    <mergeCell ref="L534:L536"/>
    <mergeCell ref="N534:N53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28" workbookViewId="0">
      <selection activeCell="C32" sqref="C32"/>
    </sheetView>
  </sheetViews>
  <sheetFormatPr defaultRowHeight="15"/>
  <cols>
    <col min="1" max="1" width="5.5703125" style="77" customWidth="1"/>
    <col min="2" max="2" width="49.7109375" style="77" customWidth="1"/>
    <col min="3" max="4" width="25.42578125" style="77" customWidth="1"/>
    <col min="5" max="5" width="22" style="77" customWidth="1"/>
    <col min="6" max="6" width="16.42578125" style="77" customWidth="1"/>
    <col min="7" max="8" width="9.140625" style="77"/>
    <col min="9" max="9" width="17.85546875" style="77" customWidth="1"/>
    <col min="10" max="16384" width="9.140625" style="77"/>
  </cols>
  <sheetData>
    <row r="1" spans="1:10" ht="18.75">
      <c r="A1" s="197" t="s">
        <v>259</v>
      </c>
      <c r="B1" s="197"/>
      <c r="C1" s="197"/>
      <c r="D1" s="197"/>
      <c r="E1" s="197"/>
      <c r="F1" s="197"/>
    </row>
    <row r="2" spans="1:10" ht="18.75">
      <c r="A2" s="197" t="s">
        <v>260</v>
      </c>
      <c r="B2" s="197"/>
      <c r="C2" s="197"/>
      <c r="D2" s="197"/>
      <c r="E2" s="197"/>
      <c r="F2" s="197"/>
    </row>
    <row r="3" spans="1:10" ht="18.75">
      <c r="A3" s="197" t="s">
        <v>320</v>
      </c>
      <c r="B3" s="197"/>
      <c r="C3" s="197"/>
      <c r="D3" s="197"/>
      <c r="E3" s="197"/>
      <c r="F3" s="197"/>
    </row>
    <row r="4" spans="1:10" ht="18.75">
      <c r="A4" s="75"/>
      <c r="B4" s="75"/>
      <c r="C4" s="75"/>
      <c r="D4" s="75"/>
      <c r="E4" s="75"/>
      <c r="F4" s="75"/>
    </row>
    <row r="5" spans="1:10" ht="18.75">
      <c r="A5" s="75"/>
      <c r="B5" s="38" t="s">
        <v>319</v>
      </c>
      <c r="C5" s="39">
        <f>розрахунок!C13</f>
        <v>5</v>
      </c>
      <c r="D5" s="39"/>
      <c r="E5" s="75"/>
      <c r="F5" s="75"/>
    </row>
    <row r="6" spans="1:10" ht="18.75">
      <c r="A6" s="75"/>
      <c r="B6" s="38" t="s">
        <v>318</v>
      </c>
      <c r="C6" s="39">
        <f>розрахунок!C5</f>
        <v>3152.06</v>
      </c>
      <c r="D6" s="39"/>
      <c r="E6" s="75"/>
      <c r="F6" s="75"/>
    </row>
    <row r="7" spans="1:10" ht="18.75">
      <c r="A7" s="75"/>
      <c r="B7" s="40" t="str">
        <f>розрахунок!B3</f>
        <v xml:space="preserve"> адреса: м. Суми, вул. Троїцька, 41</v>
      </c>
    </row>
    <row r="8" spans="1:10">
      <c r="A8" s="193" t="s">
        <v>5</v>
      </c>
      <c r="B8" s="192" t="s">
        <v>261</v>
      </c>
      <c r="C8" s="193" t="s">
        <v>461</v>
      </c>
      <c r="D8" s="193" t="s">
        <v>460</v>
      </c>
      <c r="E8" s="192" t="s">
        <v>262</v>
      </c>
      <c r="F8" s="193" t="s">
        <v>273</v>
      </c>
      <c r="H8" s="1"/>
      <c r="I8" s="1"/>
    </row>
    <row r="9" spans="1:10" ht="25.5" customHeight="1">
      <c r="A9" s="194"/>
      <c r="B9" s="192"/>
      <c r="C9" s="194"/>
      <c r="D9" s="194"/>
      <c r="E9" s="192"/>
      <c r="F9" s="194"/>
      <c r="H9" s="1"/>
      <c r="I9" s="1"/>
    </row>
    <row r="10" spans="1:10" ht="18.75" customHeight="1">
      <c r="A10" s="76" t="s">
        <v>279</v>
      </c>
      <c r="B10" s="18" t="s">
        <v>455</v>
      </c>
      <c r="C10" s="30">
        <v>0.38800000000000001</v>
      </c>
      <c r="D10" s="154">
        <v>0.46400000000000002</v>
      </c>
      <c r="E10" s="19" t="s">
        <v>408</v>
      </c>
      <c r="F10" s="26" t="s">
        <v>263</v>
      </c>
      <c r="H10" s="157"/>
      <c r="I10" s="158"/>
    </row>
    <row r="11" spans="1:10" ht="30" hidden="1">
      <c r="A11" s="76"/>
      <c r="B11" s="29" t="s">
        <v>10</v>
      </c>
      <c r="C11" s="30">
        <f>розрахунок!C88</f>
        <v>0.16698911342351228</v>
      </c>
      <c r="D11" s="154"/>
      <c r="E11" s="19" t="s">
        <v>408</v>
      </c>
      <c r="F11" s="26" t="s">
        <v>263</v>
      </c>
      <c r="H11" s="1"/>
      <c r="I11" s="1"/>
    </row>
    <row r="12" spans="1:10" hidden="1">
      <c r="A12" s="76"/>
      <c r="B12" s="29" t="s">
        <v>13</v>
      </c>
      <c r="C12" s="30">
        <f>розрахунок!C103</f>
        <v>0.15155831362654962</v>
      </c>
      <c r="D12" s="154"/>
      <c r="E12" s="19" t="s">
        <v>408</v>
      </c>
      <c r="F12" s="26" t="s">
        <v>263</v>
      </c>
      <c r="H12" s="63"/>
      <c r="I12" s="159"/>
      <c r="J12" s="13"/>
    </row>
    <row r="13" spans="1:10" ht="45" hidden="1">
      <c r="A13" s="76"/>
      <c r="B13" s="29" t="s">
        <v>252</v>
      </c>
      <c r="C13" s="30">
        <f>розрахунок!C123</f>
        <v>2.8624148722003414E-2</v>
      </c>
      <c r="D13" s="154"/>
      <c r="E13" s="19" t="s">
        <v>276</v>
      </c>
      <c r="F13" s="26" t="s">
        <v>263</v>
      </c>
      <c r="H13" s="63"/>
      <c r="I13" s="159"/>
    </row>
    <row r="14" spans="1:10" ht="30" hidden="1">
      <c r="A14" s="76"/>
      <c r="B14" s="29" t="s">
        <v>251</v>
      </c>
      <c r="C14" s="30">
        <f>розрахунок!C139</f>
        <v>4.0982401078756392E-2</v>
      </c>
      <c r="D14" s="154"/>
      <c r="E14" s="19" t="s">
        <v>277</v>
      </c>
      <c r="F14" s="26" t="s">
        <v>263</v>
      </c>
      <c r="H14" s="1"/>
      <c r="I14" s="159"/>
    </row>
    <row r="15" spans="1:10" ht="31.5">
      <c r="A15" s="76" t="s">
        <v>278</v>
      </c>
      <c r="B15" s="31" t="s">
        <v>253</v>
      </c>
      <c r="C15" s="30">
        <v>0</v>
      </c>
      <c r="D15" s="154">
        <v>2.3E-2</v>
      </c>
      <c r="E15" s="19" t="s">
        <v>254</v>
      </c>
      <c r="F15" s="26"/>
      <c r="H15" s="63"/>
      <c r="I15" s="159"/>
    </row>
    <row r="16" spans="1:10">
      <c r="A16" s="76" t="s">
        <v>280</v>
      </c>
      <c r="B16" s="25" t="s">
        <v>49</v>
      </c>
      <c r="C16" s="26">
        <f>розрахунок!C156</f>
        <v>0</v>
      </c>
      <c r="D16" s="26">
        <v>0</v>
      </c>
      <c r="E16" s="26" t="s">
        <v>264</v>
      </c>
      <c r="F16" s="26" t="s">
        <v>263</v>
      </c>
      <c r="H16" s="1"/>
      <c r="I16" s="1"/>
    </row>
    <row r="17" spans="1:9">
      <c r="A17" s="76" t="s">
        <v>281</v>
      </c>
      <c r="B17" s="27" t="s">
        <v>50</v>
      </c>
      <c r="C17" s="26">
        <f>розрахунок!C167</f>
        <v>0</v>
      </c>
      <c r="D17" s="26">
        <v>0</v>
      </c>
      <c r="E17" s="26" t="s">
        <v>264</v>
      </c>
      <c r="F17" s="26" t="s">
        <v>263</v>
      </c>
      <c r="H17" s="1"/>
      <c r="I17" s="1"/>
    </row>
    <row r="18" spans="1:9" ht="60">
      <c r="A18" s="76" t="s">
        <v>282</v>
      </c>
      <c r="B18" s="27" t="s">
        <v>265</v>
      </c>
      <c r="C18" s="30">
        <v>0.52100000000000002</v>
      </c>
      <c r="D18" s="30">
        <v>0.26900000000000002</v>
      </c>
      <c r="E18" s="26" t="s">
        <v>266</v>
      </c>
      <c r="F18" s="26" t="s">
        <v>263</v>
      </c>
      <c r="H18" s="63"/>
      <c r="I18" s="1"/>
    </row>
    <row r="19" spans="1:9" hidden="1">
      <c r="A19" s="76"/>
      <c r="B19" s="57" t="str">
        <f>розрахунок!B178</f>
        <v>холодного водопостачання</v>
      </c>
      <c r="C19" s="56">
        <f>розрахунок!C233</f>
        <v>1.3183860334705283E-2</v>
      </c>
      <c r="D19" s="56"/>
      <c r="E19" s="26"/>
      <c r="F19" s="26"/>
      <c r="H19" s="63"/>
      <c r="I19" s="159"/>
    </row>
    <row r="20" spans="1:9" hidden="1">
      <c r="A20" s="76"/>
      <c r="B20" s="57" t="str">
        <f>розрахунок!B234</f>
        <v>гарячого водопостачання</v>
      </c>
      <c r="C20" s="56">
        <f>розрахунок!C312</f>
        <v>0</v>
      </c>
      <c r="D20" s="56"/>
      <c r="E20" s="26"/>
      <c r="F20" s="26"/>
      <c r="H20" s="63"/>
      <c r="I20" s="160"/>
    </row>
    <row r="21" spans="1:9" hidden="1">
      <c r="A21" s="76"/>
      <c r="B21" s="57" t="str">
        <f>розрахунок!B313</f>
        <v>водовідведення</v>
      </c>
      <c r="C21" s="56">
        <f>розрахунок!C339</f>
        <v>1.7004957447812254E-2</v>
      </c>
      <c r="D21" s="56"/>
      <c r="E21" s="26"/>
      <c r="F21" s="26"/>
      <c r="H21" s="63"/>
      <c r="I21" s="159"/>
    </row>
    <row r="22" spans="1:9" hidden="1">
      <c r="A22" s="76"/>
      <c r="B22" s="57" t="str">
        <f>розрахунок!B340</f>
        <v>централізованого опалення</v>
      </c>
      <c r="C22" s="56">
        <f>розрахунок!C412</f>
        <v>0.30367733581483142</v>
      </c>
      <c r="D22" s="56"/>
      <c r="E22" s="26"/>
      <c r="F22" s="26"/>
      <c r="H22" s="63"/>
      <c r="I22" s="159"/>
    </row>
    <row r="23" spans="1:9" hidden="1">
      <c r="A23" s="76"/>
      <c r="B23" s="57" t="str">
        <f>розрахунок!B413</f>
        <v>зливової каналізації</v>
      </c>
      <c r="C23" s="56">
        <f>розрахунок!C435</f>
        <v>0</v>
      </c>
      <c r="D23" s="56"/>
      <c r="E23" s="26"/>
      <c r="F23" s="26"/>
      <c r="H23" s="63"/>
      <c r="I23" s="159"/>
    </row>
    <row r="24" spans="1:9" hidden="1">
      <c r="A24" s="76"/>
      <c r="B24" s="57" t="s">
        <v>368</v>
      </c>
      <c r="C24" s="56">
        <f>розрахунок!C443</f>
        <v>0.18678947368421051</v>
      </c>
      <c r="D24" s="56"/>
      <c r="E24" s="26"/>
      <c r="F24" s="26"/>
      <c r="H24" s="63"/>
      <c r="I24" s="159"/>
    </row>
    <row r="25" spans="1:9">
      <c r="A25" s="76" t="s">
        <v>159</v>
      </c>
      <c r="B25" s="25" t="s">
        <v>255</v>
      </c>
      <c r="C25" s="30">
        <v>4.2000000000000003E-2</v>
      </c>
      <c r="D25" s="30">
        <v>1.2E-2</v>
      </c>
      <c r="E25" s="26" t="s">
        <v>254</v>
      </c>
      <c r="F25" s="26" t="s">
        <v>263</v>
      </c>
      <c r="H25" s="1"/>
      <c r="I25" s="1"/>
    </row>
    <row r="26" spans="1:9">
      <c r="A26" s="76" t="s">
        <v>160</v>
      </c>
      <c r="B26" s="25" t="s">
        <v>256</v>
      </c>
      <c r="C26" s="30">
        <v>4.8000000000000001E-2</v>
      </c>
      <c r="D26" s="30">
        <v>1.2999999999999999E-2</v>
      </c>
      <c r="E26" s="26" t="s">
        <v>254</v>
      </c>
      <c r="F26" s="26" t="s">
        <v>263</v>
      </c>
      <c r="H26" s="1"/>
      <c r="I26" s="1"/>
    </row>
    <row r="27" spans="1:9">
      <c r="A27" s="76" t="s">
        <v>283</v>
      </c>
      <c r="B27" s="27" t="s">
        <v>21</v>
      </c>
      <c r="C27" s="30">
        <v>5.2999999999999999E-2</v>
      </c>
      <c r="D27" s="30">
        <v>5.0000000000000001E-3</v>
      </c>
      <c r="E27" s="26" t="s">
        <v>267</v>
      </c>
      <c r="F27" s="26" t="s">
        <v>263</v>
      </c>
      <c r="H27" s="63"/>
      <c r="I27" s="159"/>
    </row>
    <row r="28" spans="1:9" ht="75">
      <c r="A28" s="76" t="s">
        <v>284</v>
      </c>
      <c r="B28" s="78" t="s">
        <v>257</v>
      </c>
      <c r="C28" s="30">
        <v>9.0999999999999998E-2</v>
      </c>
      <c r="D28" s="30"/>
      <c r="E28" s="26" t="s">
        <v>266</v>
      </c>
      <c r="F28" s="26" t="s">
        <v>263</v>
      </c>
      <c r="H28" s="63"/>
      <c r="I28" s="159"/>
    </row>
    <row r="29" spans="1:9" ht="120">
      <c r="A29" s="76" t="s">
        <v>285</v>
      </c>
      <c r="B29" s="33" t="s">
        <v>268</v>
      </c>
      <c r="C29" s="26">
        <v>0</v>
      </c>
      <c r="D29" s="26">
        <v>0.59599999999999997</v>
      </c>
      <c r="E29" s="26" t="s">
        <v>269</v>
      </c>
      <c r="F29" s="26" t="s">
        <v>263</v>
      </c>
      <c r="H29" s="1"/>
      <c r="I29" s="1"/>
    </row>
    <row r="30" spans="1:9" ht="45">
      <c r="A30" s="76" t="s">
        <v>286</v>
      </c>
      <c r="B30" s="33" t="s">
        <v>207</v>
      </c>
      <c r="C30" s="30">
        <v>5.8999999999999997E-2</v>
      </c>
      <c r="D30" s="154">
        <v>1E-3</v>
      </c>
      <c r="E30" s="34" t="s">
        <v>287</v>
      </c>
      <c r="F30" s="26" t="s">
        <v>263</v>
      </c>
      <c r="H30" s="63"/>
      <c r="I30" s="159"/>
    </row>
    <row r="31" spans="1:9">
      <c r="A31" s="76" t="s">
        <v>288</v>
      </c>
      <c r="B31" s="33" t="s">
        <v>220</v>
      </c>
      <c r="C31" s="30">
        <v>0</v>
      </c>
      <c r="D31" s="154">
        <v>1E-3</v>
      </c>
      <c r="E31" s="34" t="s">
        <v>379</v>
      </c>
      <c r="F31" s="26" t="s">
        <v>263</v>
      </c>
      <c r="H31" s="1"/>
      <c r="I31" s="1"/>
    </row>
    <row r="32" spans="1:9" ht="33">
      <c r="A32" s="76" t="s">
        <v>289</v>
      </c>
      <c r="B32" s="27" t="s">
        <v>274</v>
      </c>
      <c r="C32" s="30">
        <v>0.20300000000000001</v>
      </c>
      <c r="D32" s="30">
        <v>0.106</v>
      </c>
      <c r="E32" s="26" t="s">
        <v>264</v>
      </c>
      <c r="F32" s="26" t="s">
        <v>263</v>
      </c>
      <c r="H32" s="1"/>
      <c r="I32" s="1"/>
    </row>
    <row r="33" spans="1:9" ht="18">
      <c r="A33" s="76" t="s">
        <v>290</v>
      </c>
      <c r="B33" s="27" t="s">
        <v>275</v>
      </c>
      <c r="C33" s="26">
        <f>розрахунок!C618</f>
        <v>0</v>
      </c>
      <c r="D33" s="26">
        <v>0</v>
      </c>
      <c r="E33" s="26" t="s">
        <v>264</v>
      </c>
      <c r="F33" s="26" t="s">
        <v>263</v>
      </c>
      <c r="H33" s="1"/>
      <c r="I33" s="1"/>
    </row>
    <row r="34" spans="1:9">
      <c r="A34" s="28"/>
      <c r="B34" s="28" t="s">
        <v>270</v>
      </c>
      <c r="C34" s="32">
        <f>C33+C32+C31+C30+C29+C28+C27+C26+C25+C18+C17+C16+C15+C10</f>
        <v>1.4049999999999998</v>
      </c>
      <c r="D34" s="32">
        <f>D33+D32+D31+D30+D29+D28+D27+D26+D25+D18+D17+D16+D15+D10</f>
        <v>1.49</v>
      </c>
      <c r="E34" s="26"/>
      <c r="F34" s="26"/>
      <c r="H34" s="1"/>
      <c r="I34" s="1"/>
    </row>
    <row r="35" spans="1:9">
      <c r="A35" s="28"/>
      <c r="B35" s="28" t="s">
        <v>456</v>
      </c>
      <c r="C35" s="156">
        <f>C34/D34*100-100</f>
        <v>-5.7046979865771874</v>
      </c>
      <c r="D35" s="32"/>
      <c r="E35" s="26"/>
      <c r="F35" s="26"/>
    </row>
    <row r="36" spans="1:9">
      <c r="A36" s="24"/>
    </row>
  </sheetData>
  <mergeCells count="9">
    <mergeCell ref="D8:D9"/>
    <mergeCell ref="A1:F1"/>
    <mergeCell ref="A2:F2"/>
    <mergeCell ref="A3:F3"/>
    <mergeCell ref="A8:A9"/>
    <mergeCell ref="B8:B9"/>
    <mergeCell ref="C8:C9"/>
    <mergeCell ref="E8:E9"/>
    <mergeCell ref="F8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тариф</vt:lpstr>
      <vt:lpstr>розрахунок</vt:lpstr>
      <vt:lpstr>Троїцька 41</vt:lpstr>
      <vt:lpstr>розрахунок!Область_печати</vt:lpstr>
      <vt:lpstr>тариф!Область_печати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user</cp:lastModifiedBy>
  <cp:lastPrinted>2016-04-12T13:05:21Z</cp:lastPrinted>
  <dcterms:created xsi:type="dcterms:W3CDTF">2015-11-12T10:31:51Z</dcterms:created>
  <dcterms:modified xsi:type="dcterms:W3CDTF">2016-07-06T07:35:57Z</dcterms:modified>
</cp:coreProperties>
</file>