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11520" activeTab="0"/>
  </bookViews>
  <sheets>
    <sheet name="дод 6 (в) " sheetId="1" r:id="rId1"/>
  </sheets>
  <definedNames>
    <definedName name="_xlnm.Print_Area" localSheetId="0">'дод 6 (в) '!$A$1:$K$233</definedName>
  </definedNames>
  <calcPr fullCalcOnLoad="1"/>
</workbook>
</file>

<file path=xl/sharedStrings.xml><?xml version="1.0" encoding="utf-8"?>
<sst xmlns="http://schemas.openxmlformats.org/spreadsheetml/2006/main" count="374" uniqueCount="263">
  <si>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</si>
  <si>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</si>
  <si>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</si>
  <si>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</si>
  <si>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</si>
  <si>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</si>
  <si>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</si>
  <si>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</si>
  <si>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</si>
  <si>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</si>
  <si>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</si>
  <si>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</si>
  <si>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</si>
  <si>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</si>
  <si>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</si>
  <si>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</si>
  <si>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</si>
  <si>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</si>
  <si>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</si>
  <si>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</si>
  <si>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</si>
  <si>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</si>
  <si>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</si>
  <si>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</si>
  <si>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</si>
  <si>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</si>
  <si>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</si>
  <si>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</si>
  <si>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</si>
  <si>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</si>
  <si>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</si>
  <si>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</si>
  <si>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</si>
  <si>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</si>
  <si>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</si>
  <si>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</si>
  <si>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</si>
  <si>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</si>
  <si>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</si>
  <si>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</si>
  <si>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</si>
  <si>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</si>
  <si>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</si>
  <si>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</si>
  <si>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</si>
  <si>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</si>
  <si>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</si>
  <si>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</si>
  <si>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</si>
  <si>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</si>
  <si>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</si>
  <si>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</si>
  <si>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</si>
  <si>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</si>
  <si>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</si>
  <si>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</si>
  <si>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</si>
  <si>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</si>
  <si>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</si>
  <si>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</si>
  <si>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</si>
  <si>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</si>
  <si>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</si>
  <si>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</si>
  <si>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</si>
  <si>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</si>
  <si>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</si>
  <si>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</si>
  <si>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</si>
  <si>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</si>
  <si>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</si>
  <si>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</si>
  <si>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</si>
  <si>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</si>
  <si>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</si>
  <si>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</si>
  <si>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</si>
  <si>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</si>
  <si>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</si>
  <si>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</si>
  <si>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</si>
  <si>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</si>
  <si>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</si>
  <si>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</si>
  <si>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</si>
  <si>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</si>
  <si>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</si>
  <si>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</si>
  <si>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</si>
  <si>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</si>
  <si>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</si>
  <si>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</si>
  <si>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</si>
  <si>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</si>
  <si>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</si>
  <si>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</si>
  <si>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</si>
  <si>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</si>
  <si>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</si>
  <si>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</si>
  <si>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</si>
  <si>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</si>
  <si>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</si>
  <si>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</si>
  <si>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</si>
  <si>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</si>
  <si>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</si>
  <si>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</si>
  <si>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</si>
  <si>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</si>
  <si>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</si>
  <si>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</si>
  <si>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</si>
  <si>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</si>
  <si>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</si>
  <si>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</si>
  <si>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</si>
  <si>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</si>
  <si>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</si>
  <si>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</si>
  <si>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</si>
  <si>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</si>
  <si>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</si>
  <si>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</si>
  <si>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</si>
  <si>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</si>
  <si>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</si>
  <si>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</si>
  <si>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</si>
  <si>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</si>
  <si>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</si>
  <si>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</si>
  <si>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</si>
  <si>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</si>
  <si>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</si>
  <si>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</si>
  <si>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</si>
  <si>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</si>
  <si>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</si>
  <si>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</si>
  <si>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</si>
  <si>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</si>
  <si>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</si>
  <si>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</si>
  <si>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</si>
  <si>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</si>
  <si>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</si>
  <si>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</si>
  <si>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</si>
  <si>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</si>
  <si>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</si>
  <si>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</si>
  <si>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</si>
  <si>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</si>
  <si>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</si>
  <si>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</si>
  <si>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</si>
  <si>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</si>
  <si>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</si>
  <si>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</si>
  <si>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</si>
  <si>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</si>
  <si>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</si>
  <si>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</si>
  <si>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</si>
  <si>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</si>
  <si>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</si>
  <si>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</si>
  <si>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</si>
  <si>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</si>
  <si>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</si>
  <si>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</si>
  <si>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</si>
  <si>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</si>
  <si>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</si>
  <si>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</si>
  <si>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</si>
  <si>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</si>
  <si>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</si>
  <si>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</si>
  <si>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</si>
  <si>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</si>
  <si>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</si>
  <si>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</si>
  <si>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</si>
  <si>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</si>
  <si>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</si>
  <si>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</si>
  <si>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</si>
  <si>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</si>
  <si>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</si>
  <si>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</si>
  <si>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</si>
  <si>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</si>
  <si>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</si>
  <si>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</si>
  <si>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</si>
  <si>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</si>
  <si>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</si>
  <si>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</si>
  <si>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</si>
  <si>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</si>
  <si>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</si>
  <si>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</si>
  <si>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</si>
  <si>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</si>
  <si>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</si>
  <si>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</si>
  <si>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</si>
  <si>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</si>
  <si>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</si>
  <si>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</si>
  <si>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</si>
  <si>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</si>
  <si>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</si>
  <si>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</si>
  <si>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</si>
  <si>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</si>
  <si>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</si>
  <si>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</si>
  <si>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</si>
  <si>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</si>
  <si>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</si>
  <si>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</si>
  <si>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</si>
  <si>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</si>
  <si>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</si>
  <si>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</si>
  <si>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</si>
  <si>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</si>
  <si>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</si>
  <si>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</si>
  <si>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</si>
  <si>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</si>
  <si>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</si>
  <si>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</si>
  <si>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</si>
  <si>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№12 по вул.Д.Коротченко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</si>
  <si>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</si>
  <si>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</si>
  <si>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</si>
  <si>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</si>
  <si>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</si>
  <si>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</si>
  <si>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до рішення виконавчого комітету</t>
  </si>
  <si>
    <t>2. Реконструкція житлового фонду</t>
  </si>
  <si>
    <t>Реконструкція системи електрозабезпечення 48-квартирного будинку по вулиці Холодногірська, 30/1</t>
  </si>
  <si>
    <t>економіки та інвестицій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</si>
  <si>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</si>
  <si>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</si>
  <si>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спортивного майданчика з благоустроєм прилеглої територіїї по вул. Інтернаціоналістів, 6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</si>
  <si>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</si>
  <si>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</si>
  <si>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</si>
  <si>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</si>
  <si>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</si>
  <si>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>Реконструкція житлових будинків з влаштуванням пандусів</t>
  </si>
  <si>
    <t xml:space="preserve"> 2. Реконструкція житлового фонду</t>
  </si>
  <si>
    <t>46 Управління державного архітектурно - будівельного контролю  Сумської міської ради</t>
  </si>
  <si>
    <t xml:space="preserve">                    Додаток 6</t>
  </si>
  <si>
    <t xml:space="preserve">Директор департаменту фінансів, </t>
  </si>
  <si>
    <t>С.А. Липова</t>
  </si>
  <si>
    <t xml:space="preserve">від 16.08.2016  № 436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</si>
</sst>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" fontId="1" fillId="24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4" fillId="24" borderId="0" xfId="0" applyFont="1" applyFill="1" applyBorder="1" applyAlignment="1">
      <alignment vertical="center" textRotation="180"/>
    </xf>
    <xf numFmtId="0" fontId="1" fillId="24" borderId="0" xfId="0" applyFont="1" applyFill="1" applyBorder="1" applyAlignment="1">
      <alignment/>
    </xf>
    <xf numFmtId="0" fontId="15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14" fillId="24" borderId="0" xfId="0" applyFont="1" applyFill="1" applyAlignment="1">
      <alignment horizontal="right"/>
    </xf>
    <xf numFmtId="3" fontId="14" fillId="24" borderId="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 textRotation="180"/>
    </xf>
    <xf numFmtId="4" fontId="16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3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wrapText="1"/>
    </xf>
    <xf numFmtId="19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justify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9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 vertical="center"/>
    </xf>
    <xf numFmtId="4" fontId="14" fillId="24" borderId="0" xfId="0" applyNumberFormat="1" applyFont="1" applyFill="1" applyBorder="1" applyAlignment="1">
      <alignment vertical="center" textRotation="180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192" fontId="11" fillId="24" borderId="0" xfId="0" applyNumberFormat="1" applyFont="1" applyFill="1" applyBorder="1" applyAlignment="1">
      <alignment vertical="center"/>
    </xf>
    <xf numFmtId="0" fontId="7" fillId="24" borderId="0" xfId="0" applyFont="1" applyFill="1" applyAlignment="1">
      <alignment/>
    </xf>
    <xf numFmtId="0" fontId="13" fillId="24" borderId="0" xfId="0" applyFont="1" applyFill="1" applyAlignment="1">
      <alignment vertical="top"/>
    </xf>
    <xf numFmtId="0" fontId="11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Border="1" applyAlignment="1">
      <alignment horizontal="center" vertical="center"/>
    </xf>
    <xf numFmtId="2" fontId="11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3" fontId="7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/>
    </xf>
    <xf numFmtId="0" fontId="14" fillId="24" borderId="0" xfId="0" applyFont="1" applyFill="1" applyBorder="1" applyAlignment="1">
      <alignment horizontal="center" vertical="center" textRotation="180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3" fontId="1" fillId="24" borderId="1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textRotation="180"/>
    </xf>
    <xf numFmtId="14" fontId="7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 horizontal="center"/>
    </xf>
    <xf numFmtId="14" fontId="13" fillId="24" borderId="0" xfId="0" applyNumberFormat="1" applyFont="1" applyFill="1" applyBorder="1" applyAlignment="1">
      <alignment horizontal="left"/>
    </xf>
    <xf numFmtId="0" fontId="14" fillId="24" borderId="0" xfId="0" applyFont="1" applyFill="1" applyBorder="1" applyAlignment="1">
      <alignment horizontal="center" vertical="center" textRotation="180"/>
    </xf>
    <xf numFmtId="0" fontId="15" fillId="24" borderId="0" xfId="0" applyFont="1" applyFill="1" applyAlignment="1">
      <alignment horizontal="left"/>
    </xf>
    <xf numFmtId="0" fontId="11" fillId="24" borderId="0" xfId="0" applyFont="1" applyFill="1" applyBorder="1" applyAlignment="1">
      <alignment horizontal="left" vertical="distributed" wrapText="1"/>
    </xf>
    <xf numFmtId="0" fontId="7" fillId="24" borderId="0" xfId="0" applyFont="1" applyFill="1" applyBorder="1" applyAlignment="1">
      <alignment horizontal="left" vertical="distributed" wrapText="1"/>
    </xf>
    <xf numFmtId="0" fontId="15" fillId="2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Y337"/>
  <sheetViews>
    <sheetView tabSelected="1" view="pageBreakPreview" zoomScale="53" zoomScaleNormal="75" zoomScaleSheetLayoutView="53" zoomScalePageLayoutView="0" workbookViewId="0" topLeftCell="A1">
      <selection activeCell="F3" sqref="F3:J3"/>
    </sheetView>
  </sheetViews>
  <sheetFormatPr defaultColWidth="9.125" defaultRowHeight="12.75"/>
  <cols>
    <col min="1" max="1" width="15.75390625" style="2" customWidth="1"/>
    <col min="2" max="2" width="19.375" style="2" customWidth="1"/>
    <col min="3" max="3" width="43.375" style="2" customWidth="1"/>
    <col min="4" max="4" width="51.25390625" style="2" customWidth="1"/>
    <col min="5" max="5" width="19.25390625" style="2" customWidth="1"/>
    <col min="6" max="6" width="15.00390625" style="2" customWidth="1"/>
    <col min="7" max="7" width="20.25390625" style="2" customWidth="1"/>
    <col min="8" max="8" width="21.25390625" style="93" customWidth="1"/>
    <col min="9" max="9" width="18.25390625" style="88" customWidth="1"/>
    <col min="10" max="10" width="20.75390625" style="5" customWidth="1"/>
    <col min="11" max="11" width="9.125" style="88" customWidth="1"/>
    <col min="12" max="12" width="19.875" style="5" bestFit="1" customWidth="1"/>
    <col min="13" max="154" width="9.125" style="5" customWidth="1"/>
    <col min="155" max="16384" width="9.125" style="2" customWidth="1"/>
  </cols>
  <sheetData>
    <row r="1" spans="5:11" ht="33">
      <c r="E1" s="3"/>
      <c r="F1" s="108" t="s">
        <v>259</v>
      </c>
      <c r="G1" s="108"/>
      <c r="H1" s="108"/>
      <c r="I1" s="108"/>
      <c r="J1" s="108"/>
      <c r="K1" s="104">
        <v>41</v>
      </c>
    </row>
    <row r="2" spans="5:11" ht="33">
      <c r="E2" s="3"/>
      <c r="F2" s="108" t="s">
        <v>244</v>
      </c>
      <c r="G2" s="108"/>
      <c r="H2" s="108"/>
      <c r="I2" s="108"/>
      <c r="J2" s="108"/>
      <c r="K2" s="104"/>
    </row>
    <row r="3" spans="6:11" ht="33">
      <c r="F3" s="105" t="s">
        <v>262</v>
      </c>
      <c r="G3" s="105"/>
      <c r="H3" s="105"/>
      <c r="I3" s="105"/>
      <c r="J3" s="105"/>
      <c r="K3" s="104"/>
    </row>
    <row r="4" spans="6:11" ht="33">
      <c r="F4" s="108"/>
      <c r="G4" s="108"/>
      <c r="H4" s="108"/>
      <c r="I4" s="108"/>
      <c r="J4" s="108"/>
      <c r="K4" s="104"/>
    </row>
    <row r="5" spans="6:11" ht="33">
      <c r="F5" s="105"/>
      <c r="G5" s="105"/>
      <c r="H5" s="105"/>
      <c r="I5" s="105"/>
      <c r="J5" s="105"/>
      <c r="K5" s="104"/>
    </row>
    <row r="6" spans="6:11" ht="33">
      <c r="F6" s="6"/>
      <c r="G6" s="6"/>
      <c r="H6" s="6"/>
      <c r="I6" s="6"/>
      <c r="J6" s="6"/>
      <c r="K6" s="104"/>
    </row>
    <row r="7" spans="6:11" ht="33">
      <c r="F7" s="6"/>
      <c r="G7" s="6"/>
      <c r="H7" s="6"/>
      <c r="I7" s="6"/>
      <c r="J7" s="6"/>
      <c r="K7" s="104"/>
    </row>
    <row r="8" spans="1:154" s="8" customFormat="1" ht="27">
      <c r="A8" s="98" t="s">
        <v>27</v>
      </c>
      <c r="B8" s="98"/>
      <c r="C8" s="98"/>
      <c r="D8" s="98"/>
      <c r="E8" s="98"/>
      <c r="F8" s="98"/>
      <c r="G8" s="98"/>
      <c r="H8" s="98"/>
      <c r="I8" s="98"/>
      <c r="J8" s="98"/>
      <c r="K8" s="10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</row>
    <row r="9" spans="1:154" s="8" customFormat="1" ht="27">
      <c r="A9" s="102" t="s">
        <v>134</v>
      </c>
      <c r="B9" s="102"/>
      <c r="C9" s="102"/>
      <c r="D9" s="102"/>
      <c r="E9" s="102"/>
      <c r="F9" s="102"/>
      <c r="G9" s="102"/>
      <c r="H9" s="102"/>
      <c r="I9" s="102"/>
      <c r="J9" s="102"/>
      <c r="K9" s="10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</row>
    <row r="10" spans="3:154" s="8" customFormat="1" ht="27">
      <c r="C10" s="9"/>
      <c r="D10" s="9"/>
      <c r="E10" s="9"/>
      <c r="F10" s="9"/>
      <c r="G10" s="9"/>
      <c r="H10" s="10"/>
      <c r="I10" s="4"/>
      <c r="J10" s="11" t="s">
        <v>112</v>
      </c>
      <c r="K10" s="10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</row>
    <row r="11" spans="1:154" s="8" customFormat="1" ht="63" customHeight="1">
      <c r="A11" s="99" t="s">
        <v>80</v>
      </c>
      <c r="B11" s="99" t="s">
        <v>113</v>
      </c>
      <c r="C11" s="99" t="s">
        <v>110</v>
      </c>
      <c r="D11" s="99" t="s">
        <v>0</v>
      </c>
      <c r="E11" s="96" t="s">
        <v>1</v>
      </c>
      <c r="F11" s="97" t="s">
        <v>8</v>
      </c>
      <c r="G11" s="96" t="s">
        <v>2</v>
      </c>
      <c r="H11" s="95" t="s">
        <v>3</v>
      </c>
      <c r="I11" s="99" t="s">
        <v>115</v>
      </c>
      <c r="J11" s="99" t="s">
        <v>116</v>
      </c>
      <c r="K11" s="10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</row>
    <row r="12" spans="1:11" ht="60" customHeight="1">
      <c r="A12" s="99"/>
      <c r="B12" s="99"/>
      <c r="C12" s="99"/>
      <c r="D12" s="99"/>
      <c r="E12" s="96"/>
      <c r="F12" s="97"/>
      <c r="G12" s="96"/>
      <c r="H12" s="95"/>
      <c r="I12" s="99"/>
      <c r="J12" s="99"/>
      <c r="K12" s="104"/>
    </row>
    <row r="13" spans="1:11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3">
        <v>8</v>
      </c>
      <c r="I13" s="13">
        <v>9</v>
      </c>
      <c r="J13" s="13">
        <v>10</v>
      </c>
      <c r="K13" s="104"/>
    </row>
    <row r="14" spans="1:154" s="20" customFormat="1" ht="39">
      <c r="A14" s="14"/>
      <c r="B14" s="14"/>
      <c r="C14" s="15" t="s">
        <v>103</v>
      </c>
      <c r="D14" s="16"/>
      <c r="E14" s="17"/>
      <c r="F14" s="17"/>
      <c r="G14" s="17"/>
      <c r="H14" s="18">
        <f>SUM(H15:H22)+H24+H25+H26</f>
        <v>59529394</v>
      </c>
      <c r="I14" s="18">
        <f>SUM(I15:I22)+I24+I25+I26</f>
        <v>48835</v>
      </c>
      <c r="J14" s="18">
        <f>SUM(J15:J22)+J24+J25+J26</f>
        <v>59578229</v>
      </c>
      <c r="K14" s="10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</row>
    <row r="15" spans="1:154" s="20" customFormat="1" ht="18.75">
      <c r="A15" s="21" t="s">
        <v>9</v>
      </c>
      <c r="B15" s="21" t="s">
        <v>81</v>
      </c>
      <c r="C15" s="16" t="s">
        <v>10</v>
      </c>
      <c r="D15" s="22" t="s">
        <v>11</v>
      </c>
      <c r="E15" s="17"/>
      <c r="F15" s="17"/>
      <c r="G15" s="17"/>
      <c r="H15" s="1">
        <f>4043480+1612806</f>
        <v>5656286</v>
      </c>
      <c r="I15" s="1">
        <v>34835</v>
      </c>
      <c r="J15" s="1">
        <f aca="true" t="shared" si="0" ref="J15:J21">I15+H15</f>
        <v>5691121</v>
      </c>
      <c r="K15" s="10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</row>
    <row r="16" spans="1:154" s="20" customFormat="1" ht="18.75">
      <c r="A16" s="21" t="s">
        <v>131</v>
      </c>
      <c r="B16" s="21" t="s">
        <v>133</v>
      </c>
      <c r="C16" s="16" t="s">
        <v>132</v>
      </c>
      <c r="D16" s="22" t="s">
        <v>11</v>
      </c>
      <c r="E16" s="17"/>
      <c r="F16" s="17"/>
      <c r="G16" s="17"/>
      <c r="H16" s="1">
        <v>9645</v>
      </c>
      <c r="I16" s="1"/>
      <c r="J16" s="1">
        <f t="shared" si="0"/>
        <v>9645</v>
      </c>
      <c r="K16" s="10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</row>
    <row r="17" spans="1:154" s="20" customFormat="1" ht="37.5">
      <c r="A17" s="21" t="s">
        <v>63</v>
      </c>
      <c r="B17" s="21" t="s">
        <v>82</v>
      </c>
      <c r="C17" s="16" t="s">
        <v>41</v>
      </c>
      <c r="D17" s="22" t="s">
        <v>11</v>
      </c>
      <c r="E17" s="17"/>
      <c r="F17" s="17"/>
      <c r="G17" s="17"/>
      <c r="H17" s="1">
        <f>74759+42000</f>
        <v>116759</v>
      </c>
      <c r="I17" s="1"/>
      <c r="J17" s="1">
        <f t="shared" si="0"/>
        <v>116759</v>
      </c>
      <c r="K17" s="10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</row>
    <row r="18" spans="1:154" s="20" customFormat="1" ht="56.25">
      <c r="A18" s="21" t="s">
        <v>32</v>
      </c>
      <c r="B18" s="21" t="s">
        <v>83</v>
      </c>
      <c r="C18" s="16" t="s">
        <v>33</v>
      </c>
      <c r="D18" s="22" t="s">
        <v>11</v>
      </c>
      <c r="E18" s="17"/>
      <c r="F18" s="17"/>
      <c r="G18" s="17"/>
      <c r="H18" s="1">
        <f>210000-13000</f>
        <v>197000</v>
      </c>
      <c r="I18" s="1">
        <v>14000</v>
      </c>
      <c r="J18" s="1">
        <f t="shared" si="0"/>
        <v>211000</v>
      </c>
      <c r="K18" s="10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</row>
    <row r="19" spans="1:154" s="20" customFormat="1" ht="37.5">
      <c r="A19" s="21" t="s">
        <v>23</v>
      </c>
      <c r="B19" s="21" t="s">
        <v>83</v>
      </c>
      <c r="C19" s="16" t="s">
        <v>38</v>
      </c>
      <c r="D19" s="22" t="s">
        <v>11</v>
      </c>
      <c r="E19" s="23"/>
      <c r="F19" s="23"/>
      <c r="G19" s="23"/>
      <c r="H19" s="1">
        <v>500000</v>
      </c>
      <c r="I19" s="1"/>
      <c r="J19" s="1">
        <f t="shared" si="0"/>
        <v>500000</v>
      </c>
      <c r="K19" s="10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</row>
    <row r="20" spans="1:154" s="20" customFormat="1" ht="112.5">
      <c r="A20" s="21" t="s">
        <v>214</v>
      </c>
      <c r="B20" s="21" t="s">
        <v>83</v>
      </c>
      <c r="C20" s="16" t="s">
        <v>215</v>
      </c>
      <c r="D20" s="22" t="s">
        <v>11</v>
      </c>
      <c r="E20" s="23"/>
      <c r="F20" s="23"/>
      <c r="G20" s="23"/>
      <c r="H20" s="1">
        <f>12000+11000</f>
        <v>23000</v>
      </c>
      <c r="I20" s="1"/>
      <c r="J20" s="1">
        <f t="shared" si="0"/>
        <v>23000</v>
      </c>
      <c r="K20" s="10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4" s="20" customFormat="1" ht="37.5">
      <c r="A21" s="21" t="s">
        <v>228</v>
      </c>
      <c r="B21" s="21" t="s">
        <v>230</v>
      </c>
      <c r="C21" s="16" t="s">
        <v>229</v>
      </c>
      <c r="D21" s="22" t="s">
        <v>11</v>
      </c>
      <c r="E21" s="23"/>
      <c r="F21" s="23"/>
      <c r="G21" s="23"/>
      <c r="H21" s="1">
        <v>650000</v>
      </c>
      <c r="I21" s="1"/>
      <c r="J21" s="1">
        <f t="shared" si="0"/>
        <v>650000</v>
      </c>
      <c r="K21" s="10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</row>
    <row r="22" spans="1:154" s="20" customFormat="1" ht="93.75">
      <c r="A22" s="13">
        <v>180409</v>
      </c>
      <c r="B22" s="21" t="s">
        <v>84</v>
      </c>
      <c r="C22" s="16" t="s">
        <v>29</v>
      </c>
      <c r="D22" s="22" t="s">
        <v>11</v>
      </c>
      <c r="E22" s="24"/>
      <c r="F22" s="24"/>
      <c r="G22" s="24"/>
      <c r="H22" s="1">
        <f>H23</f>
        <v>51400000</v>
      </c>
      <c r="I22" s="1"/>
      <c r="J22" s="1">
        <f>J23</f>
        <v>51400000</v>
      </c>
      <c r="K22" s="10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</row>
    <row r="23" spans="1:154" s="20" customFormat="1" ht="37.5">
      <c r="A23" s="13"/>
      <c r="B23" s="13"/>
      <c r="C23" s="16"/>
      <c r="D23" s="16" t="s">
        <v>62</v>
      </c>
      <c r="E23" s="24"/>
      <c r="F23" s="24"/>
      <c r="G23" s="24"/>
      <c r="H23" s="1">
        <f>50000000-4000000+5400000</f>
        <v>51400000</v>
      </c>
      <c r="I23" s="1"/>
      <c r="J23" s="1">
        <f>I23+H23</f>
        <v>51400000</v>
      </c>
      <c r="K23" s="100">
        <v>42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</row>
    <row r="24" spans="1:154" s="20" customFormat="1" ht="75">
      <c r="A24" s="13">
        <v>210106</v>
      </c>
      <c r="B24" s="21" t="s">
        <v>85</v>
      </c>
      <c r="C24" s="16" t="s">
        <v>48</v>
      </c>
      <c r="D24" s="22" t="s">
        <v>11</v>
      </c>
      <c r="E24" s="17"/>
      <c r="F24" s="17"/>
      <c r="G24" s="17"/>
      <c r="H24" s="1">
        <f>500000-156126</f>
        <v>343874</v>
      </c>
      <c r="I24" s="25"/>
      <c r="J24" s="1">
        <f>I24+H24</f>
        <v>343874</v>
      </c>
      <c r="K24" s="10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20" customFormat="1" ht="18.75">
      <c r="A25" s="13">
        <v>250404</v>
      </c>
      <c r="B25" s="21" t="s">
        <v>127</v>
      </c>
      <c r="C25" s="16" t="s">
        <v>126</v>
      </c>
      <c r="D25" s="22" t="s">
        <v>11</v>
      </c>
      <c r="E25" s="17"/>
      <c r="F25" s="17"/>
      <c r="G25" s="17"/>
      <c r="H25" s="1">
        <v>114000</v>
      </c>
      <c r="I25" s="1"/>
      <c r="J25" s="1">
        <f>I25+H25</f>
        <v>114000</v>
      </c>
      <c r="K25" s="10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20" customFormat="1" ht="93.75">
      <c r="A26" s="13">
        <v>250344</v>
      </c>
      <c r="B26" s="21" t="s">
        <v>102</v>
      </c>
      <c r="C26" s="16" t="s">
        <v>235</v>
      </c>
      <c r="D26" s="22" t="s">
        <v>11</v>
      </c>
      <c r="E26" s="17"/>
      <c r="F26" s="17"/>
      <c r="G26" s="17"/>
      <c r="H26" s="1">
        <v>518830</v>
      </c>
      <c r="I26" s="1"/>
      <c r="J26" s="1">
        <f>I26+H26</f>
        <v>518830</v>
      </c>
      <c r="K26" s="10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20" customFormat="1" ht="39">
      <c r="A27" s="14"/>
      <c r="B27" s="14"/>
      <c r="C27" s="15" t="s">
        <v>104</v>
      </c>
      <c r="D27" s="22"/>
      <c r="E27" s="17"/>
      <c r="F27" s="17"/>
      <c r="G27" s="17"/>
      <c r="H27" s="18">
        <f>SUM(H28:H35)</f>
        <v>20809851.45</v>
      </c>
      <c r="I27" s="18">
        <f>SUM(I28:I35)</f>
        <v>-1070</v>
      </c>
      <c r="J27" s="18">
        <f>SUM(J28:J35)</f>
        <v>20808781.45</v>
      </c>
      <c r="K27" s="10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20" customFormat="1" ht="18.75">
      <c r="A28" s="21" t="s">
        <v>9</v>
      </c>
      <c r="B28" s="21" t="s">
        <v>81</v>
      </c>
      <c r="C28" s="16" t="s">
        <v>10</v>
      </c>
      <c r="D28" s="22" t="s">
        <v>11</v>
      </c>
      <c r="E28" s="17"/>
      <c r="F28" s="17"/>
      <c r="G28" s="17"/>
      <c r="H28" s="1">
        <f>170000+18000+6600</f>
        <v>194600</v>
      </c>
      <c r="I28" s="1"/>
      <c r="J28" s="1">
        <f aca="true" t="shared" si="1" ref="J28:J35">I28+H28</f>
        <v>194600</v>
      </c>
      <c r="K28" s="10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20" customFormat="1" ht="18.75">
      <c r="A29" s="21" t="s">
        <v>12</v>
      </c>
      <c r="B29" s="21" t="s">
        <v>86</v>
      </c>
      <c r="C29" s="16" t="s">
        <v>13</v>
      </c>
      <c r="D29" s="22" t="s">
        <v>11</v>
      </c>
      <c r="E29" s="17"/>
      <c r="F29" s="17"/>
      <c r="G29" s="17"/>
      <c r="H29" s="1">
        <f>3832900+120392+2400+983150</f>
        <v>4938842</v>
      </c>
      <c r="I29" s="1">
        <v>-1070</v>
      </c>
      <c r="J29" s="1">
        <f t="shared" si="1"/>
        <v>4937772</v>
      </c>
      <c r="K29" s="10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20" customFormat="1" ht="75">
      <c r="A30" s="21" t="s">
        <v>69</v>
      </c>
      <c r="B30" s="21" t="s">
        <v>87</v>
      </c>
      <c r="C30" s="16" t="s">
        <v>74</v>
      </c>
      <c r="D30" s="22" t="s">
        <v>11</v>
      </c>
      <c r="E30" s="17"/>
      <c r="F30" s="17"/>
      <c r="G30" s="17"/>
      <c r="H30" s="1">
        <f>11144755+712693.45+471241+2413157</f>
        <v>14741846.45</v>
      </c>
      <c r="I30" s="26"/>
      <c r="J30" s="1">
        <f t="shared" si="1"/>
        <v>14741846.45</v>
      </c>
      <c r="K30" s="10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20" customFormat="1" ht="93.75">
      <c r="A31" s="21" t="s">
        <v>70</v>
      </c>
      <c r="B31" s="21" t="s">
        <v>88</v>
      </c>
      <c r="C31" s="16" t="s">
        <v>75</v>
      </c>
      <c r="D31" s="22" t="s">
        <v>11</v>
      </c>
      <c r="E31" s="17"/>
      <c r="F31" s="17"/>
      <c r="G31" s="17"/>
      <c r="H31" s="1">
        <f>150000-26417</f>
        <v>123583</v>
      </c>
      <c r="I31" s="26"/>
      <c r="J31" s="1">
        <f t="shared" si="1"/>
        <v>123583</v>
      </c>
      <c r="K31" s="10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20" customFormat="1" ht="37.5">
      <c r="A32" s="21" t="s">
        <v>71</v>
      </c>
      <c r="B32" s="21" t="s">
        <v>89</v>
      </c>
      <c r="C32" s="16" t="s">
        <v>76</v>
      </c>
      <c r="D32" s="22" t="s">
        <v>11</v>
      </c>
      <c r="E32" s="17"/>
      <c r="F32" s="17"/>
      <c r="G32" s="17"/>
      <c r="H32" s="1">
        <f>525000-75000</f>
        <v>450000</v>
      </c>
      <c r="I32" s="26"/>
      <c r="J32" s="1">
        <f t="shared" si="1"/>
        <v>450000</v>
      </c>
      <c r="K32" s="10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20" customFormat="1" ht="37.5">
      <c r="A33" s="21" t="s">
        <v>154</v>
      </c>
      <c r="B33" s="21" t="s">
        <v>90</v>
      </c>
      <c r="C33" s="16" t="s">
        <v>156</v>
      </c>
      <c r="D33" s="22" t="s">
        <v>11</v>
      </c>
      <c r="E33" s="17"/>
      <c r="F33" s="17"/>
      <c r="G33" s="17"/>
      <c r="H33" s="1">
        <f>121000-2270</f>
        <v>118730</v>
      </c>
      <c r="I33" s="1"/>
      <c r="J33" s="1">
        <f t="shared" si="1"/>
        <v>118730</v>
      </c>
      <c r="K33" s="10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20" customFormat="1" ht="56.25">
      <c r="A34" s="21" t="s">
        <v>155</v>
      </c>
      <c r="B34" s="21" t="s">
        <v>90</v>
      </c>
      <c r="C34" s="16" t="s">
        <v>157</v>
      </c>
      <c r="D34" s="22" t="s">
        <v>11</v>
      </c>
      <c r="E34" s="17"/>
      <c r="F34" s="17"/>
      <c r="G34" s="17"/>
      <c r="H34" s="1">
        <f>75000+18000-750</f>
        <v>92250</v>
      </c>
      <c r="I34" s="1"/>
      <c r="J34" s="1">
        <f t="shared" si="1"/>
        <v>92250</v>
      </c>
      <c r="K34" s="10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20" customFormat="1" ht="18.75">
      <c r="A35" s="21" t="s">
        <v>72</v>
      </c>
      <c r="B35" s="21" t="s">
        <v>90</v>
      </c>
      <c r="C35" s="16" t="s">
        <v>77</v>
      </c>
      <c r="D35" s="22" t="s">
        <v>11</v>
      </c>
      <c r="E35" s="17"/>
      <c r="F35" s="17"/>
      <c r="G35" s="17"/>
      <c r="H35" s="1">
        <v>150000</v>
      </c>
      <c r="I35" s="1"/>
      <c r="J35" s="1">
        <f t="shared" si="1"/>
        <v>150000</v>
      </c>
      <c r="K35" s="10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20" customFormat="1" ht="39">
      <c r="A36" s="14"/>
      <c r="B36" s="14"/>
      <c r="C36" s="15" t="s">
        <v>105</v>
      </c>
      <c r="D36" s="22"/>
      <c r="E36" s="17"/>
      <c r="F36" s="17"/>
      <c r="G36" s="17"/>
      <c r="H36" s="18">
        <f>SUM(H37:H43)</f>
        <v>24203764</v>
      </c>
      <c r="I36" s="18">
        <f>SUM(I37:I43)</f>
        <v>614482</v>
      </c>
      <c r="J36" s="18">
        <f>SUM(J37:J43)</f>
        <v>24818246</v>
      </c>
      <c r="K36" s="10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20" customFormat="1" ht="18.75">
      <c r="A37" s="21" t="s">
        <v>9</v>
      </c>
      <c r="B37" s="21" t="s">
        <v>81</v>
      </c>
      <c r="C37" s="16" t="s">
        <v>10</v>
      </c>
      <c r="D37" s="22" t="s">
        <v>11</v>
      </c>
      <c r="E37" s="17"/>
      <c r="F37" s="17"/>
      <c r="G37" s="17"/>
      <c r="H37" s="1">
        <f>333200+114700</f>
        <v>447900</v>
      </c>
      <c r="I37" s="1"/>
      <c r="J37" s="1">
        <f aca="true" t="shared" si="2" ref="J37:J43">I37+H37</f>
        <v>447900</v>
      </c>
      <c r="K37" s="10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20" customFormat="1" ht="18.75">
      <c r="A38" s="21" t="s">
        <v>14</v>
      </c>
      <c r="B38" s="21" t="s">
        <v>91</v>
      </c>
      <c r="C38" s="16" t="s">
        <v>15</v>
      </c>
      <c r="D38" s="22" t="s">
        <v>11</v>
      </c>
      <c r="E38" s="17"/>
      <c r="F38" s="17"/>
      <c r="G38" s="17"/>
      <c r="H38" s="1">
        <f>16431400+350200+35000+553200</f>
        <v>17369800</v>
      </c>
      <c r="I38" s="1">
        <f>35850+288700</f>
        <v>324550</v>
      </c>
      <c r="J38" s="1">
        <f t="shared" si="2"/>
        <v>17694350</v>
      </c>
      <c r="K38" s="10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20" customFormat="1" ht="37.5">
      <c r="A39" s="21" t="s">
        <v>31</v>
      </c>
      <c r="B39" s="21" t="s">
        <v>92</v>
      </c>
      <c r="C39" s="16" t="s">
        <v>36</v>
      </c>
      <c r="D39" s="22" t="s">
        <v>11</v>
      </c>
      <c r="E39" s="17"/>
      <c r="F39" s="17"/>
      <c r="G39" s="17"/>
      <c r="H39" s="1">
        <v>2894064</v>
      </c>
      <c r="I39" s="1">
        <f>-10068+300000</f>
        <v>289932</v>
      </c>
      <c r="J39" s="1">
        <f t="shared" si="2"/>
        <v>3183996</v>
      </c>
      <c r="K39" s="10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20" customFormat="1" ht="37.5">
      <c r="A40" s="21" t="s">
        <v>65</v>
      </c>
      <c r="B40" s="21" t="s">
        <v>93</v>
      </c>
      <c r="C40" s="16" t="s">
        <v>78</v>
      </c>
      <c r="D40" s="22"/>
      <c r="E40" s="17"/>
      <c r="F40" s="17"/>
      <c r="G40" s="17"/>
      <c r="H40" s="1">
        <v>1000000</v>
      </c>
      <c r="I40" s="1"/>
      <c r="J40" s="1">
        <f t="shared" si="2"/>
        <v>1000000</v>
      </c>
      <c r="K40" s="10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20" customFormat="1" ht="37.5">
      <c r="A41" s="21" t="s">
        <v>45</v>
      </c>
      <c r="B41" s="21" t="s">
        <v>94</v>
      </c>
      <c r="C41" s="16" t="s">
        <v>47</v>
      </c>
      <c r="D41" s="22" t="s">
        <v>11</v>
      </c>
      <c r="E41" s="17"/>
      <c r="F41" s="17"/>
      <c r="G41" s="17"/>
      <c r="H41" s="1">
        <f>2419000+13000</f>
        <v>2432000</v>
      </c>
      <c r="I41" s="1"/>
      <c r="J41" s="1">
        <f t="shared" si="2"/>
        <v>2432000</v>
      </c>
      <c r="K41" s="10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20" customFormat="1" ht="18.75">
      <c r="A42" s="21" t="s">
        <v>152</v>
      </c>
      <c r="B42" s="21" t="s">
        <v>95</v>
      </c>
      <c r="C42" s="16" t="s">
        <v>153</v>
      </c>
      <c r="D42" s="22" t="s">
        <v>11</v>
      </c>
      <c r="E42" s="17"/>
      <c r="F42" s="17"/>
      <c r="G42" s="17"/>
      <c r="H42" s="1">
        <v>20000</v>
      </c>
      <c r="I42" s="1"/>
      <c r="J42" s="1">
        <f t="shared" si="2"/>
        <v>20000</v>
      </c>
      <c r="K42" s="10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20" customFormat="1" ht="112.5">
      <c r="A43" s="21" t="s">
        <v>73</v>
      </c>
      <c r="B43" s="21" t="s">
        <v>95</v>
      </c>
      <c r="C43" s="16" t="s">
        <v>96</v>
      </c>
      <c r="D43" s="22"/>
      <c r="E43" s="17"/>
      <c r="F43" s="17"/>
      <c r="G43" s="17"/>
      <c r="H43" s="1">
        <v>40000</v>
      </c>
      <c r="I43" s="1"/>
      <c r="J43" s="1">
        <f t="shared" si="2"/>
        <v>40000</v>
      </c>
      <c r="K43" s="10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20" customFormat="1" ht="58.5">
      <c r="A44" s="14"/>
      <c r="B44" s="14"/>
      <c r="C44" s="15" t="s">
        <v>202</v>
      </c>
      <c r="D44" s="22"/>
      <c r="E44" s="17"/>
      <c r="F44" s="17"/>
      <c r="G44" s="17"/>
      <c r="H44" s="18">
        <f>SUM(H45:H47)</f>
        <v>1022903</v>
      </c>
      <c r="I44" s="18">
        <f>SUM(I45:I47)</f>
        <v>-4000</v>
      </c>
      <c r="J44" s="18">
        <f>SUM(J45:J47)</f>
        <v>1018903</v>
      </c>
      <c r="K44" s="10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20" customFormat="1" ht="18.75">
      <c r="A45" s="21" t="s">
        <v>9</v>
      </c>
      <c r="B45" s="21" t="s">
        <v>81</v>
      </c>
      <c r="C45" s="16" t="s">
        <v>10</v>
      </c>
      <c r="D45" s="22" t="s">
        <v>11</v>
      </c>
      <c r="E45" s="17"/>
      <c r="F45" s="17"/>
      <c r="G45" s="17"/>
      <c r="H45" s="1">
        <f>80000+120000+142500</f>
        <v>342500</v>
      </c>
      <c r="I45" s="1"/>
      <c r="J45" s="1">
        <f>I45+H45</f>
        <v>342500</v>
      </c>
      <c r="K45" s="10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20" customFormat="1" ht="56.25">
      <c r="A46" s="21" t="s">
        <v>158</v>
      </c>
      <c r="B46" s="21" t="s">
        <v>159</v>
      </c>
      <c r="C46" s="16" t="s">
        <v>160</v>
      </c>
      <c r="D46" s="22" t="s">
        <v>11</v>
      </c>
      <c r="E46" s="17"/>
      <c r="F46" s="17"/>
      <c r="G46" s="17"/>
      <c r="H46" s="1">
        <f>308000+132000-3097</f>
        <v>436903</v>
      </c>
      <c r="I46" s="1">
        <v>-4000</v>
      </c>
      <c r="J46" s="1">
        <f>I46+H46</f>
        <v>432903</v>
      </c>
      <c r="K46" s="100">
        <v>43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20" customFormat="1" ht="18.75">
      <c r="A47" s="21" t="s">
        <v>24</v>
      </c>
      <c r="B47" s="21" t="s">
        <v>97</v>
      </c>
      <c r="C47" s="22" t="s">
        <v>25</v>
      </c>
      <c r="D47" s="22" t="s">
        <v>11</v>
      </c>
      <c r="E47" s="17"/>
      <c r="F47" s="17"/>
      <c r="G47" s="17"/>
      <c r="H47" s="1">
        <v>243500</v>
      </c>
      <c r="I47" s="1"/>
      <c r="J47" s="1">
        <f>I47+H47</f>
        <v>243500</v>
      </c>
      <c r="K47" s="10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5" s="24" customFormat="1" ht="39">
      <c r="A48" s="27"/>
      <c r="B48" s="27"/>
      <c r="C48" s="15" t="s">
        <v>111</v>
      </c>
      <c r="D48" s="22"/>
      <c r="E48" s="28"/>
      <c r="F48" s="28"/>
      <c r="G48" s="28"/>
      <c r="H48" s="18">
        <f>SUM(H49:H52)</f>
        <v>1165000</v>
      </c>
      <c r="I48" s="18">
        <f>SUM(I49:I52)</f>
        <v>0</v>
      </c>
      <c r="J48" s="18">
        <f>SUM(J49:J52)</f>
        <v>1165000</v>
      </c>
      <c r="K48" s="10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29"/>
    </row>
    <row r="49" spans="1:155" s="24" customFormat="1" ht="18.75">
      <c r="A49" s="21" t="s">
        <v>9</v>
      </c>
      <c r="B49" s="21" t="s">
        <v>81</v>
      </c>
      <c r="C49" s="16" t="s">
        <v>10</v>
      </c>
      <c r="D49" s="22" t="s">
        <v>11</v>
      </c>
      <c r="E49" s="28"/>
      <c r="F49" s="28"/>
      <c r="G49" s="28"/>
      <c r="H49" s="1">
        <v>20000</v>
      </c>
      <c r="I49" s="1"/>
      <c r="J49" s="1">
        <f>I49+H49</f>
        <v>20000</v>
      </c>
      <c r="K49" s="10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29"/>
    </row>
    <row r="50" spans="1:155" s="24" customFormat="1" ht="18.75">
      <c r="A50" s="13">
        <v>110201</v>
      </c>
      <c r="B50" s="21" t="s">
        <v>98</v>
      </c>
      <c r="C50" s="22" t="s">
        <v>18</v>
      </c>
      <c r="D50" s="22" t="s">
        <v>11</v>
      </c>
      <c r="E50" s="28"/>
      <c r="F50" s="28"/>
      <c r="G50" s="28"/>
      <c r="H50" s="1">
        <f>678000+1500+5000</f>
        <v>684500</v>
      </c>
      <c r="I50" s="1"/>
      <c r="J50" s="1">
        <f>I50+H50</f>
        <v>684500</v>
      </c>
      <c r="K50" s="10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29"/>
    </row>
    <row r="51" spans="1:11" s="19" customFormat="1" ht="18.75">
      <c r="A51" s="13">
        <v>110205</v>
      </c>
      <c r="B51" s="21" t="s">
        <v>89</v>
      </c>
      <c r="C51" s="22" t="s">
        <v>64</v>
      </c>
      <c r="D51" s="22" t="s">
        <v>11</v>
      </c>
      <c r="E51" s="28"/>
      <c r="F51" s="28"/>
      <c r="G51" s="28"/>
      <c r="H51" s="1">
        <f>435500+2000</f>
        <v>437500</v>
      </c>
      <c r="I51" s="1"/>
      <c r="J51" s="1">
        <f>I51+H51</f>
        <v>437500</v>
      </c>
      <c r="K51" s="100"/>
    </row>
    <row r="52" spans="1:11" s="19" customFormat="1" ht="37.5">
      <c r="A52" s="13">
        <v>110502</v>
      </c>
      <c r="B52" s="21" t="s">
        <v>82</v>
      </c>
      <c r="C52" s="16" t="s">
        <v>41</v>
      </c>
      <c r="D52" s="22" t="s">
        <v>11</v>
      </c>
      <c r="E52" s="28"/>
      <c r="F52" s="28"/>
      <c r="G52" s="28"/>
      <c r="H52" s="1">
        <f>30000-7000</f>
        <v>23000</v>
      </c>
      <c r="I52" s="1"/>
      <c r="J52" s="1">
        <f>I52+H52</f>
        <v>23000</v>
      </c>
      <c r="K52" s="100"/>
    </row>
    <row r="53" spans="1:154" s="32" customFormat="1" ht="58.5">
      <c r="A53" s="27"/>
      <c r="B53" s="27"/>
      <c r="C53" s="15" t="s">
        <v>106</v>
      </c>
      <c r="D53" s="15"/>
      <c r="E53" s="30"/>
      <c r="F53" s="30"/>
      <c r="G53" s="30"/>
      <c r="H53" s="18">
        <f>SUM(H54:H76)-H68-H60-H63-H61</f>
        <v>120691841.34</v>
      </c>
      <c r="I53" s="18">
        <f>SUM(I54:I76)-I68-I60-I63-I61</f>
        <v>0</v>
      </c>
      <c r="J53" s="18">
        <f>SUM(J54:J76)-J68-J60-J63-J61</f>
        <v>120691841.34</v>
      </c>
      <c r="K53" s="10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</row>
    <row r="54" spans="1:154" s="20" customFormat="1" ht="18.75">
      <c r="A54" s="21" t="s">
        <v>9</v>
      </c>
      <c r="B54" s="21" t="s">
        <v>81</v>
      </c>
      <c r="C54" s="16" t="s">
        <v>10</v>
      </c>
      <c r="D54" s="22" t="s">
        <v>11</v>
      </c>
      <c r="E54" s="17"/>
      <c r="F54" s="17"/>
      <c r="G54" s="17"/>
      <c r="H54" s="1">
        <v>30000</v>
      </c>
      <c r="I54" s="1"/>
      <c r="J54" s="1">
        <f aca="true" t="shared" si="3" ref="J54:J67">I54+H54</f>
        <v>30000</v>
      </c>
      <c r="K54" s="10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20" customFormat="1" ht="37.5">
      <c r="A55" s="13">
        <v>100102</v>
      </c>
      <c r="B55" s="21" t="s">
        <v>99</v>
      </c>
      <c r="C55" s="16" t="s">
        <v>17</v>
      </c>
      <c r="D55" s="22" t="s">
        <v>11</v>
      </c>
      <c r="E55" s="28"/>
      <c r="F55" s="28"/>
      <c r="G55" s="28"/>
      <c r="H55" s="1">
        <f>51271723.14+1543208+2219502+4281011</f>
        <v>59315444.14</v>
      </c>
      <c r="I55" s="1"/>
      <c r="J55" s="1">
        <f t="shared" si="3"/>
        <v>59315444.14</v>
      </c>
      <c r="K55" s="10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20" customFormat="1" ht="56.25">
      <c r="A56" s="13">
        <v>100106</v>
      </c>
      <c r="B56" s="21" t="s">
        <v>99</v>
      </c>
      <c r="C56" s="16" t="s">
        <v>34</v>
      </c>
      <c r="D56" s="22" t="s">
        <v>11</v>
      </c>
      <c r="E56" s="28"/>
      <c r="F56" s="28"/>
      <c r="G56" s="28"/>
      <c r="H56" s="1">
        <f>6000000+1000000</f>
        <v>7000000</v>
      </c>
      <c r="I56" s="1"/>
      <c r="J56" s="1">
        <f t="shared" si="3"/>
        <v>7000000</v>
      </c>
      <c r="K56" s="100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20" customFormat="1" ht="37.5">
      <c r="A57" s="13">
        <v>100202</v>
      </c>
      <c r="B57" s="21" t="s">
        <v>100</v>
      </c>
      <c r="C57" s="16" t="s">
        <v>186</v>
      </c>
      <c r="D57" s="22" t="s">
        <v>11</v>
      </c>
      <c r="E57" s="28"/>
      <c r="F57" s="28"/>
      <c r="G57" s="28"/>
      <c r="H57" s="1">
        <f>3430202+664532+174600</f>
        <v>4269334</v>
      </c>
      <c r="I57" s="1"/>
      <c r="J57" s="1">
        <f t="shared" si="3"/>
        <v>4269334</v>
      </c>
      <c r="K57" s="10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20" customFormat="1" ht="18.75">
      <c r="A58" s="13">
        <v>100203</v>
      </c>
      <c r="B58" s="21" t="s">
        <v>100</v>
      </c>
      <c r="C58" s="16" t="s">
        <v>16</v>
      </c>
      <c r="D58" s="22" t="s">
        <v>11</v>
      </c>
      <c r="E58" s="28"/>
      <c r="F58" s="28"/>
      <c r="G58" s="28"/>
      <c r="H58" s="1">
        <f>21022929.2-391391-343105-20217</f>
        <v>20268216.2</v>
      </c>
      <c r="I58" s="1">
        <v>-41000</v>
      </c>
      <c r="J58" s="1">
        <f t="shared" si="3"/>
        <v>20227216.2</v>
      </c>
      <c r="K58" s="10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20" customFormat="1" ht="75">
      <c r="A59" s="13">
        <v>100208</v>
      </c>
      <c r="B59" s="21" t="s">
        <v>100</v>
      </c>
      <c r="C59" s="16" t="s">
        <v>161</v>
      </c>
      <c r="D59" s="22" t="s">
        <v>11</v>
      </c>
      <c r="E59" s="28"/>
      <c r="F59" s="28"/>
      <c r="G59" s="28"/>
      <c r="H59" s="1">
        <v>845938</v>
      </c>
      <c r="I59" s="1"/>
      <c r="J59" s="1">
        <f t="shared" si="3"/>
        <v>845938</v>
      </c>
      <c r="K59" s="100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20" customFormat="1" ht="18.75">
      <c r="A60" s="13">
        <v>150101</v>
      </c>
      <c r="B60" s="21" t="s">
        <v>84</v>
      </c>
      <c r="C60" s="33" t="s">
        <v>4</v>
      </c>
      <c r="D60" s="22"/>
      <c r="E60" s="28"/>
      <c r="F60" s="28"/>
      <c r="G60" s="28"/>
      <c r="H60" s="1">
        <f>H63+H61</f>
        <v>1973000</v>
      </c>
      <c r="I60" s="1">
        <f>I63+I61</f>
        <v>41000</v>
      </c>
      <c r="J60" s="1">
        <f>J63+J61</f>
        <v>2014000</v>
      </c>
      <c r="K60" s="10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20" customFormat="1" ht="18.75">
      <c r="A61" s="13"/>
      <c r="B61" s="21"/>
      <c r="C61" s="33"/>
      <c r="D61" s="33" t="s">
        <v>245</v>
      </c>
      <c r="E61" s="28"/>
      <c r="F61" s="28"/>
      <c r="G61" s="28"/>
      <c r="H61" s="1">
        <f>H62</f>
        <v>0</v>
      </c>
      <c r="I61" s="1">
        <f>I62</f>
        <v>41000</v>
      </c>
      <c r="J61" s="1">
        <f>J62</f>
        <v>41000</v>
      </c>
      <c r="K61" s="10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20" customFormat="1" ht="56.25">
      <c r="A62" s="13"/>
      <c r="B62" s="21"/>
      <c r="C62" s="33"/>
      <c r="D62" s="34" t="s">
        <v>246</v>
      </c>
      <c r="E62" s="28"/>
      <c r="F62" s="28"/>
      <c r="G62" s="28"/>
      <c r="H62" s="1"/>
      <c r="I62" s="1">
        <v>41000</v>
      </c>
      <c r="J62" s="1">
        <f t="shared" si="3"/>
        <v>41000</v>
      </c>
      <c r="K62" s="100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20" customFormat="1" ht="18.75">
      <c r="A63" s="13"/>
      <c r="B63" s="21"/>
      <c r="C63" s="33"/>
      <c r="D63" s="33" t="s">
        <v>7</v>
      </c>
      <c r="E63" s="28"/>
      <c r="F63" s="28"/>
      <c r="G63" s="28"/>
      <c r="H63" s="1">
        <f>H64+H65+H66+H67</f>
        <v>1973000</v>
      </c>
      <c r="I63" s="1">
        <f>I64+I65+I66+I67</f>
        <v>0</v>
      </c>
      <c r="J63" s="1">
        <f>J64+J65+J66+J67</f>
        <v>1973000</v>
      </c>
      <c r="K63" s="10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20" customFormat="1" ht="112.5">
      <c r="A64" s="13"/>
      <c r="B64" s="21"/>
      <c r="C64" s="33"/>
      <c r="D64" s="34" t="s">
        <v>233</v>
      </c>
      <c r="E64" s="28"/>
      <c r="F64" s="28"/>
      <c r="G64" s="28"/>
      <c r="H64" s="1">
        <v>167000</v>
      </c>
      <c r="I64" s="1"/>
      <c r="J64" s="1">
        <f t="shared" si="3"/>
        <v>167000</v>
      </c>
      <c r="K64" s="100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20" customFormat="1" ht="93.75">
      <c r="A65" s="13"/>
      <c r="B65" s="21"/>
      <c r="C65" s="33"/>
      <c r="D65" s="34" t="s">
        <v>231</v>
      </c>
      <c r="E65" s="28"/>
      <c r="F65" s="28"/>
      <c r="G65" s="28"/>
      <c r="H65" s="1">
        <v>167000</v>
      </c>
      <c r="I65" s="1"/>
      <c r="J65" s="1">
        <f t="shared" si="3"/>
        <v>167000</v>
      </c>
      <c r="K65" s="10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20" customFormat="1" ht="112.5">
      <c r="A66" s="13"/>
      <c r="B66" s="21"/>
      <c r="C66" s="33"/>
      <c r="D66" s="34" t="s">
        <v>232</v>
      </c>
      <c r="E66" s="28"/>
      <c r="F66" s="28"/>
      <c r="G66" s="28"/>
      <c r="H66" s="1">
        <v>166000</v>
      </c>
      <c r="I66" s="1"/>
      <c r="J66" s="1">
        <f t="shared" si="3"/>
        <v>166000</v>
      </c>
      <c r="K66" s="100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20" customFormat="1" ht="75">
      <c r="A67" s="13"/>
      <c r="B67" s="21"/>
      <c r="C67" s="33"/>
      <c r="D67" s="35" t="s">
        <v>243</v>
      </c>
      <c r="E67" s="28"/>
      <c r="F67" s="28"/>
      <c r="G67" s="28"/>
      <c r="H67" s="1">
        <v>1473000</v>
      </c>
      <c r="I67" s="1"/>
      <c r="J67" s="1">
        <f t="shared" si="3"/>
        <v>1473000</v>
      </c>
      <c r="K67" s="100">
        <v>44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20" customFormat="1" ht="93.75">
      <c r="A68" s="13">
        <v>180409</v>
      </c>
      <c r="B68" s="21" t="s">
        <v>84</v>
      </c>
      <c r="C68" s="16" t="s">
        <v>29</v>
      </c>
      <c r="D68" s="24"/>
      <c r="E68" s="36"/>
      <c r="F68" s="36"/>
      <c r="G68" s="36"/>
      <c r="H68" s="1">
        <f>H69+H70+H71+H72+H73+H75+H74</f>
        <v>26239409</v>
      </c>
      <c r="I68" s="1">
        <f>I69+I70+I71+I72+I73+I75+I74</f>
        <v>0</v>
      </c>
      <c r="J68" s="1">
        <f>J69+J70+J71+J72+J73+J75+J74</f>
        <v>26239409</v>
      </c>
      <c r="K68" s="10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20" customFormat="1" ht="37.5">
      <c r="A69" s="13"/>
      <c r="B69" s="13"/>
      <c r="C69" s="16"/>
      <c r="D69" s="16" t="s">
        <v>49</v>
      </c>
      <c r="E69" s="36"/>
      <c r="F69" s="36"/>
      <c r="G69" s="36"/>
      <c r="H69" s="1">
        <f>4311200+292000</f>
        <v>4603200</v>
      </c>
      <c r="I69" s="1"/>
      <c r="J69" s="1">
        <f aca="true" t="shared" si="4" ref="J69:J76">I69+H69</f>
        <v>4603200</v>
      </c>
      <c r="K69" s="10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20" customFormat="1" ht="37.5">
      <c r="A70" s="13"/>
      <c r="B70" s="13"/>
      <c r="C70" s="16"/>
      <c r="D70" s="16" t="s">
        <v>146</v>
      </c>
      <c r="E70" s="36"/>
      <c r="F70" s="36"/>
      <c r="G70" s="36"/>
      <c r="H70" s="1">
        <v>1600000</v>
      </c>
      <c r="I70" s="1"/>
      <c r="J70" s="1">
        <f t="shared" si="4"/>
        <v>1600000</v>
      </c>
      <c r="K70" s="10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20" customFormat="1" ht="37.5">
      <c r="A71" s="13"/>
      <c r="B71" s="13"/>
      <c r="C71" s="16"/>
      <c r="D71" s="16" t="s">
        <v>39</v>
      </c>
      <c r="E71" s="36"/>
      <c r="F71" s="36"/>
      <c r="G71" s="36"/>
      <c r="H71" s="1">
        <f>2188500+1470000</f>
        <v>3658500</v>
      </c>
      <c r="I71" s="1"/>
      <c r="J71" s="1">
        <f t="shared" si="4"/>
        <v>3658500</v>
      </c>
      <c r="K71" s="100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20" customFormat="1" ht="37.5">
      <c r="A72" s="13"/>
      <c r="B72" s="13"/>
      <c r="C72" s="16"/>
      <c r="D72" s="16" t="s">
        <v>44</v>
      </c>
      <c r="E72" s="36"/>
      <c r="F72" s="36"/>
      <c r="G72" s="36"/>
      <c r="H72" s="1">
        <v>2500000</v>
      </c>
      <c r="I72" s="1"/>
      <c r="J72" s="1">
        <f t="shared" si="4"/>
        <v>2500000</v>
      </c>
      <c r="K72" s="100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20" customFormat="1" ht="37.5">
      <c r="A73" s="13"/>
      <c r="B73" s="13"/>
      <c r="C73" s="16"/>
      <c r="D73" s="16" t="s">
        <v>124</v>
      </c>
      <c r="E73" s="36"/>
      <c r="F73" s="36"/>
      <c r="G73" s="36"/>
      <c r="H73" s="1">
        <f>8200+14159</f>
        <v>22359</v>
      </c>
      <c r="I73" s="1"/>
      <c r="J73" s="1">
        <f t="shared" si="4"/>
        <v>22359</v>
      </c>
      <c r="K73" s="100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20" customFormat="1" ht="37.5">
      <c r="A74" s="13"/>
      <c r="B74" s="13"/>
      <c r="C74" s="16"/>
      <c r="D74" s="16" t="s">
        <v>168</v>
      </c>
      <c r="E74" s="36"/>
      <c r="F74" s="36"/>
      <c r="G74" s="36"/>
      <c r="H74" s="1">
        <v>1116250</v>
      </c>
      <c r="I74" s="1"/>
      <c r="J74" s="1">
        <f t="shared" si="4"/>
        <v>1116250</v>
      </c>
      <c r="K74" s="10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20" customFormat="1" ht="37.5">
      <c r="A75" s="13"/>
      <c r="B75" s="13"/>
      <c r="C75" s="16"/>
      <c r="D75" s="16" t="s">
        <v>50</v>
      </c>
      <c r="E75" s="36"/>
      <c r="F75" s="36"/>
      <c r="G75" s="36"/>
      <c r="H75" s="1">
        <f>7769200+4969900</f>
        <v>12739100</v>
      </c>
      <c r="I75" s="1"/>
      <c r="J75" s="1">
        <f t="shared" si="4"/>
        <v>12739100</v>
      </c>
      <c r="K75" s="100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20" customFormat="1" ht="18.75">
      <c r="A76" s="13">
        <v>250380</v>
      </c>
      <c r="B76" s="21" t="s">
        <v>102</v>
      </c>
      <c r="C76" s="22" t="s">
        <v>20</v>
      </c>
      <c r="D76" s="22" t="s">
        <v>11</v>
      </c>
      <c r="E76" s="36"/>
      <c r="F76" s="36"/>
      <c r="G76" s="36"/>
      <c r="H76" s="1">
        <v>750500</v>
      </c>
      <c r="I76" s="1"/>
      <c r="J76" s="1">
        <f t="shared" si="4"/>
        <v>750500</v>
      </c>
      <c r="K76" s="10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20" customFormat="1" ht="58.5">
      <c r="A77" s="14"/>
      <c r="B77" s="14"/>
      <c r="C77" s="15" t="s">
        <v>203</v>
      </c>
      <c r="D77" s="22"/>
      <c r="E77" s="36"/>
      <c r="F77" s="36"/>
      <c r="G77" s="36"/>
      <c r="H77" s="18">
        <f>H78+H79</f>
        <v>481000</v>
      </c>
      <c r="I77" s="18">
        <f>I78+I79</f>
        <v>0</v>
      </c>
      <c r="J77" s="18">
        <f>J78+J79</f>
        <v>481000</v>
      </c>
      <c r="K77" s="10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20" customFormat="1" ht="18.75">
      <c r="A78" s="21" t="s">
        <v>9</v>
      </c>
      <c r="B78" s="21" t="s">
        <v>81</v>
      </c>
      <c r="C78" s="16" t="s">
        <v>10</v>
      </c>
      <c r="D78" s="22" t="s">
        <v>11</v>
      </c>
      <c r="E78" s="36"/>
      <c r="F78" s="36"/>
      <c r="G78" s="36"/>
      <c r="H78" s="1">
        <f>240000+100000</f>
        <v>340000</v>
      </c>
      <c r="I78" s="1"/>
      <c r="J78" s="1">
        <f>I78+H78</f>
        <v>340000</v>
      </c>
      <c r="K78" s="10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1" s="19" customFormat="1" ht="18.75">
      <c r="A79" s="21" t="s">
        <v>22</v>
      </c>
      <c r="B79" s="21" t="s">
        <v>101</v>
      </c>
      <c r="C79" s="16" t="s">
        <v>40</v>
      </c>
      <c r="D79" s="22" t="s">
        <v>11</v>
      </c>
      <c r="E79" s="17"/>
      <c r="F79" s="37"/>
      <c r="G79" s="17"/>
      <c r="H79" s="1">
        <v>141000</v>
      </c>
      <c r="I79" s="25"/>
      <c r="J79" s="1">
        <f>I79+H79</f>
        <v>141000</v>
      </c>
      <c r="K79" s="100"/>
    </row>
    <row r="80" spans="1:11" s="19" customFormat="1" ht="58.5">
      <c r="A80" s="21"/>
      <c r="B80" s="21"/>
      <c r="C80" s="15" t="s">
        <v>258</v>
      </c>
      <c r="D80" s="22"/>
      <c r="E80" s="17"/>
      <c r="F80" s="37"/>
      <c r="G80" s="17"/>
      <c r="H80" s="18">
        <f>H81</f>
        <v>182700</v>
      </c>
      <c r="I80" s="18">
        <f>I81</f>
        <v>0</v>
      </c>
      <c r="J80" s="18">
        <f>J81</f>
        <v>182700</v>
      </c>
      <c r="K80" s="100"/>
    </row>
    <row r="81" spans="1:11" s="19" customFormat="1" ht="18.75">
      <c r="A81" s="21" t="s">
        <v>9</v>
      </c>
      <c r="B81" s="21" t="s">
        <v>81</v>
      </c>
      <c r="C81" s="16" t="s">
        <v>10</v>
      </c>
      <c r="D81" s="22" t="s">
        <v>11</v>
      </c>
      <c r="E81" s="17"/>
      <c r="F81" s="37"/>
      <c r="G81" s="17"/>
      <c r="H81" s="1">
        <f>134100+48600</f>
        <v>182700</v>
      </c>
      <c r="I81" s="1"/>
      <c r="J81" s="1">
        <f>I81+H81</f>
        <v>182700</v>
      </c>
      <c r="K81" s="100"/>
    </row>
    <row r="82" spans="1:11" ht="78">
      <c r="A82" s="14"/>
      <c r="B82" s="14"/>
      <c r="C82" s="15" t="s">
        <v>107</v>
      </c>
      <c r="D82" s="22"/>
      <c r="E82" s="28"/>
      <c r="F82" s="28"/>
      <c r="G82" s="28"/>
      <c r="H82" s="18">
        <f>H83+H84+H85+H211+H210</f>
        <v>231011490.94</v>
      </c>
      <c r="I82" s="18">
        <f>I83+I84+I85+I211+I210</f>
        <v>3191000</v>
      </c>
      <c r="J82" s="18">
        <f>J83+J84+J85+J211+J210</f>
        <v>234202490.94</v>
      </c>
      <c r="K82" s="100"/>
    </row>
    <row r="83" spans="1:11" ht="18.75">
      <c r="A83" s="21" t="s">
        <v>14</v>
      </c>
      <c r="B83" s="21" t="s">
        <v>91</v>
      </c>
      <c r="C83" s="16" t="s">
        <v>15</v>
      </c>
      <c r="D83" s="22"/>
      <c r="E83" s="28"/>
      <c r="F83" s="28"/>
      <c r="G83" s="28"/>
      <c r="H83" s="1">
        <v>1724000</v>
      </c>
      <c r="I83" s="1"/>
      <c r="J83" s="1">
        <f>I83+H83</f>
        <v>1724000</v>
      </c>
      <c r="K83" s="100"/>
    </row>
    <row r="84" spans="1:11" ht="18.75">
      <c r="A84" s="21" t="s">
        <v>30</v>
      </c>
      <c r="B84" s="21" t="s">
        <v>100</v>
      </c>
      <c r="C84" s="16" t="s">
        <v>16</v>
      </c>
      <c r="D84" s="22" t="s">
        <v>11</v>
      </c>
      <c r="E84" s="28"/>
      <c r="F84" s="28"/>
      <c r="G84" s="28"/>
      <c r="H84" s="1">
        <f>71252200+4000000</f>
        <v>75252200</v>
      </c>
      <c r="I84" s="1"/>
      <c r="J84" s="1">
        <f>I84+H84</f>
        <v>75252200</v>
      </c>
      <c r="K84" s="100"/>
    </row>
    <row r="85" spans="1:11" ht="18.75">
      <c r="A85" s="12">
        <v>150101</v>
      </c>
      <c r="B85" s="21" t="s">
        <v>84</v>
      </c>
      <c r="C85" s="33" t="s">
        <v>4</v>
      </c>
      <c r="D85" s="22"/>
      <c r="E85" s="28">
        <f>E86+E141</f>
        <v>176430628</v>
      </c>
      <c r="F85" s="28"/>
      <c r="G85" s="28">
        <f>G86+G141</f>
        <v>125582977</v>
      </c>
      <c r="H85" s="38">
        <f>H86+H139+H141</f>
        <v>141835290.94</v>
      </c>
      <c r="I85" s="38">
        <f>I86+I139+I141</f>
        <v>3191000</v>
      </c>
      <c r="J85" s="38">
        <f>J86+J139+J141</f>
        <v>145026290.94</v>
      </c>
      <c r="K85" s="100"/>
    </row>
    <row r="86" spans="1:11" ht="19.5">
      <c r="A86" s="12"/>
      <c r="B86" s="12"/>
      <c r="C86" s="15"/>
      <c r="D86" s="39" t="s">
        <v>5</v>
      </c>
      <c r="E86" s="40">
        <f>SUM(E87:E138)</f>
        <v>93694358</v>
      </c>
      <c r="F86" s="40"/>
      <c r="G86" s="40">
        <f>SUM(G87:G138)</f>
        <v>64427563</v>
      </c>
      <c r="H86" s="41">
        <f>SUM(H87:H138)</f>
        <v>46307004</v>
      </c>
      <c r="I86" s="41">
        <f>SUM(I87:I138)</f>
        <v>-1988000</v>
      </c>
      <c r="J86" s="41">
        <f>SUM(J87:J138)</f>
        <v>44319004</v>
      </c>
      <c r="K86" s="100"/>
    </row>
    <row r="87" spans="1:11" ht="37.5">
      <c r="A87" s="16"/>
      <c r="B87" s="16"/>
      <c r="C87" s="42"/>
      <c r="D87" s="42" t="s">
        <v>6</v>
      </c>
      <c r="E87" s="17">
        <v>28556946</v>
      </c>
      <c r="F87" s="13">
        <v>86</v>
      </c>
      <c r="G87" s="23">
        <v>24569887</v>
      </c>
      <c r="H87" s="1">
        <f>1000000+850000</f>
        <v>1850000</v>
      </c>
      <c r="I87" s="1"/>
      <c r="J87" s="1">
        <f aca="true" t="shared" si="5" ref="J87:J137">I87+H87</f>
        <v>1850000</v>
      </c>
      <c r="K87" s="100"/>
    </row>
    <row r="88" spans="1:11" ht="37.5">
      <c r="A88" s="43"/>
      <c r="B88" s="43"/>
      <c r="C88" s="42"/>
      <c r="D88" s="42" t="s">
        <v>123</v>
      </c>
      <c r="E88" s="17"/>
      <c r="F88" s="37"/>
      <c r="G88" s="17"/>
      <c r="H88" s="1">
        <v>2500000</v>
      </c>
      <c r="I88" s="1">
        <v>-2200000</v>
      </c>
      <c r="J88" s="1">
        <f t="shared" si="5"/>
        <v>300000</v>
      </c>
      <c r="K88" s="100"/>
    </row>
    <row r="89" spans="1:11" ht="75">
      <c r="A89" s="43"/>
      <c r="B89" s="43"/>
      <c r="C89" s="42"/>
      <c r="D89" s="42" t="s">
        <v>46</v>
      </c>
      <c r="E89" s="17"/>
      <c r="F89" s="37"/>
      <c r="G89" s="17"/>
      <c r="H89" s="1">
        <f>3198625-110000-2575000</f>
        <v>513625</v>
      </c>
      <c r="I89" s="1">
        <v>-4000</v>
      </c>
      <c r="J89" s="1">
        <f t="shared" si="5"/>
        <v>509625</v>
      </c>
      <c r="K89" s="100"/>
    </row>
    <row r="90" spans="1:11" ht="37.5">
      <c r="A90" s="12"/>
      <c r="B90" s="12"/>
      <c r="C90" s="42"/>
      <c r="D90" s="42" t="s">
        <v>114</v>
      </c>
      <c r="E90" s="23">
        <v>680490</v>
      </c>
      <c r="F90" s="44">
        <v>55.9</v>
      </c>
      <c r="G90" s="23">
        <v>380490</v>
      </c>
      <c r="H90" s="1">
        <f>380000-89000-230000</f>
        <v>61000</v>
      </c>
      <c r="I90" s="1"/>
      <c r="J90" s="1">
        <f t="shared" si="5"/>
        <v>61000</v>
      </c>
      <c r="K90" s="100">
        <v>45</v>
      </c>
    </row>
    <row r="91" spans="1:11" ht="37.5">
      <c r="A91" s="43"/>
      <c r="B91" s="43"/>
      <c r="C91" s="42"/>
      <c r="D91" s="42" t="s">
        <v>125</v>
      </c>
      <c r="E91" s="17"/>
      <c r="F91" s="37"/>
      <c r="G91" s="17"/>
      <c r="H91" s="1">
        <v>250000</v>
      </c>
      <c r="I91" s="1"/>
      <c r="J91" s="1">
        <f t="shared" si="5"/>
        <v>250000</v>
      </c>
      <c r="K91" s="100"/>
    </row>
    <row r="92" spans="1:11" ht="37.5">
      <c r="A92" s="16"/>
      <c r="B92" s="16"/>
      <c r="C92" s="42"/>
      <c r="D92" s="42" t="s">
        <v>42</v>
      </c>
      <c r="E92" s="17">
        <v>12997832</v>
      </c>
      <c r="F92" s="13">
        <v>47.7</v>
      </c>
      <c r="G92" s="23">
        <v>6200933</v>
      </c>
      <c r="H92" s="1">
        <f>3000000+2000000-320000-500000</f>
        <v>4180000</v>
      </c>
      <c r="I92" s="1"/>
      <c r="J92" s="1">
        <f t="shared" si="5"/>
        <v>4180000</v>
      </c>
      <c r="K92" s="100"/>
    </row>
    <row r="93" spans="1:11" ht="56.25">
      <c r="A93" s="16"/>
      <c r="B93" s="16"/>
      <c r="C93" s="42"/>
      <c r="D93" s="42" t="s">
        <v>252</v>
      </c>
      <c r="E93" s="17"/>
      <c r="F93" s="13"/>
      <c r="G93" s="23"/>
      <c r="H93" s="1"/>
      <c r="I93" s="1">
        <v>1000</v>
      </c>
      <c r="J93" s="1">
        <f t="shared" si="5"/>
        <v>1000</v>
      </c>
      <c r="K93" s="100"/>
    </row>
    <row r="94" spans="1:11" ht="37.5">
      <c r="A94" s="43"/>
      <c r="B94" s="43"/>
      <c r="C94" s="42"/>
      <c r="D94" s="42" t="s">
        <v>136</v>
      </c>
      <c r="E94" s="17"/>
      <c r="F94" s="37"/>
      <c r="G94" s="17"/>
      <c r="H94" s="1">
        <v>2000000</v>
      </c>
      <c r="I94" s="1"/>
      <c r="J94" s="1">
        <f t="shared" si="5"/>
        <v>2000000</v>
      </c>
      <c r="K94" s="100"/>
    </row>
    <row r="95" spans="1:11" ht="37.5">
      <c r="A95" s="43"/>
      <c r="B95" s="43"/>
      <c r="C95" s="42"/>
      <c r="D95" s="42" t="s">
        <v>196</v>
      </c>
      <c r="E95" s="17"/>
      <c r="F95" s="37"/>
      <c r="G95" s="17"/>
      <c r="H95" s="1">
        <v>50000</v>
      </c>
      <c r="I95" s="1"/>
      <c r="J95" s="1">
        <f t="shared" si="5"/>
        <v>50000</v>
      </c>
      <c r="K95" s="100"/>
    </row>
    <row r="96" spans="1:11" ht="37.5">
      <c r="A96" s="43"/>
      <c r="B96" s="43"/>
      <c r="C96" s="42"/>
      <c r="D96" s="42" t="s">
        <v>166</v>
      </c>
      <c r="E96" s="17"/>
      <c r="F96" s="37"/>
      <c r="G96" s="17"/>
      <c r="H96" s="1">
        <v>800000</v>
      </c>
      <c r="I96" s="1"/>
      <c r="J96" s="1">
        <f t="shared" si="5"/>
        <v>800000</v>
      </c>
      <c r="K96" s="100"/>
    </row>
    <row r="97" spans="1:11" ht="37.5">
      <c r="A97" s="43"/>
      <c r="B97" s="43"/>
      <c r="C97" s="42"/>
      <c r="D97" s="42" t="s">
        <v>217</v>
      </c>
      <c r="E97" s="17"/>
      <c r="F97" s="37"/>
      <c r="G97" s="17"/>
      <c r="H97" s="1">
        <v>100000</v>
      </c>
      <c r="I97" s="1"/>
      <c r="J97" s="1">
        <f t="shared" si="5"/>
        <v>100000</v>
      </c>
      <c r="K97" s="100"/>
    </row>
    <row r="98" spans="1:11" ht="37.5">
      <c r="A98" s="43"/>
      <c r="B98" s="43"/>
      <c r="C98" s="42"/>
      <c r="D98" s="42" t="s">
        <v>137</v>
      </c>
      <c r="E98" s="17"/>
      <c r="F98" s="37"/>
      <c r="G98" s="17"/>
      <c r="H98" s="1">
        <v>1000000</v>
      </c>
      <c r="I98" s="1">
        <f>500000</f>
        <v>500000</v>
      </c>
      <c r="J98" s="1">
        <f t="shared" si="5"/>
        <v>1500000</v>
      </c>
      <c r="K98" s="100"/>
    </row>
    <row r="99" spans="1:11" ht="18.75">
      <c r="A99" s="43"/>
      <c r="B99" s="43"/>
      <c r="C99" s="42"/>
      <c r="D99" s="42" t="s">
        <v>135</v>
      </c>
      <c r="E99" s="17">
        <v>19937315</v>
      </c>
      <c r="F99" s="37">
        <v>98.3</v>
      </c>
      <c r="G99" s="17">
        <v>19595302</v>
      </c>
      <c r="H99" s="1">
        <v>500000</v>
      </c>
      <c r="I99" s="1">
        <v>-500000</v>
      </c>
      <c r="J99" s="1">
        <f t="shared" si="5"/>
        <v>0</v>
      </c>
      <c r="K99" s="100"/>
    </row>
    <row r="100" spans="1:11" ht="37.5">
      <c r="A100" s="43"/>
      <c r="B100" s="43"/>
      <c r="C100" s="42"/>
      <c r="D100" s="42" t="s">
        <v>28</v>
      </c>
      <c r="E100" s="17">
        <v>27952784</v>
      </c>
      <c r="F100" s="37">
        <v>36.5</v>
      </c>
      <c r="G100" s="17">
        <v>10189981</v>
      </c>
      <c r="H100" s="1">
        <v>5000000</v>
      </c>
      <c r="I100" s="1"/>
      <c r="J100" s="1">
        <f t="shared" si="5"/>
        <v>5000000</v>
      </c>
      <c r="K100" s="100"/>
    </row>
    <row r="101" spans="1:11" ht="56.25">
      <c r="A101" s="43"/>
      <c r="B101" s="43"/>
      <c r="C101" s="42"/>
      <c r="D101" s="42" t="s">
        <v>138</v>
      </c>
      <c r="E101" s="17">
        <v>3568991</v>
      </c>
      <c r="F101" s="37">
        <v>97.8</v>
      </c>
      <c r="G101" s="17">
        <v>3490970</v>
      </c>
      <c r="H101" s="1">
        <f>5400000-500000</f>
        <v>4900000</v>
      </c>
      <c r="I101" s="1"/>
      <c r="J101" s="1">
        <f t="shared" si="5"/>
        <v>4900000</v>
      </c>
      <c r="K101" s="100"/>
    </row>
    <row r="102" spans="1:11" ht="37.5">
      <c r="A102" s="43"/>
      <c r="B102" s="43"/>
      <c r="C102" s="42"/>
      <c r="D102" s="42" t="s">
        <v>79</v>
      </c>
      <c r="E102" s="17"/>
      <c r="F102" s="37"/>
      <c r="G102" s="17"/>
      <c r="H102" s="1">
        <f>9000000+8000000</f>
        <v>17000000</v>
      </c>
      <c r="I102" s="1"/>
      <c r="J102" s="1">
        <f t="shared" si="5"/>
        <v>17000000</v>
      </c>
      <c r="K102" s="100"/>
    </row>
    <row r="103" spans="1:11" ht="18.75">
      <c r="A103" s="43"/>
      <c r="B103" s="43"/>
      <c r="C103" s="42"/>
      <c r="D103" s="42" t="s">
        <v>147</v>
      </c>
      <c r="E103" s="17"/>
      <c r="F103" s="37"/>
      <c r="G103" s="17"/>
      <c r="H103" s="1">
        <v>500000</v>
      </c>
      <c r="I103" s="1"/>
      <c r="J103" s="1">
        <f t="shared" si="5"/>
        <v>500000</v>
      </c>
      <c r="K103" s="100"/>
    </row>
    <row r="104" spans="1:11" ht="18.75">
      <c r="A104" s="43"/>
      <c r="B104" s="43"/>
      <c r="C104" s="42"/>
      <c r="D104" s="42" t="s">
        <v>163</v>
      </c>
      <c r="E104" s="17"/>
      <c r="F104" s="37"/>
      <c r="G104" s="17"/>
      <c r="H104" s="1">
        <v>500000</v>
      </c>
      <c r="I104" s="1"/>
      <c r="J104" s="1">
        <f t="shared" si="5"/>
        <v>500000</v>
      </c>
      <c r="K104" s="100"/>
    </row>
    <row r="105" spans="1:11" ht="18.75">
      <c r="A105" s="43"/>
      <c r="B105" s="43"/>
      <c r="C105" s="42"/>
      <c r="D105" s="42" t="s">
        <v>164</v>
      </c>
      <c r="E105" s="17"/>
      <c r="F105" s="37"/>
      <c r="G105" s="17"/>
      <c r="H105" s="1">
        <v>1000000</v>
      </c>
      <c r="I105" s="1"/>
      <c r="J105" s="1">
        <f t="shared" si="5"/>
        <v>1000000</v>
      </c>
      <c r="K105" s="100"/>
    </row>
    <row r="106" spans="1:11" ht="37.5">
      <c r="A106" s="43"/>
      <c r="B106" s="43"/>
      <c r="C106" s="42"/>
      <c r="D106" s="42" t="s">
        <v>190</v>
      </c>
      <c r="E106" s="17"/>
      <c r="F106" s="37"/>
      <c r="G106" s="17"/>
      <c r="H106" s="1">
        <v>50000</v>
      </c>
      <c r="I106" s="1"/>
      <c r="J106" s="1">
        <f t="shared" si="5"/>
        <v>50000</v>
      </c>
      <c r="K106" s="100"/>
    </row>
    <row r="107" spans="1:11" ht="112.5">
      <c r="A107" s="43"/>
      <c r="B107" s="43"/>
      <c r="C107" s="42"/>
      <c r="D107" s="42" t="s">
        <v>234</v>
      </c>
      <c r="E107" s="17"/>
      <c r="F107" s="37"/>
      <c r="G107" s="17"/>
      <c r="H107" s="1">
        <v>490000</v>
      </c>
      <c r="I107" s="1"/>
      <c r="J107" s="1">
        <f t="shared" si="5"/>
        <v>490000</v>
      </c>
      <c r="K107" s="100"/>
    </row>
    <row r="108" spans="1:11" ht="37.5">
      <c r="A108" s="43"/>
      <c r="B108" s="43"/>
      <c r="C108" s="42"/>
      <c r="D108" s="42" t="s">
        <v>182</v>
      </c>
      <c r="E108" s="17"/>
      <c r="F108" s="37"/>
      <c r="G108" s="17"/>
      <c r="H108" s="1">
        <f>300000-15000</f>
        <v>285000</v>
      </c>
      <c r="I108" s="1"/>
      <c r="J108" s="1">
        <f t="shared" si="5"/>
        <v>285000</v>
      </c>
      <c r="K108" s="100"/>
    </row>
    <row r="109" spans="1:11" ht="56.25">
      <c r="A109" s="43"/>
      <c r="B109" s="43"/>
      <c r="C109" s="42"/>
      <c r="D109" s="42" t="s">
        <v>191</v>
      </c>
      <c r="E109" s="17"/>
      <c r="F109" s="37"/>
      <c r="G109" s="17"/>
      <c r="H109" s="1">
        <v>80000</v>
      </c>
      <c r="I109" s="1"/>
      <c r="J109" s="1">
        <f t="shared" si="5"/>
        <v>80000</v>
      </c>
      <c r="K109" s="100"/>
    </row>
    <row r="110" spans="1:11" ht="75">
      <c r="A110" s="43"/>
      <c r="B110" s="43"/>
      <c r="C110" s="42"/>
      <c r="D110" s="42" t="s">
        <v>192</v>
      </c>
      <c r="E110" s="17"/>
      <c r="F110" s="37"/>
      <c r="G110" s="17"/>
      <c r="H110" s="1">
        <v>100000</v>
      </c>
      <c r="I110" s="1"/>
      <c r="J110" s="1">
        <f t="shared" si="5"/>
        <v>100000</v>
      </c>
      <c r="K110" s="100"/>
    </row>
    <row r="111" spans="1:11" ht="37.5">
      <c r="A111" s="43"/>
      <c r="B111" s="43"/>
      <c r="C111" s="42"/>
      <c r="D111" s="42" t="s">
        <v>207</v>
      </c>
      <c r="E111" s="17"/>
      <c r="F111" s="37"/>
      <c r="G111" s="17"/>
      <c r="H111" s="1">
        <v>57000</v>
      </c>
      <c r="I111" s="1"/>
      <c r="J111" s="1">
        <f t="shared" si="5"/>
        <v>57000</v>
      </c>
      <c r="K111" s="100"/>
    </row>
    <row r="112" spans="1:11" ht="37.5">
      <c r="A112" s="43"/>
      <c r="B112" s="43"/>
      <c r="C112" s="42"/>
      <c r="D112" s="45" t="s">
        <v>236</v>
      </c>
      <c r="E112" s="17"/>
      <c r="F112" s="37"/>
      <c r="G112" s="17"/>
      <c r="H112" s="1">
        <v>50000</v>
      </c>
      <c r="I112" s="1"/>
      <c r="J112" s="1">
        <f t="shared" si="5"/>
        <v>50000</v>
      </c>
      <c r="K112" s="100"/>
    </row>
    <row r="113" spans="1:11" ht="37.5">
      <c r="A113" s="43"/>
      <c r="B113" s="43"/>
      <c r="C113" s="42"/>
      <c r="D113" s="42" t="s">
        <v>121</v>
      </c>
      <c r="E113" s="17"/>
      <c r="F113" s="37"/>
      <c r="G113" s="17"/>
      <c r="H113" s="1">
        <f>1000000+40000+120000</f>
        <v>1160000</v>
      </c>
      <c r="I113" s="1"/>
      <c r="J113" s="1">
        <f t="shared" si="5"/>
        <v>1160000</v>
      </c>
      <c r="K113" s="100"/>
    </row>
    <row r="114" spans="1:11" ht="18.75">
      <c r="A114" s="43"/>
      <c r="B114" s="43"/>
      <c r="C114" s="42"/>
      <c r="D114" s="42"/>
      <c r="E114" s="17"/>
      <c r="F114" s="37"/>
      <c r="G114" s="17"/>
      <c r="H114" s="1"/>
      <c r="I114" s="1"/>
      <c r="J114" s="1"/>
      <c r="K114" s="100">
        <v>46</v>
      </c>
    </row>
    <row r="115" spans="1:11" ht="37.5">
      <c r="A115" s="43"/>
      <c r="B115" s="43"/>
      <c r="C115" s="42"/>
      <c r="D115" s="42" t="s">
        <v>251</v>
      </c>
      <c r="E115" s="17"/>
      <c r="F115" s="37"/>
      <c r="G115" s="17"/>
      <c r="H115" s="1"/>
      <c r="I115" s="1">
        <v>80000</v>
      </c>
      <c r="J115" s="1">
        <f t="shared" si="5"/>
        <v>80000</v>
      </c>
      <c r="K115" s="100"/>
    </row>
    <row r="116" spans="1:11" ht="56.25">
      <c r="A116" s="43"/>
      <c r="B116" s="43"/>
      <c r="C116" s="42"/>
      <c r="D116" s="42" t="s">
        <v>248</v>
      </c>
      <c r="E116" s="17"/>
      <c r="F116" s="37"/>
      <c r="G116" s="17"/>
      <c r="H116" s="1"/>
      <c r="I116" s="1">
        <v>35000</v>
      </c>
      <c r="J116" s="1">
        <f t="shared" si="5"/>
        <v>35000</v>
      </c>
      <c r="K116" s="100"/>
    </row>
    <row r="117" spans="1:11" ht="56.25">
      <c r="A117" s="43"/>
      <c r="B117" s="43"/>
      <c r="C117" s="42"/>
      <c r="D117" s="42" t="s">
        <v>250</v>
      </c>
      <c r="E117" s="17"/>
      <c r="F117" s="37"/>
      <c r="G117" s="17"/>
      <c r="H117" s="1"/>
      <c r="I117" s="1">
        <v>100000</v>
      </c>
      <c r="J117" s="1">
        <f t="shared" si="5"/>
        <v>100000</v>
      </c>
      <c r="K117" s="100"/>
    </row>
    <row r="118" spans="1:11" ht="37.5">
      <c r="A118" s="43"/>
      <c r="B118" s="43"/>
      <c r="C118" s="42"/>
      <c r="D118" s="42" t="s">
        <v>179</v>
      </c>
      <c r="E118" s="17"/>
      <c r="F118" s="37"/>
      <c r="G118" s="17"/>
      <c r="H118" s="1">
        <v>150000</v>
      </c>
      <c r="I118" s="1"/>
      <c r="J118" s="1">
        <f t="shared" si="5"/>
        <v>150000</v>
      </c>
      <c r="K118" s="100"/>
    </row>
    <row r="119" spans="1:11" ht="37.5">
      <c r="A119" s="43"/>
      <c r="B119" s="43"/>
      <c r="C119" s="42"/>
      <c r="D119" s="42" t="s">
        <v>178</v>
      </c>
      <c r="E119" s="17"/>
      <c r="F119" s="37"/>
      <c r="G119" s="17"/>
      <c r="H119" s="1">
        <f>50000+15000</f>
        <v>65000</v>
      </c>
      <c r="I119" s="1"/>
      <c r="J119" s="1">
        <f t="shared" si="5"/>
        <v>65000</v>
      </c>
      <c r="K119" s="100"/>
    </row>
    <row r="120" spans="1:11" ht="56.25">
      <c r="A120" s="43"/>
      <c r="B120" s="43"/>
      <c r="C120" s="42"/>
      <c r="D120" s="42" t="s">
        <v>177</v>
      </c>
      <c r="E120" s="17"/>
      <c r="F120" s="37"/>
      <c r="G120" s="17"/>
      <c r="H120" s="1">
        <v>57000</v>
      </c>
      <c r="I120" s="1"/>
      <c r="J120" s="1">
        <f t="shared" si="5"/>
        <v>57000</v>
      </c>
      <c r="K120" s="100"/>
    </row>
    <row r="121" spans="1:11" ht="56.25">
      <c r="A121" s="43"/>
      <c r="B121" s="43"/>
      <c r="C121" s="42"/>
      <c r="D121" s="42" t="s">
        <v>171</v>
      </c>
      <c r="E121" s="17"/>
      <c r="F121" s="37"/>
      <c r="G121" s="17"/>
      <c r="H121" s="1">
        <v>57000</v>
      </c>
      <c r="I121" s="1"/>
      <c r="J121" s="1">
        <f t="shared" si="5"/>
        <v>57000</v>
      </c>
      <c r="K121" s="100"/>
    </row>
    <row r="122" spans="1:11" ht="56.25">
      <c r="A122" s="43"/>
      <c r="B122" s="43"/>
      <c r="C122" s="42"/>
      <c r="D122" s="42" t="s">
        <v>170</v>
      </c>
      <c r="E122" s="17"/>
      <c r="F122" s="37"/>
      <c r="G122" s="17"/>
      <c r="H122" s="1">
        <v>57000</v>
      </c>
      <c r="I122" s="1"/>
      <c r="J122" s="1">
        <f t="shared" si="5"/>
        <v>57000</v>
      </c>
      <c r="K122" s="100"/>
    </row>
    <row r="123" spans="1:11" ht="56.25">
      <c r="A123" s="43"/>
      <c r="B123" s="43"/>
      <c r="C123" s="42"/>
      <c r="D123" s="42" t="s">
        <v>219</v>
      </c>
      <c r="E123" s="17"/>
      <c r="F123" s="37"/>
      <c r="G123" s="17"/>
      <c r="H123" s="1">
        <v>45000</v>
      </c>
      <c r="I123" s="1"/>
      <c r="J123" s="1">
        <f t="shared" si="5"/>
        <v>45000</v>
      </c>
      <c r="K123" s="100"/>
    </row>
    <row r="124" spans="1:11" ht="56.25">
      <c r="A124" s="43"/>
      <c r="B124" s="43"/>
      <c r="C124" s="42"/>
      <c r="D124" s="42" t="s">
        <v>221</v>
      </c>
      <c r="E124" s="17"/>
      <c r="F124" s="37"/>
      <c r="G124" s="17"/>
      <c r="H124" s="1">
        <v>47628</v>
      </c>
      <c r="I124" s="1"/>
      <c r="J124" s="1">
        <f t="shared" si="5"/>
        <v>47628</v>
      </c>
      <c r="K124" s="100"/>
    </row>
    <row r="125" spans="1:11" ht="37.5">
      <c r="A125" s="43"/>
      <c r="B125" s="43"/>
      <c r="C125" s="42"/>
      <c r="D125" s="42" t="s">
        <v>222</v>
      </c>
      <c r="E125" s="17"/>
      <c r="F125" s="37"/>
      <c r="G125" s="17"/>
      <c r="H125" s="1">
        <v>44565</v>
      </c>
      <c r="I125" s="1"/>
      <c r="J125" s="1">
        <f t="shared" si="5"/>
        <v>44565</v>
      </c>
      <c r="K125" s="100"/>
    </row>
    <row r="126" spans="1:11" ht="56.25">
      <c r="A126" s="43"/>
      <c r="B126" s="43"/>
      <c r="C126" s="42"/>
      <c r="D126" s="42" t="s">
        <v>223</v>
      </c>
      <c r="E126" s="17"/>
      <c r="F126" s="37"/>
      <c r="G126" s="17"/>
      <c r="H126" s="1">
        <v>29703</v>
      </c>
      <c r="I126" s="1"/>
      <c r="J126" s="1">
        <f t="shared" si="5"/>
        <v>29703</v>
      </c>
      <c r="K126" s="100"/>
    </row>
    <row r="127" spans="1:11" ht="37.5">
      <c r="A127" s="43"/>
      <c r="B127" s="43"/>
      <c r="C127" s="42"/>
      <c r="D127" s="42" t="s">
        <v>224</v>
      </c>
      <c r="E127" s="17"/>
      <c r="F127" s="37"/>
      <c r="G127" s="17"/>
      <c r="H127" s="1">
        <v>41338</v>
      </c>
      <c r="I127" s="1"/>
      <c r="J127" s="1">
        <f t="shared" si="5"/>
        <v>41338</v>
      </c>
      <c r="K127" s="100"/>
    </row>
    <row r="128" spans="1:11" ht="75">
      <c r="A128" s="43"/>
      <c r="B128" s="43"/>
      <c r="C128" s="42"/>
      <c r="D128" s="42" t="s">
        <v>220</v>
      </c>
      <c r="E128" s="17"/>
      <c r="F128" s="37"/>
      <c r="G128" s="17"/>
      <c r="H128" s="1">
        <v>70000</v>
      </c>
      <c r="I128" s="1"/>
      <c r="J128" s="1">
        <f t="shared" si="5"/>
        <v>70000</v>
      </c>
      <c r="K128" s="100"/>
    </row>
    <row r="129" spans="1:11" ht="56.25">
      <c r="A129" s="43"/>
      <c r="B129" s="43"/>
      <c r="C129" s="42"/>
      <c r="D129" s="42" t="s">
        <v>169</v>
      </c>
      <c r="E129" s="17"/>
      <c r="F129" s="37"/>
      <c r="G129" s="17"/>
      <c r="H129" s="1">
        <v>122173</v>
      </c>
      <c r="I129" s="1"/>
      <c r="J129" s="1">
        <f t="shared" si="5"/>
        <v>122173</v>
      </c>
      <c r="K129" s="100"/>
    </row>
    <row r="130" spans="1:11" ht="37.5">
      <c r="A130" s="43"/>
      <c r="B130" s="43"/>
      <c r="C130" s="42"/>
      <c r="D130" s="42" t="s">
        <v>198</v>
      </c>
      <c r="E130" s="17"/>
      <c r="F130" s="37"/>
      <c r="G130" s="17"/>
      <c r="H130" s="1">
        <v>87000</v>
      </c>
      <c r="I130" s="1"/>
      <c r="J130" s="1">
        <f t="shared" si="5"/>
        <v>87000</v>
      </c>
      <c r="K130" s="100"/>
    </row>
    <row r="131" spans="1:11" ht="37.5">
      <c r="A131" s="43"/>
      <c r="B131" s="43"/>
      <c r="C131" s="42"/>
      <c r="D131" s="42" t="s">
        <v>237</v>
      </c>
      <c r="E131" s="17"/>
      <c r="F131" s="37"/>
      <c r="G131" s="17"/>
      <c r="H131" s="1">
        <v>40000</v>
      </c>
      <c r="I131" s="1"/>
      <c r="J131" s="1">
        <f t="shared" si="5"/>
        <v>40000</v>
      </c>
      <c r="K131" s="100"/>
    </row>
    <row r="132" spans="1:11" ht="37.5">
      <c r="A132" s="43"/>
      <c r="B132" s="43"/>
      <c r="C132" s="42"/>
      <c r="D132" s="42" t="s">
        <v>238</v>
      </c>
      <c r="E132" s="17"/>
      <c r="F132" s="37"/>
      <c r="G132" s="17"/>
      <c r="H132" s="1">
        <v>60000</v>
      </c>
      <c r="I132" s="1"/>
      <c r="J132" s="1">
        <f t="shared" si="5"/>
        <v>60000</v>
      </c>
      <c r="K132" s="100"/>
    </row>
    <row r="133" spans="1:11" ht="56.25">
      <c r="A133" s="43"/>
      <c r="B133" s="43"/>
      <c r="C133" s="42"/>
      <c r="D133" s="42" t="s">
        <v>239</v>
      </c>
      <c r="E133" s="17"/>
      <c r="F133" s="37"/>
      <c r="G133" s="17"/>
      <c r="H133" s="1">
        <v>16993</v>
      </c>
      <c r="I133" s="1"/>
      <c r="J133" s="1">
        <f t="shared" si="5"/>
        <v>16993</v>
      </c>
      <c r="K133" s="100"/>
    </row>
    <row r="134" spans="1:11" ht="56.25">
      <c r="A134" s="43"/>
      <c r="B134" s="43"/>
      <c r="C134" s="42"/>
      <c r="D134" s="42" t="s">
        <v>240</v>
      </c>
      <c r="E134" s="17"/>
      <c r="F134" s="37"/>
      <c r="G134" s="17"/>
      <c r="H134" s="1">
        <v>48998</v>
      </c>
      <c r="I134" s="1"/>
      <c r="J134" s="1">
        <f t="shared" si="5"/>
        <v>48998</v>
      </c>
      <c r="K134" s="100">
        <v>47</v>
      </c>
    </row>
    <row r="135" spans="1:11" ht="56.25">
      <c r="A135" s="43"/>
      <c r="B135" s="43"/>
      <c r="C135" s="42"/>
      <c r="D135" s="42" t="s">
        <v>241</v>
      </c>
      <c r="E135" s="17"/>
      <c r="F135" s="37"/>
      <c r="G135" s="17"/>
      <c r="H135" s="1">
        <v>16993</v>
      </c>
      <c r="I135" s="1"/>
      <c r="J135" s="1">
        <f t="shared" si="5"/>
        <v>16993</v>
      </c>
      <c r="K135" s="100"/>
    </row>
    <row r="136" spans="1:11" ht="56.25">
      <c r="A136" s="43"/>
      <c r="B136" s="43"/>
      <c r="C136" s="42"/>
      <c r="D136" s="42" t="s">
        <v>242</v>
      </c>
      <c r="E136" s="17"/>
      <c r="F136" s="37"/>
      <c r="G136" s="17"/>
      <c r="H136" s="1">
        <v>48988</v>
      </c>
      <c r="I136" s="1"/>
      <c r="J136" s="1">
        <f t="shared" si="5"/>
        <v>48988</v>
      </c>
      <c r="K136" s="100"/>
    </row>
    <row r="137" spans="1:11" ht="56.25">
      <c r="A137" s="43"/>
      <c r="B137" s="43"/>
      <c r="C137" s="42"/>
      <c r="D137" s="42" t="s">
        <v>225</v>
      </c>
      <c r="E137" s="17"/>
      <c r="F137" s="37"/>
      <c r="G137" s="17"/>
      <c r="H137" s="1">
        <f>25000+15000+20000</f>
        <v>60000</v>
      </c>
      <c r="I137" s="1"/>
      <c r="J137" s="1">
        <f t="shared" si="5"/>
        <v>60000</v>
      </c>
      <c r="K137" s="100"/>
    </row>
    <row r="138" spans="1:11" ht="56.25">
      <c r="A138" s="43"/>
      <c r="B138" s="43"/>
      <c r="C138" s="42"/>
      <c r="D138" s="42" t="s">
        <v>180</v>
      </c>
      <c r="E138" s="17"/>
      <c r="F138" s="37"/>
      <c r="G138" s="17"/>
      <c r="H138" s="1">
        <v>165000</v>
      </c>
      <c r="I138" s="1"/>
      <c r="J138" s="1">
        <f>I138+H138</f>
        <v>165000</v>
      </c>
      <c r="K138" s="100"/>
    </row>
    <row r="139" spans="1:154" s="49" customFormat="1" ht="18.75">
      <c r="A139" s="43"/>
      <c r="B139" s="43"/>
      <c r="C139" s="46"/>
      <c r="D139" s="33" t="s">
        <v>257</v>
      </c>
      <c r="E139" s="36"/>
      <c r="F139" s="47"/>
      <c r="G139" s="36"/>
      <c r="H139" s="18">
        <f>H140</f>
        <v>0</v>
      </c>
      <c r="I139" s="18">
        <f>I140</f>
        <v>300000</v>
      </c>
      <c r="J139" s="18">
        <f>J140</f>
        <v>300000</v>
      </c>
      <c r="K139" s="100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</row>
    <row r="140" spans="1:11" ht="37.5">
      <c r="A140" s="43"/>
      <c r="B140" s="43"/>
      <c r="C140" s="42"/>
      <c r="D140" s="42" t="s">
        <v>256</v>
      </c>
      <c r="E140" s="17"/>
      <c r="F140" s="37"/>
      <c r="G140" s="17"/>
      <c r="H140" s="1"/>
      <c r="I140" s="1">
        <v>300000</v>
      </c>
      <c r="J140" s="1">
        <f>I140+H140</f>
        <v>300000</v>
      </c>
      <c r="K140" s="100"/>
    </row>
    <row r="141" spans="1:11" ht="18.75">
      <c r="A141" s="43"/>
      <c r="B141" s="43"/>
      <c r="C141" s="33"/>
      <c r="D141" s="33" t="s">
        <v>7</v>
      </c>
      <c r="E141" s="36">
        <f>SUM(E142:E206)</f>
        <v>82736270</v>
      </c>
      <c r="F141" s="36"/>
      <c r="G141" s="36">
        <f>SUM(G142:G206)</f>
        <v>61155414</v>
      </c>
      <c r="H141" s="50">
        <f>SUM(H142:H209)</f>
        <v>95528286.94</v>
      </c>
      <c r="I141" s="50">
        <f>SUM(I142:I209)</f>
        <v>4879000</v>
      </c>
      <c r="J141" s="50">
        <f>SUM(J142:J209)</f>
        <v>100407286.94</v>
      </c>
      <c r="K141" s="100"/>
    </row>
    <row r="142" spans="1:11" ht="37.5">
      <c r="A142" s="43"/>
      <c r="B142" s="43"/>
      <c r="C142" s="33"/>
      <c r="D142" s="42" t="s">
        <v>26</v>
      </c>
      <c r="E142" s="17">
        <v>9995386</v>
      </c>
      <c r="F142" s="37">
        <v>37.5</v>
      </c>
      <c r="G142" s="17">
        <v>3747696</v>
      </c>
      <c r="H142" s="1">
        <v>341000</v>
      </c>
      <c r="I142" s="1"/>
      <c r="J142" s="1">
        <f aca="true" t="shared" si="6" ref="J142:J174">I142+H142</f>
        <v>341000</v>
      </c>
      <c r="K142" s="100"/>
    </row>
    <row r="143" spans="1:11" ht="37.5">
      <c r="A143" s="43"/>
      <c r="B143" s="43"/>
      <c r="C143" s="33"/>
      <c r="D143" s="42" t="s">
        <v>37</v>
      </c>
      <c r="E143" s="17">
        <v>17687640</v>
      </c>
      <c r="F143" s="37">
        <v>63.8</v>
      </c>
      <c r="G143" s="17">
        <v>11282117</v>
      </c>
      <c r="H143" s="1">
        <v>7280000</v>
      </c>
      <c r="I143" s="1"/>
      <c r="J143" s="1">
        <f t="shared" si="6"/>
        <v>7280000</v>
      </c>
      <c r="K143" s="100"/>
    </row>
    <row r="144" spans="1:11" ht="37.5">
      <c r="A144" s="43"/>
      <c r="B144" s="43"/>
      <c r="C144" s="33"/>
      <c r="D144" s="42" t="s">
        <v>51</v>
      </c>
      <c r="E144" s="17">
        <v>3024919</v>
      </c>
      <c r="F144" s="37">
        <v>72</v>
      </c>
      <c r="G144" s="17">
        <v>2177942</v>
      </c>
      <c r="H144" s="1">
        <f>1600000+300000</f>
        <v>1900000</v>
      </c>
      <c r="I144" s="1"/>
      <c r="J144" s="1">
        <f t="shared" si="6"/>
        <v>1900000</v>
      </c>
      <c r="K144" s="100"/>
    </row>
    <row r="145" spans="1:11" ht="37.5">
      <c r="A145" s="43"/>
      <c r="B145" s="43"/>
      <c r="C145" s="33"/>
      <c r="D145" s="42" t="s">
        <v>53</v>
      </c>
      <c r="E145" s="17"/>
      <c r="F145" s="37"/>
      <c r="G145" s="17"/>
      <c r="H145" s="1">
        <v>2461510</v>
      </c>
      <c r="I145" s="1"/>
      <c r="J145" s="1">
        <f t="shared" si="6"/>
        <v>2461510</v>
      </c>
      <c r="K145" s="100"/>
    </row>
    <row r="146" spans="1:11" ht="37.5">
      <c r="A146" s="43"/>
      <c r="B146" s="43"/>
      <c r="C146" s="33"/>
      <c r="D146" s="42" t="s">
        <v>128</v>
      </c>
      <c r="E146" s="17"/>
      <c r="F146" s="37"/>
      <c r="G146" s="17"/>
      <c r="H146" s="1">
        <v>250000</v>
      </c>
      <c r="I146" s="1"/>
      <c r="J146" s="1">
        <f t="shared" si="6"/>
        <v>250000</v>
      </c>
      <c r="K146" s="100"/>
    </row>
    <row r="147" spans="1:11" ht="37.5">
      <c r="A147" s="43"/>
      <c r="B147" s="43"/>
      <c r="C147" s="33"/>
      <c r="D147" s="42" t="s">
        <v>54</v>
      </c>
      <c r="E147" s="17"/>
      <c r="F147" s="37"/>
      <c r="G147" s="17"/>
      <c r="H147" s="1">
        <f>2375600+498256</f>
        <v>2873856</v>
      </c>
      <c r="I147" s="1"/>
      <c r="J147" s="1">
        <f t="shared" si="6"/>
        <v>2873856</v>
      </c>
      <c r="K147" s="100"/>
    </row>
    <row r="148" spans="1:11" ht="18.75">
      <c r="A148" s="43"/>
      <c r="B148" s="43"/>
      <c r="C148" s="33"/>
      <c r="D148" s="42" t="s">
        <v>43</v>
      </c>
      <c r="E148" s="17"/>
      <c r="F148" s="37"/>
      <c r="G148" s="17"/>
      <c r="H148" s="1">
        <f>5075+3831675</f>
        <v>3836750</v>
      </c>
      <c r="I148" s="1"/>
      <c r="J148" s="1">
        <f>I148+H148</f>
        <v>3836750</v>
      </c>
      <c r="K148" s="100"/>
    </row>
    <row r="149" spans="1:11" ht="18.75">
      <c r="A149" s="43"/>
      <c r="B149" s="43"/>
      <c r="C149" s="33"/>
      <c r="D149" s="42" t="s">
        <v>197</v>
      </c>
      <c r="E149" s="17"/>
      <c r="F149" s="37"/>
      <c r="G149" s="17"/>
      <c r="H149" s="1">
        <v>110000</v>
      </c>
      <c r="I149" s="1"/>
      <c r="J149" s="1">
        <f>I149+H149</f>
        <v>110000</v>
      </c>
      <c r="K149" s="100"/>
    </row>
    <row r="150" spans="1:11" ht="37.5">
      <c r="A150" s="43"/>
      <c r="B150" s="43"/>
      <c r="C150" s="33"/>
      <c r="D150" s="42" t="s">
        <v>129</v>
      </c>
      <c r="E150" s="17"/>
      <c r="F150" s="37"/>
      <c r="G150" s="17"/>
      <c r="H150" s="1">
        <v>431300</v>
      </c>
      <c r="I150" s="1"/>
      <c r="J150" s="1">
        <f>I150+H150</f>
        <v>431300</v>
      </c>
      <c r="K150" s="100"/>
    </row>
    <row r="151" spans="1:11" ht="37.5">
      <c r="A151" s="43"/>
      <c r="B151" s="43"/>
      <c r="C151" s="33"/>
      <c r="D151" s="42" t="s">
        <v>120</v>
      </c>
      <c r="E151" s="17"/>
      <c r="F151" s="37"/>
      <c r="G151" s="17"/>
      <c r="H151" s="1">
        <v>2000000</v>
      </c>
      <c r="I151" s="1"/>
      <c r="J151" s="1">
        <f>I151+H151</f>
        <v>2000000</v>
      </c>
      <c r="K151" s="100"/>
    </row>
    <row r="152" spans="1:11" ht="18.75">
      <c r="A152" s="43"/>
      <c r="B152" s="43"/>
      <c r="C152" s="33"/>
      <c r="D152" s="42" t="s">
        <v>117</v>
      </c>
      <c r="E152" s="17">
        <v>3536069</v>
      </c>
      <c r="F152" s="37">
        <v>70.3</v>
      </c>
      <c r="G152" s="17">
        <v>2484527</v>
      </c>
      <c r="H152" s="1">
        <f>2400000+160000</f>
        <v>2560000</v>
      </c>
      <c r="I152" s="1"/>
      <c r="J152" s="1">
        <f t="shared" si="6"/>
        <v>2560000</v>
      </c>
      <c r="K152" s="100"/>
    </row>
    <row r="153" spans="1:11" ht="112.5">
      <c r="A153" s="43"/>
      <c r="B153" s="43"/>
      <c r="C153" s="33"/>
      <c r="D153" s="42" t="s">
        <v>167</v>
      </c>
      <c r="E153" s="17"/>
      <c r="F153" s="37"/>
      <c r="G153" s="17"/>
      <c r="H153" s="1">
        <v>1422000</v>
      </c>
      <c r="I153" s="1"/>
      <c r="J153" s="1">
        <f t="shared" si="6"/>
        <v>1422000</v>
      </c>
      <c r="K153" s="100"/>
    </row>
    <row r="154" spans="1:11" ht="168.75">
      <c r="A154" s="43"/>
      <c r="B154" s="43"/>
      <c r="C154" s="33"/>
      <c r="D154" s="42" t="s">
        <v>165</v>
      </c>
      <c r="E154" s="17"/>
      <c r="F154" s="37"/>
      <c r="G154" s="17"/>
      <c r="H154" s="1">
        <v>1400000</v>
      </c>
      <c r="I154" s="1"/>
      <c r="J154" s="1">
        <f t="shared" si="6"/>
        <v>1400000</v>
      </c>
      <c r="K154" s="100"/>
    </row>
    <row r="155" spans="1:11" ht="37.5">
      <c r="A155" s="43"/>
      <c r="B155" s="43"/>
      <c r="C155" s="33"/>
      <c r="D155" s="42" t="s">
        <v>209</v>
      </c>
      <c r="E155" s="17"/>
      <c r="F155" s="37"/>
      <c r="G155" s="17"/>
      <c r="H155" s="1">
        <v>50000</v>
      </c>
      <c r="I155" s="1"/>
      <c r="J155" s="1">
        <f t="shared" si="6"/>
        <v>50000</v>
      </c>
      <c r="K155" s="100">
        <v>48</v>
      </c>
    </row>
    <row r="156" spans="1:11" ht="37.5">
      <c r="A156" s="43"/>
      <c r="B156" s="43"/>
      <c r="C156" s="33"/>
      <c r="D156" s="42" t="s">
        <v>208</v>
      </c>
      <c r="E156" s="17"/>
      <c r="F156" s="37"/>
      <c r="G156" s="17"/>
      <c r="H156" s="1">
        <v>50000</v>
      </c>
      <c r="I156" s="1"/>
      <c r="J156" s="1">
        <f t="shared" si="6"/>
        <v>50000</v>
      </c>
      <c r="K156" s="100"/>
    </row>
    <row r="157" spans="1:11" ht="37.5">
      <c r="A157" s="43"/>
      <c r="B157" s="43"/>
      <c r="C157" s="33"/>
      <c r="D157" s="42" t="s">
        <v>210</v>
      </c>
      <c r="E157" s="17"/>
      <c r="F157" s="37"/>
      <c r="G157" s="17"/>
      <c r="H157" s="1">
        <v>50000</v>
      </c>
      <c r="I157" s="1"/>
      <c r="J157" s="1">
        <f t="shared" si="6"/>
        <v>50000</v>
      </c>
      <c r="K157" s="100"/>
    </row>
    <row r="158" spans="1:11" ht="37.5">
      <c r="A158" s="43"/>
      <c r="B158" s="43"/>
      <c r="C158" s="33"/>
      <c r="D158" s="42" t="s">
        <v>211</v>
      </c>
      <c r="E158" s="17"/>
      <c r="F158" s="37"/>
      <c r="G158" s="17"/>
      <c r="H158" s="1">
        <v>50000</v>
      </c>
      <c r="I158" s="1"/>
      <c r="J158" s="1">
        <f t="shared" si="6"/>
        <v>50000</v>
      </c>
      <c r="K158" s="100"/>
    </row>
    <row r="159" spans="1:11" ht="37.5">
      <c r="A159" s="43"/>
      <c r="B159" s="43"/>
      <c r="C159" s="33"/>
      <c r="D159" s="42" t="s">
        <v>212</v>
      </c>
      <c r="E159" s="17"/>
      <c r="F159" s="37"/>
      <c r="G159" s="17"/>
      <c r="H159" s="1">
        <v>50000</v>
      </c>
      <c r="I159" s="1"/>
      <c r="J159" s="1">
        <f t="shared" si="6"/>
        <v>50000</v>
      </c>
      <c r="K159" s="100"/>
    </row>
    <row r="160" spans="1:11" ht="37.5">
      <c r="A160" s="43"/>
      <c r="B160" s="43"/>
      <c r="C160" s="33"/>
      <c r="D160" s="42" t="s">
        <v>213</v>
      </c>
      <c r="E160" s="17"/>
      <c r="F160" s="37"/>
      <c r="G160" s="17"/>
      <c r="H160" s="1">
        <v>50000</v>
      </c>
      <c r="I160" s="1"/>
      <c r="J160" s="1">
        <f t="shared" si="6"/>
        <v>50000</v>
      </c>
      <c r="K160" s="100"/>
    </row>
    <row r="161" spans="1:11" ht="37.5">
      <c r="A161" s="43"/>
      <c r="B161" s="43"/>
      <c r="C161" s="33"/>
      <c r="D161" s="42" t="s">
        <v>227</v>
      </c>
      <c r="E161" s="17"/>
      <c r="F161" s="37"/>
      <c r="G161" s="17"/>
      <c r="H161" s="1">
        <v>50000</v>
      </c>
      <c r="I161" s="1"/>
      <c r="J161" s="1">
        <f t="shared" si="6"/>
        <v>50000</v>
      </c>
      <c r="K161" s="100"/>
    </row>
    <row r="162" spans="1:11" ht="37.5">
      <c r="A162" s="43"/>
      <c r="B162" s="43"/>
      <c r="C162" s="33"/>
      <c r="D162" s="42" t="s">
        <v>59</v>
      </c>
      <c r="E162" s="17"/>
      <c r="F162" s="37"/>
      <c r="G162" s="17"/>
      <c r="H162" s="1">
        <f>1000000+2000000-2000000-980000</f>
        <v>20000</v>
      </c>
      <c r="I162" s="1"/>
      <c r="J162" s="1">
        <f t="shared" si="6"/>
        <v>20000</v>
      </c>
      <c r="K162" s="100"/>
    </row>
    <row r="163" spans="1:11" ht="37.5">
      <c r="A163" s="43"/>
      <c r="B163" s="43"/>
      <c r="C163" s="42"/>
      <c r="D163" s="42" t="s">
        <v>148</v>
      </c>
      <c r="E163" s="17"/>
      <c r="F163" s="37"/>
      <c r="G163" s="17"/>
      <c r="H163" s="1">
        <v>1200000</v>
      </c>
      <c r="I163" s="1"/>
      <c r="J163" s="1">
        <f t="shared" si="6"/>
        <v>1200000</v>
      </c>
      <c r="K163" s="100"/>
    </row>
    <row r="164" spans="1:11" ht="37.5">
      <c r="A164" s="43"/>
      <c r="B164" s="43"/>
      <c r="C164" s="33"/>
      <c r="D164" s="42" t="s">
        <v>52</v>
      </c>
      <c r="E164" s="17"/>
      <c r="F164" s="37"/>
      <c r="G164" s="17"/>
      <c r="H164" s="1">
        <f>80000+300000+300000</f>
        <v>680000</v>
      </c>
      <c r="I164" s="1"/>
      <c r="J164" s="1">
        <f>I164+H164</f>
        <v>680000</v>
      </c>
      <c r="K164" s="100"/>
    </row>
    <row r="165" spans="1:11" ht="37.5">
      <c r="A165" s="43"/>
      <c r="B165" s="43"/>
      <c r="C165" s="33"/>
      <c r="D165" s="42" t="s">
        <v>183</v>
      </c>
      <c r="E165" s="17"/>
      <c r="F165" s="37"/>
      <c r="G165" s="17"/>
      <c r="H165" s="1">
        <f>300000+300000</f>
        <v>600000</v>
      </c>
      <c r="I165" s="1"/>
      <c r="J165" s="1">
        <f>I165+H165</f>
        <v>600000</v>
      </c>
      <c r="K165" s="100"/>
    </row>
    <row r="166" spans="1:11" ht="18.75">
      <c r="A166" s="43"/>
      <c r="B166" s="43"/>
      <c r="C166" s="33"/>
      <c r="D166" s="42" t="s">
        <v>61</v>
      </c>
      <c r="E166" s="17"/>
      <c r="F166" s="37"/>
      <c r="G166" s="17"/>
      <c r="H166" s="1">
        <f>1000000+2000000+2000000</f>
        <v>5000000</v>
      </c>
      <c r="I166" s="1"/>
      <c r="J166" s="1">
        <f t="shared" si="6"/>
        <v>5000000</v>
      </c>
      <c r="K166" s="100"/>
    </row>
    <row r="167" spans="1:11" ht="37.5">
      <c r="A167" s="43"/>
      <c r="B167" s="43"/>
      <c r="C167" s="33"/>
      <c r="D167" s="42" t="s">
        <v>141</v>
      </c>
      <c r="E167" s="17"/>
      <c r="F167" s="37"/>
      <c r="G167" s="17"/>
      <c r="H167" s="1">
        <v>100000</v>
      </c>
      <c r="I167" s="1"/>
      <c r="J167" s="1">
        <f t="shared" si="6"/>
        <v>100000</v>
      </c>
      <c r="K167" s="100"/>
    </row>
    <row r="168" spans="1:11" ht="37.5">
      <c r="A168" s="43"/>
      <c r="B168" s="43"/>
      <c r="C168" s="33"/>
      <c r="D168" s="42" t="s">
        <v>184</v>
      </c>
      <c r="E168" s="17"/>
      <c r="F168" s="37"/>
      <c r="G168" s="17"/>
      <c r="H168" s="1">
        <v>450000</v>
      </c>
      <c r="I168" s="1">
        <v>1500000</v>
      </c>
      <c r="J168" s="1">
        <f t="shared" si="6"/>
        <v>1950000</v>
      </c>
      <c r="K168" s="100"/>
    </row>
    <row r="169" spans="1:11" ht="37.5">
      <c r="A169" s="43"/>
      <c r="B169" s="43"/>
      <c r="C169" s="33"/>
      <c r="D169" s="42" t="s">
        <v>185</v>
      </c>
      <c r="E169" s="17"/>
      <c r="F169" s="37"/>
      <c r="G169" s="17"/>
      <c r="H169" s="1">
        <v>450000</v>
      </c>
      <c r="I169" s="1">
        <v>500000</v>
      </c>
      <c r="J169" s="1">
        <f t="shared" si="6"/>
        <v>950000</v>
      </c>
      <c r="K169" s="100"/>
    </row>
    <row r="170" spans="1:11" ht="56.25">
      <c r="A170" s="43"/>
      <c r="B170" s="43"/>
      <c r="C170" s="33"/>
      <c r="D170" s="42" t="s">
        <v>181</v>
      </c>
      <c r="E170" s="17"/>
      <c r="F170" s="37"/>
      <c r="G170" s="17"/>
      <c r="H170" s="1">
        <f>7365000-1010000</f>
        <v>6355000</v>
      </c>
      <c r="I170" s="1"/>
      <c r="J170" s="1">
        <f t="shared" si="6"/>
        <v>6355000</v>
      </c>
      <c r="K170" s="100"/>
    </row>
    <row r="171" spans="1:11" ht="56.25">
      <c r="A171" s="43"/>
      <c r="B171" s="43"/>
      <c r="C171" s="33"/>
      <c r="D171" s="42" t="s">
        <v>218</v>
      </c>
      <c r="E171" s="17"/>
      <c r="F171" s="37"/>
      <c r="G171" s="17"/>
      <c r="H171" s="1">
        <v>250000</v>
      </c>
      <c r="I171" s="1"/>
      <c r="J171" s="1">
        <f t="shared" si="6"/>
        <v>250000</v>
      </c>
      <c r="K171" s="100"/>
    </row>
    <row r="172" spans="1:11" ht="56.25">
      <c r="A172" s="43"/>
      <c r="B172" s="43"/>
      <c r="C172" s="33"/>
      <c r="D172" s="42" t="s">
        <v>253</v>
      </c>
      <c r="E172" s="17"/>
      <c r="F172" s="37"/>
      <c r="G172" s="17"/>
      <c r="H172" s="1"/>
      <c r="I172" s="1">
        <v>1000</v>
      </c>
      <c r="J172" s="1">
        <f t="shared" si="6"/>
        <v>1000</v>
      </c>
      <c r="K172" s="100"/>
    </row>
    <row r="173" spans="1:11" ht="56.25">
      <c r="A173" s="43"/>
      <c r="B173" s="43"/>
      <c r="C173" s="33"/>
      <c r="D173" s="42" t="s">
        <v>254</v>
      </c>
      <c r="E173" s="17"/>
      <c r="F173" s="37"/>
      <c r="G173" s="17"/>
      <c r="H173" s="1"/>
      <c r="I173" s="1">
        <v>1000</v>
      </c>
      <c r="J173" s="1">
        <f t="shared" si="6"/>
        <v>1000</v>
      </c>
      <c r="K173" s="100"/>
    </row>
    <row r="174" spans="1:11" ht="56.25">
      <c r="A174" s="43"/>
      <c r="B174" s="43"/>
      <c r="C174" s="33"/>
      <c r="D174" s="42" t="s">
        <v>255</v>
      </c>
      <c r="E174" s="17"/>
      <c r="F174" s="37"/>
      <c r="G174" s="17"/>
      <c r="H174" s="1"/>
      <c r="I174" s="1">
        <v>1000</v>
      </c>
      <c r="J174" s="1">
        <f t="shared" si="6"/>
        <v>1000</v>
      </c>
      <c r="K174" s="100"/>
    </row>
    <row r="175" spans="1:11" ht="75">
      <c r="A175" s="43"/>
      <c r="B175" s="43"/>
      <c r="C175" s="33"/>
      <c r="D175" s="42" t="s">
        <v>122</v>
      </c>
      <c r="E175" s="17"/>
      <c r="F175" s="37"/>
      <c r="G175" s="17"/>
      <c r="H175" s="1">
        <f>11000000+10000000</f>
        <v>21000000</v>
      </c>
      <c r="I175" s="1"/>
      <c r="J175" s="1">
        <f aca="true" t="shared" si="7" ref="J175:J189">I175+H175</f>
        <v>21000000</v>
      </c>
      <c r="K175" s="100"/>
    </row>
    <row r="176" spans="1:11" ht="56.25">
      <c r="A176" s="43"/>
      <c r="B176" s="43"/>
      <c r="C176" s="33"/>
      <c r="D176" s="42" t="s">
        <v>187</v>
      </c>
      <c r="E176" s="17"/>
      <c r="F176" s="37"/>
      <c r="G176" s="17"/>
      <c r="H176" s="1">
        <v>1210370</v>
      </c>
      <c r="I176" s="1"/>
      <c r="J176" s="1">
        <f t="shared" si="7"/>
        <v>1210370</v>
      </c>
      <c r="K176" s="100"/>
    </row>
    <row r="177" spans="1:11" ht="37.5">
      <c r="A177" s="43"/>
      <c r="B177" s="43"/>
      <c r="C177" s="33"/>
      <c r="D177" s="42" t="s">
        <v>55</v>
      </c>
      <c r="E177" s="17">
        <v>250015</v>
      </c>
      <c r="F177" s="37">
        <v>60</v>
      </c>
      <c r="G177" s="17">
        <v>150015</v>
      </c>
      <c r="H177" s="1">
        <v>150000</v>
      </c>
      <c r="I177" s="1"/>
      <c r="J177" s="1">
        <f t="shared" si="7"/>
        <v>150000</v>
      </c>
      <c r="K177" s="100"/>
    </row>
    <row r="178" spans="1:11" ht="37.5">
      <c r="A178" s="43"/>
      <c r="B178" s="43"/>
      <c r="C178" s="33"/>
      <c r="D178" s="42" t="s">
        <v>56</v>
      </c>
      <c r="E178" s="17">
        <v>4291979</v>
      </c>
      <c r="F178" s="37">
        <v>53.7</v>
      </c>
      <c r="G178" s="17">
        <v>2304238</v>
      </c>
      <c r="H178" s="1">
        <v>2000000</v>
      </c>
      <c r="I178" s="1"/>
      <c r="J178" s="1">
        <f t="shared" si="7"/>
        <v>2000000</v>
      </c>
      <c r="K178" s="100">
        <v>49</v>
      </c>
    </row>
    <row r="179" spans="1:11" ht="112.5">
      <c r="A179" s="43"/>
      <c r="B179" s="43"/>
      <c r="C179" s="33"/>
      <c r="D179" s="42" t="s">
        <v>140</v>
      </c>
      <c r="E179" s="17"/>
      <c r="F179" s="37"/>
      <c r="G179" s="17"/>
      <c r="H179" s="1">
        <v>4200000</v>
      </c>
      <c r="I179" s="1">
        <v>2700000</v>
      </c>
      <c r="J179" s="1">
        <f t="shared" si="7"/>
        <v>6900000</v>
      </c>
      <c r="K179" s="100"/>
    </row>
    <row r="180" spans="1:11" ht="56.25">
      <c r="A180" s="43"/>
      <c r="B180" s="43"/>
      <c r="C180" s="33"/>
      <c r="D180" s="42" t="s">
        <v>60</v>
      </c>
      <c r="E180" s="17">
        <v>1199810</v>
      </c>
      <c r="F180" s="37">
        <v>49.2</v>
      </c>
      <c r="G180" s="17">
        <v>589810</v>
      </c>
      <c r="H180" s="1">
        <v>580000</v>
      </c>
      <c r="I180" s="1"/>
      <c r="J180" s="1">
        <f t="shared" si="7"/>
        <v>580000</v>
      </c>
      <c r="K180" s="100"/>
    </row>
    <row r="181" spans="1:11" ht="56.25">
      <c r="A181" s="43"/>
      <c r="B181" s="43"/>
      <c r="C181" s="33"/>
      <c r="D181" s="42" t="s">
        <v>150</v>
      </c>
      <c r="E181" s="17"/>
      <c r="F181" s="37"/>
      <c r="G181" s="17"/>
      <c r="H181" s="1">
        <f>1000000-120000</f>
        <v>880000</v>
      </c>
      <c r="I181" s="1"/>
      <c r="J181" s="1">
        <f t="shared" si="7"/>
        <v>880000</v>
      </c>
      <c r="K181" s="100"/>
    </row>
    <row r="182" spans="1:11" ht="37.5">
      <c r="A182" s="43"/>
      <c r="B182" s="43"/>
      <c r="C182" s="33"/>
      <c r="D182" s="42" t="s">
        <v>139</v>
      </c>
      <c r="E182" s="17"/>
      <c r="F182" s="37"/>
      <c r="G182" s="17"/>
      <c r="H182" s="1">
        <v>200000</v>
      </c>
      <c r="I182" s="1"/>
      <c r="J182" s="1">
        <f t="shared" si="7"/>
        <v>200000</v>
      </c>
      <c r="K182" s="100"/>
    </row>
    <row r="183" spans="1:11" ht="56.25">
      <c r="A183" s="43"/>
      <c r="B183" s="43"/>
      <c r="C183" s="33"/>
      <c r="D183" s="42" t="s">
        <v>119</v>
      </c>
      <c r="E183" s="17"/>
      <c r="F183" s="37"/>
      <c r="G183" s="17"/>
      <c r="H183" s="1">
        <f>950000-320000</f>
        <v>630000</v>
      </c>
      <c r="I183" s="1"/>
      <c r="J183" s="1">
        <f t="shared" si="7"/>
        <v>630000</v>
      </c>
      <c r="K183" s="100"/>
    </row>
    <row r="184" spans="1:11" ht="75">
      <c r="A184" s="43"/>
      <c r="B184" s="43"/>
      <c r="C184" s="33"/>
      <c r="D184" s="42" t="s">
        <v>66</v>
      </c>
      <c r="E184" s="17"/>
      <c r="F184" s="37"/>
      <c r="G184" s="17"/>
      <c r="H184" s="1">
        <f>500000-100000</f>
        <v>400000</v>
      </c>
      <c r="I184" s="1"/>
      <c r="J184" s="1">
        <f t="shared" si="7"/>
        <v>400000</v>
      </c>
      <c r="K184" s="100"/>
    </row>
    <row r="185" spans="1:11" ht="75">
      <c r="A185" s="43"/>
      <c r="B185" s="43"/>
      <c r="C185" s="33"/>
      <c r="D185" s="42" t="s">
        <v>67</v>
      </c>
      <c r="E185" s="17"/>
      <c r="F185" s="37"/>
      <c r="G185" s="17"/>
      <c r="H185" s="1">
        <v>500000</v>
      </c>
      <c r="I185" s="1">
        <v>-500000</v>
      </c>
      <c r="J185" s="1">
        <f t="shared" si="7"/>
        <v>0</v>
      </c>
      <c r="K185" s="100"/>
    </row>
    <row r="186" spans="1:11" ht="112.5">
      <c r="A186" s="43"/>
      <c r="B186" s="43"/>
      <c r="C186" s="33"/>
      <c r="D186" s="42" t="s">
        <v>175</v>
      </c>
      <c r="E186" s="17"/>
      <c r="F186" s="37"/>
      <c r="G186" s="17"/>
      <c r="H186" s="1">
        <v>50000</v>
      </c>
      <c r="I186" s="1"/>
      <c r="J186" s="1">
        <f t="shared" si="7"/>
        <v>50000</v>
      </c>
      <c r="K186" s="100"/>
    </row>
    <row r="187" spans="1:11" ht="56.25">
      <c r="A187" s="43"/>
      <c r="B187" s="43"/>
      <c r="C187" s="33"/>
      <c r="D187" s="42" t="s">
        <v>189</v>
      </c>
      <c r="E187" s="17"/>
      <c r="F187" s="37"/>
      <c r="G187" s="17"/>
      <c r="H187" s="1">
        <v>750000</v>
      </c>
      <c r="I187" s="1"/>
      <c r="J187" s="1">
        <f t="shared" si="7"/>
        <v>750000</v>
      </c>
      <c r="K187" s="100"/>
    </row>
    <row r="188" spans="1:11" ht="18.75">
      <c r="A188" s="43"/>
      <c r="B188" s="43"/>
      <c r="C188" s="33"/>
      <c r="D188" s="42" t="s">
        <v>151</v>
      </c>
      <c r="E188" s="17"/>
      <c r="F188" s="37"/>
      <c r="G188" s="17"/>
      <c r="H188" s="1">
        <v>4400000</v>
      </c>
      <c r="I188" s="1">
        <v>-2000000</v>
      </c>
      <c r="J188" s="1">
        <f t="shared" si="7"/>
        <v>2400000</v>
      </c>
      <c r="K188" s="100"/>
    </row>
    <row r="189" spans="1:11" ht="18.75">
      <c r="A189" s="43"/>
      <c r="B189" s="43"/>
      <c r="C189" s="33"/>
      <c r="D189" s="42" t="s">
        <v>68</v>
      </c>
      <c r="E189" s="17">
        <v>6201766</v>
      </c>
      <c r="F189" s="37">
        <v>48.4</v>
      </c>
      <c r="G189" s="17">
        <v>3001766</v>
      </c>
      <c r="H189" s="1">
        <f>3000000-1000000+0.94</f>
        <v>2000000.94</v>
      </c>
      <c r="I189" s="1"/>
      <c r="J189" s="1">
        <f t="shared" si="7"/>
        <v>2000000.94</v>
      </c>
      <c r="K189" s="100"/>
    </row>
    <row r="190" spans="1:11" ht="37.5">
      <c r="A190" s="43"/>
      <c r="B190" s="43"/>
      <c r="C190" s="33"/>
      <c r="D190" s="42" t="s">
        <v>35</v>
      </c>
      <c r="E190" s="17">
        <v>4276667</v>
      </c>
      <c r="F190" s="37">
        <v>75.4</v>
      </c>
      <c r="G190" s="17">
        <v>3225583</v>
      </c>
      <c r="H190" s="1">
        <v>3200000</v>
      </c>
      <c r="I190" s="1"/>
      <c r="J190" s="1">
        <f aca="true" t="shared" si="8" ref="J190:J211">I190+H190</f>
        <v>3200000</v>
      </c>
      <c r="K190" s="100"/>
    </row>
    <row r="191" spans="1:11" ht="56.25">
      <c r="A191" s="43"/>
      <c r="B191" s="43"/>
      <c r="C191" s="33"/>
      <c r="D191" s="42" t="s">
        <v>142</v>
      </c>
      <c r="E191" s="17">
        <v>3442904</v>
      </c>
      <c r="F191" s="37">
        <v>98.3</v>
      </c>
      <c r="G191" s="17">
        <v>3382909</v>
      </c>
      <c r="H191" s="1">
        <v>1000000</v>
      </c>
      <c r="I191" s="1">
        <v>2636000</v>
      </c>
      <c r="J191" s="1">
        <f t="shared" si="8"/>
        <v>3636000</v>
      </c>
      <c r="K191" s="100"/>
    </row>
    <row r="192" spans="1:11" ht="18.75">
      <c r="A192" s="43"/>
      <c r="B192" s="43"/>
      <c r="C192" s="33"/>
      <c r="D192" s="42" t="s">
        <v>144</v>
      </c>
      <c r="E192" s="17">
        <v>25831121</v>
      </c>
      <c r="F192" s="37"/>
      <c r="G192" s="17">
        <v>25831121</v>
      </c>
      <c r="H192" s="1">
        <f>1000000+1000000-1500000</f>
        <v>500000</v>
      </c>
      <c r="I192" s="1"/>
      <c r="J192" s="1">
        <f t="shared" si="8"/>
        <v>500000</v>
      </c>
      <c r="K192" s="100"/>
    </row>
    <row r="193" spans="1:11" ht="37.5">
      <c r="A193" s="43"/>
      <c r="B193" s="43"/>
      <c r="C193" s="33"/>
      <c r="D193" s="42" t="s">
        <v>143</v>
      </c>
      <c r="E193" s="17"/>
      <c r="F193" s="37"/>
      <c r="G193" s="17"/>
      <c r="H193" s="1">
        <v>1000000</v>
      </c>
      <c r="I193" s="1"/>
      <c r="J193" s="1">
        <f t="shared" si="8"/>
        <v>1000000</v>
      </c>
      <c r="K193" s="100"/>
    </row>
    <row r="194" spans="1:11" ht="37.5">
      <c r="A194" s="43"/>
      <c r="B194" s="43"/>
      <c r="C194" s="33"/>
      <c r="D194" s="42" t="s">
        <v>149</v>
      </c>
      <c r="E194" s="17"/>
      <c r="F194" s="37"/>
      <c r="G194" s="17"/>
      <c r="H194" s="1">
        <f>1000000+500000</f>
        <v>1500000</v>
      </c>
      <c r="I194" s="1"/>
      <c r="J194" s="1">
        <f t="shared" si="8"/>
        <v>1500000</v>
      </c>
      <c r="K194" s="100"/>
    </row>
    <row r="195" spans="1:11" ht="56.25">
      <c r="A195" s="43"/>
      <c r="B195" s="43"/>
      <c r="C195" s="33"/>
      <c r="D195" s="42" t="s">
        <v>118</v>
      </c>
      <c r="E195" s="17">
        <v>2997994</v>
      </c>
      <c r="F195" s="37">
        <v>99.2</v>
      </c>
      <c r="G195" s="17">
        <v>2977690</v>
      </c>
      <c r="H195" s="1">
        <v>1900000</v>
      </c>
      <c r="I195" s="1"/>
      <c r="J195" s="1">
        <f t="shared" si="8"/>
        <v>1900000</v>
      </c>
      <c r="K195" s="100"/>
    </row>
    <row r="196" spans="1:11" ht="37.5">
      <c r="A196" s="43"/>
      <c r="B196" s="43"/>
      <c r="C196" s="33"/>
      <c r="D196" s="42" t="s">
        <v>57</v>
      </c>
      <c r="E196" s="17"/>
      <c r="F196" s="37"/>
      <c r="G196" s="17"/>
      <c r="H196" s="1">
        <v>100000</v>
      </c>
      <c r="I196" s="1"/>
      <c r="J196" s="1">
        <f t="shared" si="8"/>
        <v>100000</v>
      </c>
      <c r="K196" s="100"/>
    </row>
    <row r="197" spans="1:11" ht="56.25">
      <c r="A197" s="43"/>
      <c r="B197" s="43"/>
      <c r="C197" s="33"/>
      <c r="D197" s="42" t="s">
        <v>145</v>
      </c>
      <c r="E197" s="17"/>
      <c r="F197" s="37"/>
      <c r="G197" s="17"/>
      <c r="H197" s="1">
        <f>200000+250000+500000</f>
        <v>950000</v>
      </c>
      <c r="I197" s="1"/>
      <c r="J197" s="1">
        <f t="shared" si="8"/>
        <v>950000</v>
      </c>
      <c r="K197" s="100">
        <v>50</v>
      </c>
    </row>
    <row r="198" spans="1:11" ht="37.5">
      <c r="A198" s="43"/>
      <c r="B198" s="43"/>
      <c r="C198" s="33"/>
      <c r="D198" s="42" t="s">
        <v>130</v>
      </c>
      <c r="E198" s="17"/>
      <c r="F198" s="37"/>
      <c r="G198" s="17"/>
      <c r="H198" s="1">
        <f>150000-45000</f>
        <v>105000</v>
      </c>
      <c r="I198" s="1"/>
      <c r="J198" s="1">
        <f t="shared" si="8"/>
        <v>105000</v>
      </c>
      <c r="K198" s="100"/>
    </row>
    <row r="199" spans="1:11" ht="37.5">
      <c r="A199" s="43"/>
      <c r="B199" s="43"/>
      <c r="C199" s="33"/>
      <c r="D199" s="42" t="s">
        <v>58</v>
      </c>
      <c r="E199" s="17"/>
      <c r="F199" s="37"/>
      <c r="G199" s="17"/>
      <c r="H199" s="1">
        <v>150000</v>
      </c>
      <c r="I199" s="1"/>
      <c r="J199" s="1">
        <f t="shared" si="8"/>
        <v>150000</v>
      </c>
      <c r="K199" s="100"/>
    </row>
    <row r="200" spans="1:11" ht="37.5">
      <c r="A200" s="43"/>
      <c r="B200" s="43"/>
      <c r="C200" s="33"/>
      <c r="D200" s="42" t="s">
        <v>174</v>
      </c>
      <c r="E200" s="17"/>
      <c r="F200" s="37"/>
      <c r="G200" s="17"/>
      <c r="H200" s="1">
        <v>50000</v>
      </c>
      <c r="I200" s="1"/>
      <c r="J200" s="1">
        <f t="shared" si="8"/>
        <v>50000</v>
      </c>
      <c r="K200" s="100"/>
    </row>
    <row r="201" spans="1:11" ht="37.5">
      <c r="A201" s="43"/>
      <c r="B201" s="43"/>
      <c r="C201" s="33"/>
      <c r="D201" s="42" t="s">
        <v>173</v>
      </c>
      <c r="E201" s="17"/>
      <c r="F201" s="37"/>
      <c r="G201" s="17"/>
      <c r="H201" s="1">
        <f>981000+350000</f>
        <v>1331000</v>
      </c>
      <c r="I201" s="1"/>
      <c r="J201" s="1">
        <f t="shared" si="8"/>
        <v>1331000</v>
      </c>
      <c r="K201" s="100"/>
    </row>
    <row r="202" spans="1:11" ht="37.5">
      <c r="A202" s="43"/>
      <c r="B202" s="43"/>
      <c r="C202" s="33"/>
      <c r="D202" s="42" t="s">
        <v>194</v>
      </c>
      <c r="E202" s="17"/>
      <c r="F202" s="37"/>
      <c r="G202" s="17"/>
      <c r="H202" s="1">
        <f>200000+500000+520000</f>
        <v>1220000</v>
      </c>
      <c r="I202" s="1"/>
      <c r="J202" s="1">
        <f t="shared" si="8"/>
        <v>1220000</v>
      </c>
      <c r="K202" s="100"/>
    </row>
    <row r="203" spans="1:11" ht="56.25">
      <c r="A203" s="43"/>
      <c r="B203" s="43"/>
      <c r="C203" s="33"/>
      <c r="D203" s="42" t="s">
        <v>172</v>
      </c>
      <c r="E203" s="17"/>
      <c r="F203" s="37"/>
      <c r="G203" s="17"/>
      <c r="H203" s="1">
        <v>530000</v>
      </c>
      <c r="I203" s="1"/>
      <c r="J203" s="1">
        <f t="shared" si="8"/>
        <v>530000</v>
      </c>
      <c r="K203" s="100"/>
    </row>
    <row r="204" spans="1:11" ht="56.25">
      <c r="A204" s="43"/>
      <c r="B204" s="43"/>
      <c r="C204" s="33"/>
      <c r="D204" s="42" t="s">
        <v>188</v>
      </c>
      <c r="E204" s="17"/>
      <c r="F204" s="37"/>
      <c r="G204" s="17"/>
      <c r="H204" s="1">
        <f>500000+69000</f>
        <v>569000</v>
      </c>
      <c r="I204" s="1"/>
      <c r="J204" s="1">
        <f t="shared" si="8"/>
        <v>569000</v>
      </c>
      <c r="K204" s="100"/>
    </row>
    <row r="205" spans="1:11" ht="56.25">
      <c r="A205" s="43"/>
      <c r="B205" s="43"/>
      <c r="C205" s="33"/>
      <c r="D205" s="42" t="s">
        <v>226</v>
      </c>
      <c r="E205" s="17"/>
      <c r="F205" s="37"/>
      <c r="G205" s="17"/>
      <c r="H205" s="1">
        <v>100000</v>
      </c>
      <c r="I205" s="1"/>
      <c r="J205" s="1">
        <f t="shared" si="8"/>
        <v>100000</v>
      </c>
      <c r="K205" s="100"/>
    </row>
    <row r="206" spans="1:11" ht="56.25">
      <c r="A206" s="43"/>
      <c r="B206" s="43"/>
      <c r="C206" s="33"/>
      <c r="D206" s="42" t="s">
        <v>176</v>
      </c>
      <c r="E206" s="17"/>
      <c r="F206" s="37"/>
      <c r="G206" s="17"/>
      <c r="H206" s="1">
        <v>40000</v>
      </c>
      <c r="I206" s="1"/>
      <c r="J206" s="1">
        <f t="shared" si="8"/>
        <v>40000</v>
      </c>
      <c r="K206" s="100"/>
    </row>
    <row r="207" spans="1:11" ht="18.75">
      <c r="A207" s="43"/>
      <c r="B207" s="43"/>
      <c r="C207" s="33"/>
      <c r="D207" s="42"/>
      <c r="E207" s="17"/>
      <c r="F207" s="37"/>
      <c r="G207" s="17"/>
      <c r="H207" s="1"/>
      <c r="I207" s="1"/>
      <c r="J207" s="1"/>
      <c r="K207" s="100"/>
    </row>
    <row r="208" spans="1:11" ht="168.75">
      <c r="A208" s="43"/>
      <c r="B208" s="43"/>
      <c r="C208" s="33"/>
      <c r="D208" s="42" t="s">
        <v>249</v>
      </c>
      <c r="E208" s="17"/>
      <c r="F208" s="37"/>
      <c r="G208" s="17"/>
      <c r="H208" s="1"/>
      <c r="I208" s="1">
        <v>40000</v>
      </c>
      <c r="J208" s="1">
        <f t="shared" si="8"/>
        <v>40000</v>
      </c>
      <c r="K208" s="100"/>
    </row>
    <row r="209" spans="1:11" ht="56.25">
      <c r="A209" s="43"/>
      <c r="B209" s="43"/>
      <c r="C209" s="33"/>
      <c r="D209" s="42" t="s">
        <v>216</v>
      </c>
      <c r="E209" s="17"/>
      <c r="F209" s="37"/>
      <c r="G209" s="17"/>
      <c r="H209" s="1">
        <v>11500</v>
      </c>
      <c r="I209" s="1"/>
      <c r="J209" s="1">
        <f t="shared" si="8"/>
        <v>11500</v>
      </c>
      <c r="K209" s="100"/>
    </row>
    <row r="210" spans="1:11" ht="56.25">
      <c r="A210" s="13">
        <v>150201</v>
      </c>
      <c r="B210" s="21" t="s">
        <v>82</v>
      </c>
      <c r="C210" s="16" t="s">
        <v>200</v>
      </c>
      <c r="D210" s="42" t="s">
        <v>201</v>
      </c>
      <c r="E210" s="17"/>
      <c r="F210" s="37"/>
      <c r="G210" s="17"/>
      <c r="H210" s="1">
        <v>200000</v>
      </c>
      <c r="I210" s="1"/>
      <c r="J210" s="1">
        <v>200000</v>
      </c>
      <c r="K210" s="100"/>
    </row>
    <row r="211" spans="1:11" ht="93.75">
      <c r="A211" s="13">
        <v>180409</v>
      </c>
      <c r="B211" s="21" t="s">
        <v>84</v>
      </c>
      <c r="C211" s="16" t="s">
        <v>29</v>
      </c>
      <c r="D211" s="42" t="s">
        <v>162</v>
      </c>
      <c r="E211" s="17"/>
      <c r="F211" s="37"/>
      <c r="G211" s="17"/>
      <c r="H211" s="1">
        <v>12000000</v>
      </c>
      <c r="I211" s="1"/>
      <c r="J211" s="1">
        <f t="shared" si="8"/>
        <v>12000000</v>
      </c>
      <c r="K211" s="100"/>
    </row>
    <row r="212" spans="1:155" s="24" customFormat="1" ht="58.5">
      <c r="A212" s="14"/>
      <c r="B212" s="14"/>
      <c r="C212" s="51" t="s">
        <v>108</v>
      </c>
      <c r="D212" s="39"/>
      <c r="E212" s="36"/>
      <c r="F212" s="47"/>
      <c r="G212" s="36"/>
      <c r="H212" s="18">
        <f>H213+H214</f>
        <v>37000</v>
      </c>
      <c r="I212" s="18">
        <f>I213+I214</f>
        <v>0</v>
      </c>
      <c r="J212" s="18">
        <f>J213+J214</f>
        <v>37000</v>
      </c>
      <c r="K212" s="10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29"/>
    </row>
    <row r="213" spans="1:155" s="24" customFormat="1" ht="18.75">
      <c r="A213" s="21" t="s">
        <v>9</v>
      </c>
      <c r="B213" s="21" t="s">
        <v>81</v>
      </c>
      <c r="C213" s="16" t="s">
        <v>10</v>
      </c>
      <c r="D213" s="22" t="s">
        <v>11</v>
      </c>
      <c r="E213" s="17"/>
      <c r="F213" s="37"/>
      <c r="G213" s="17"/>
      <c r="H213" s="1">
        <f>250000-220000</f>
        <v>30000</v>
      </c>
      <c r="I213" s="25"/>
      <c r="J213" s="1">
        <f>I213+H213</f>
        <v>30000</v>
      </c>
      <c r="K213" s="10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29"/>
    </row>
    <row r="214" spans="1:11" s="19" customFormat="1" ht="18.75">
      <c r="A214" s="21" t="s">
        <v>22</v>
      </c>
      <c r="B214" s="21" t="s">
        <v>101</v>
      </c>
      <c r="C214" s="16" t="s">
        <v>40</v>
      </c>
      <c r="D214" s="22" t="s">
        <v>11</v>
      </c>
      <c r="E214" s="17"/>
      <c r="F214" s="37"/>
      <c r="G214" s="17"/>
      <c r="H214" s="1">
        <f>148000-141000</f>
        <v>7000</v>
      </c>
      <c r="I214" s="25"/>
      <c r="J214" s="1">
        <f>I214+H214</f>
        <v>7000</v>
      </c>
      <c r="K214" s="100"/>
    </row>
    <row r="215" spans="1:155" s="24" customFormat="1" ht="58.5">
      <c r="A215" s="14"/>
      <c r="B215" s="14"/>
      <c r="C215" s="51" t="s">
        <v>204</v>
      </c>
      <c r="D215" s="39"/>
      <c r="E215" s="36"/>
      <c r="F215" s="47"/>
      <c r="G215" s="36"/>
      <c r="H215" s="18">
        <f>H217+H216</f>
        <v>138500</v>
      </c>
      <c r="I215" s="18">
        <f>I217+I216</f>
        <v>0</v>
      </c>
      <c r="J215" s="18">
        <f>J217+J216</f>
        <v>138500</v>
      </c>
      <c r="K215" s="104">
        <v>51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29"/>
    </row>
    <row r="216" spans="1:11" s="19" customFormat="1" ht="93.75">
      <c r="A216" s="21" t="s">
        <v>195</v>
      </c>
      <c r="B216" s="21" t="s">
        <v>84</v>
      </c>
      <c r="C216" s="16" t="s">
        <v>29</v>
      </c>
      <c r="D216" s="16" t="s">
        <v>199</v>
      </c>
      <c r="E216" s="17"/>
      <c r="F216" s="37"/>
      <c r="G216" s="17"/>
      <c r="H216" s="1">
        <v>39000</v>
      </c>
      <c r="I216" s="1"/>
      <c r="J216" s="1">
        <f>I216+H216</f>
        <v>39000</v>
      </c>
      <c r="K216" s="104"/>
    </row>
    <row r="217" spans="1:11" s="19" customFormat="1" ht="18.75">
      <c r="A217" s="21" t="s">
        <v>193</v>
      </c>
      <c r="B217" s="21" t="s">
        <v>102</v>
      </c>
      <c r="C217" s="22" t="s">
        <v>20</v>
      </c>
      <c r="D217" s="22" t="s">
        <v>11</v>
      </c>
      <c r="E217" s="17"/>
      <c r="F217" s="37"/>
      <c r="G217" s="17"/>
      <c r="H217" s="1">
        <v>99500</v>
      </c>
      <c r="I217" s="1"/>
      <c r="J217" s="1">
        <f>I217+H217</f>
        <v>99500</v>
      </c>
      <c r="K217" s="104"/>
    </row>
    <row r="218" spans="1:11" s="52" customFormat="1" ht="58.5">
      <c r="A218" s="14"/>
      <c r="B218" s="14"/>
      <c r="C218" s="15" t="s">
        <v>109</v>
      </c>
      <c r="D218" s="39"/>
      <c r="E218" s="36"/>
      <c r="F218" s="47"/>
      <c r="G218" s="36"/>
      <c r="H218" s="18">
        <f>H219</f>
        <v>30000</v>
      </c>
      <c r="I218" s="18">
        <f>I219</f>
        <v>0</v>
      </c>
      <c r="J218" s="18">
        <f>J219</f>
        <v>30000</v>
      </c>
      <c r="K218" s="104"/>
    </row>
    <row r="219" spans="1:11" s="19" customFormat="1" ht="18.75">
      <c r="A219" s="21" t="s">
        <v>9</v>
      </c>
      <c r="B219" s="21" t="s">
        <v>81</v>
      </c>
      <c r="C219" s="16" t="s">
        <v>10</v>
      </c>
      <c r="D219" s="22" t="s">
        <v>11</v>
      </c>
      <c r="E219" s="17"/>
      <c r="F219" s="37"/>
      <c r="G219" s="17"/>
      <c r="H219" s="1">
        <v>30000</v>
      </c>
      <c r="I219" s="1"/>
      <c r="J219" s="1">
        <f>I219+H219</f>
        <v>30000</v>
      </c>
      <c r="K219" s="104"/>
    </row>
    <row r="220" spans="1:11" ht="58.5">
      <c r="A220" s="53"/>
      <c r="B220" s="53"/>
      <c r="C220" s="51" t="s">
        <v>205</v>
      </c>
      <c r="D220" s="22"/>
      <c r="E220" s="54"/>
      <c r="F220" s="55"/>
      <c r="G220" s="54"/>
      <c r="H220" s="18">
        <f>H221</f>
        <v>57070</v>
      </c>
      <c r="I220" s="18">
        <f>I221</f>
        <v>7000</v>
      </c>
      <c r="J220" s="18">
        <f>J221</f>
        <v>64070</v>
      </c>
      <c r="K220" s="104"/>
    </row>
    <row r="221" spans="1:11" ht="18.75">
      <c r="A221" s="21" t="s">
        <v>9</v>
      </c>
      <c r="B221" s="21" t="s">
        <v>81</v>
      </c>
      <c r="C221" s="22" t="s">
        <v>10</v>
      </c>
      <c r="D221" s="22" t="s">
        <v>19</v>
      </c>
      <c r="E221" s="54"/>
      <c r="F221" s="55"/>
      <c r="G221" s="54"/>
      <c r="H221" s="1">
        <f>52400+4670</f>
        <v>57070</v>
      </c>
      <c r="I221" s="1">
        <v>7000</v>
      </c>
      <c r="J221" s="1">
        <f>I221+H221</f>
        <v>64070</v>
      </c>
      <c r="K221" s="104"/>
    </row>
    <row r="222" spans="1:11" ht="97.5">
      <c r="A222" s="53"/>
      <c r="B222" s="53"/>
      <c r="C222" s="51" t="s">
        <v>206</v>
      </c>
      <c r="D222" s="22"/>
      <c r="E222" s="54"/>
      <c r="F222" s="55"/>
      <c r="G222" s="54"/>
      <c r="H222" s="18">
        <f>H223</f>
        <v>700000</v>
      </c>
      <c r="I222" s="18">
        <f>I223</f>
        <v>0</v>
      </c>
      <c r="J222" s="18">
        <f>J223</f>
        <v>700000</v>
      </c>
      <c r="K222" s="104"/>
    </row>
    <row r="223" spans="1:11" ht="18.75">
      <c r="A223" s="56">
        <v>250380</v>
      </c>
      <c r="B223" s="21" t="s">
        <v>102</v>
      </c>
      <c r="C223" s="22" t="s">
        <v>20</v>
      </c>
      <c r="D223" s="22" t="s">
        <v>11</v>
      </c>
      <c r="E223" s="54"/>
      <c r="F223" s="54"/>
      <c r="G223" s="54"/>
      <c r="H223" s="1">
        <v>700000</v>
      </c>
      <c r="I223" s="1"/>
      <c r="J223" s="1">
        <f>I223+H223</f>
        <v>700000</v>
      </c>
      <c r="K223" s="104"/>
    </row>
    <row r="224" spans="1:154" s="49" customFormat="1" ht="18.75">
      <c r="A224" s="57"/>
      <c r="B224" s="57"/>
      <c r="C224" s="57" t="s">
        <v>21</v>
      </c>
      <c r="D224" s="57"/>
      <c r="E224" s="58"/>
      <c r="F224" s="58"/>
      <c r="G224" s="58"/>
      <c r="H224" s="18">
        <f>H222+H220+H218+H215+H82+H77+H53+H48+H44+H36+H27+H14+H80+H212</f>
        <v>460060514.72999996</v>
      </c>
      <c r="I224" s="18">
        <f>I222+I220+I218+I215+I82+I77+I53+I48+I44+I36+I27+I14+I80+I212</f>
        <v>3856247</v>
      </c>
      <c r="J224" s="18">
        <f>J222+J220+J218+J215+J82+J77+J53+J48+J44+J36+J27+J14+J80+J212</f>
        <v>463916761.72999996</v>
      </c>
      <c r="K224" s="104"/>
      <c r="L224" s="59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</row>
    <row r="225" spans="4:11" s="48" customFormat="1" ht="18.75">
      <c r="D225" s="60"/>
      <c r="E225" s="61"/>
      <c r="F225" s="94"/>
      <c r="G225" s="94"/>
      <c r="H225" s="62"/>
      <c r="I225" s="4"/>
      <c r="K225" s="104"/>
    </row>
    <row r="226" spans="4:11" s="48" customFormat="1" ht="18.75">
      <c r="D226" s="60"/>
      <c r="E226" s="61"/>
      <c r="F226" s="94"/>
      <c r="G226" s="94"/>
      <c r="H226" s="62"/>
      <c r="I226" s="4"/>
      <c r="K226" s="104"/>
    </row>
    <row r="227" spans="4:11" s="48" customFormat="1" ht="18.75">
      <c r="D227" s="60"/>
      <c r="E227" s="61"/>
      <c r="F227" s="94"/>
      <c r="G227" s="94"/>
      <c r="H227" s="62"/>
      <c r="I227" s="63"/>
      <c r="K227" s="104"/>
    </row>
    <row r="228" spans="4:11" s="48" customFormat="1" ht="18.75">
      <c r="D228" s="60"/>
      <c r="E228" s="61"/>
      <c r="F228" s="94"/>
      <c r="G228" s="94"/>
      <c r="H228" s="62"/>
      <c r="I228" s="4"/>
      <c r="K228" s="104"/>
    </row>
    <row r="229" spans="1:154" s="67" customFormat="1" ht="30.75">
      <c r="A229" s="64" t="s">
        <v>260</v>
      </c>
      <c r="B229" s="64"/>
      <c r="C229" s="65"/>
      <c r="D229" s="66"/>
      <c r="G229" s="106"/>
      <c r="H229" s="106"/>
      <c r="I229" s="106"/>
      <c r="J229" s="106"/>
      <c r="K229" s="104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</row>
    <row r="230" spans="1:11" s="70" customFormat="1" ht="30.75">
      <c r="A230" s="107" t="s">
        <v>247</v>
      </c>
      <c r="B230" s="107"/>
      <c r="C230" s="107"/>
      <c r="D230" s="68"/>
      <c r="E230" s="69"/>
      <c r="F230" s="107"/>
      <c r="G230" s="107"/>
      <c r="H230" s="64" t="s">
        <v>261</v>
      </c>
      <c r="I230" s="4"/>
      <c r="K230" s="104"/>
    </row>
    <row r="231" spans="1:11" s="77" customFormat="1" ht="27.75">
      <c r="A231" s="71"/>
      <c r="B231" s="68"/>
      <c r="C231" s="72"/>
      <c r="D231" s="73"/>
      <c r="E231" s="74"/>
      <c r="F231" s="75"/>
      <c r="G231" s="75"/>
      <c r="H231" s="75"/>
      <c r="I231" s="4"/>
      <c r="J231" s="76"/>
      <c r="K231" s="104"/>
    </row>
    <row r="232" spans="1:11" s="77" customFormat="1" ht="27.75">
      <c r="A232" s="103"/>
      <c r="B232" s="103"/>
      <c r="C232" s="78"/>
      <c r="D232" s="78"/>
      <c r="E232" s="79"/>
      <c r="F232" s="78"/>
      <c r="G232" s="78"/>
      <c r="H232" s="78"/>
      <c r="I232" s="4"/>
      <c r="J232" s="78"/>
      <c r="K232" s="104"/>
    </row>
    <row r="233" spans="1:11" s="77" customFormat="1" ht="27.75">
      <c r="A233" s="103"/>
      <c r="B233" s="103"/>
      <c r="E233" s="76"/>
      <c r="H233" s="80"/>
      <c r="I233" s="4"/>
      <c r="J233" s="76"/>
      <c r="K233" s="104"/>
    </row>
    <row r="234" spans="1:154" s="70" customFormat="1" ht="30.75">
      <c r="A234" s="101"/>
      <c r="B234" s="101"/>
      <c r="C234" s="101"/>
      <c r="D234" s="81"/>
      <c r="E234" s="82"/>
      <c r="F234" s="83"/>
      <c r="H234" s="84"/>
      <c r="I234" s="4"/>
      <c r="J234" s="83"/>
      <c r="K234" s="4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</row>
    <row r="235" spans="4:11" ht="18.75">
      <c r="D235" s="85"/>
      <c r="E235" s="86"/>
      <c r="F235" s="5"/>
      <c r="H235" s="87"/>
      <c r="I235" s="4"/>
      <c r="K235" s="4"/>
    </row>
    <row r="236" spans="4:11" ht="18.75">
      <c r="D236" s="85"/>
      <c r="E236" s="86"/>
      <c r="F236" s="5"/>
      <c r="H236" s="87"/>
      <c r="I236" s="4"/>
      <c r="K236" s="4"/>
    </row>
    <row r="237" spans="4:11" ht="18.75">
      <c r="D237" s="85"/>
      <c r="E237" s="86"/>
      <c r="H237" s="87"/>
      <c r="K237" s="4"/>
    </row>
    <row r="238" spans="4:11" ht="18.75">
      <c r="D238" s="85"/>
      <c r="E238" s="86"/>
      <c r="H238" s="87"/>
      <c r="K238" s="4"/>
    </row>
    <row r="239" spans="4:11" ht="18.75">
      <c r="D239" s="85"/>
      <c r="E239" s="86"/>
      <c r="H239" s="87"/>
      <c r="K239" s="4"/>
    </row>
    <row r="240" spans="4:154" s="89" customFormat="1" ht="19.5">
      <c r="D240" s="90"/>
      <c r="E240" s="91"/>
      <c r="H240" s="92"/>
      <c r="J240" s="92"/>
      <c r="K240" s="4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</row>
    <row r="241" spans="8:11" ht="18.75">
      <c r="H241" s="87"/>
      <c r="K241" s="4"/>
    </row>
    <row r="242" spans="8:11" ht="18.75">
      <c r="H242" s="87"/>
      <c r="K242" s="4"/>
    </row>
    <row r="243" spans="8:11" ht="18.75">
      <c r="H243" s="87"/>
      <c r="K243" s="4"/>
    </row>
    <row r="244" spans="8:11" ht="18.75">
      <c r="H244" s="87"/>
      <c r="K244" s="4"/>
    </row>
    <row r="245" spans="8:11" ht="18.75">
      <c r="H245" s="87"/>
      <c r="K245" s="4"/>
    </row>
    <row r="246" spans="8:11" ht="18.75">
      <c r="H246" s="87"/>
      <c r="K246" s="4"/>
    </row>
    <row r="247" spans="8:11" ht="18.75">
      <c r="H247" s="87"/>
      <c r="K247" s="4"/>
    </row>
    <row r="248" spans="8:11" ht="18.75">
      <c r="H248" s="87"/>
      <c r="K248" s="4"/>
    </row>
    <row r="249" spans="8:11" ht="18.75">
      <c r="H249" s="87"/>
      <c r="K249" s="4"/>
    </row>
    <row r="250" spans="8:11" ht="18.75">
      <c r="H250" s="87"/>
      <c r="K250" s="4"/>
    </row>
    <row r="251" spans="8:11" ht="18.75">
      <c r="H251" s="87"/>
      <c r="K251" s="4"/>
    </row>
    <row r="252" spans="8:11" ht="18.75">
      <c r="H252" s="87"/>
      <c r="K252" s="4"/>
    </row>
    <row r="253" spans="8:11" ht="18.75">
      <c r="H253" s="87"/>
      <c r="K253" s="4"/>
    </row>
    <row r="254" spans="8:11" ht="18.75">
      <c r="H254" s="87"/>
      <c r="K254" s="4"/>
    </row>
    <row r="255" ht="18.75">
      <c r="H255" s="87"/>
    </row>
    <row r="256" ht="18.75">
      <c r="H256" s="87"/>
    </row>
    <row r="257" ht="18.75">
      <c r="H257" s="87"/>
    </row>
    <row r="258" ht="18.75">
      <c r="H258" s="87"/>
    </row>
    <row r="259" ht="18.75">
      <c r="H259" s="87"/>
    </row>
    <row r="260" ht="18.75">
      <c r="H260" s="87"/>
    </row>
    <row r="261" ht="18.75">
      <c r="H261" s="87"/>
    </row>
    <row r="262" ht="18.75">
      <c r="H262" s="87"/>
    </row>
    <row r="263" ht="18.75">
      <c r="H263" s="87"/>
    </row>
    <row r="264" ht="18.75">
      <c r="H264" s="87"/>
    </row>
    <row r="265" ht="18.75">
      <c r="H265" s="87"/>
    </row>
    <row r="266" ht="18.75">
      <c r="H266" s="87"/>
    </row>
    <row r="267" ht="18.75">
      <c r="H267" s="87"/>
    </row>
    <row r="268" ht="18.75">
      <c r="H268" s="87"/>
    </row>
    <row r="269" ht="18.75">
      <c r="H269" s="87"/>
    </row>
    <row r="270" ht="18.75">
      <c r="H270" s="87"/>
    </row>
    <row r="271" ht="18.75">
      <c r="H271" s="87"/>
    </row>
    <row r="272" ht="18.75">
      <c r="H272" s="87"/>
    </row>
    <row r="273" ht="18.75">
      <c r="H273" s="87"/>
    </row>
    <row r="274" ht="18.75">
      <c r="H274" s="87"/>
    </row>
    <row r="275" ht="18.75">
      <c r="H275" s="87"/>
    </row>
    <row r="276" ht="18.75">
      <c r="H276" s="87"/>
    </row>
    <row r="277" ht="18.75">
      <c r="H277" s="87"/>
    </row>
    <row r="278" ht="18.75">
      <c r="H278" s="87"/>
    </row>
    <row r="279" ht="18.75">
      <c r="H279" s="87"/>
    </row>
    <row r="280" ht="18.75">
      <c r="H280" s="87"/>
    </row>
    <row r="281" ht="18.75">
      <c r="H281" s="87"/>
    </row>
    <row r="282" ht="18.75">
      <c r="H282" s="87"/>
    </row>
    <row r="283" ht="18.75">
      <c r="H283" s="87"/>
    </row>
    <row r="284" ht="18.75">
      <c r="H284" s="87"/>
    </row>
    <row r="285" ht="18.75">
      <c r="H285" s="87"/>
    </row>
    <row r="286" ht="18.75">
      <c r="H286" s="87"/>
    </row>
    <row r="287" ht="18.75">
      <c r="H287" s="87"/>
    </row>
    <row r="288" ht="18.75">
      <c r="H288" s="87"/>
    </row>
    <row r="289" ht="18.75">
      <c r="H289" s="87"/>
    </row>
    <row r="290" ht="18.75">
      <c r="H290" s="87"/>
    </row>
    <row r="291" ht="18.75">
      <c r="H291" s="87"/>
    </row>
    <row r="292" ht="18.75">
      <c r="H292" s="87"/>
    </row>
    <row r="293" ht="18.75">
      <c r="H293" s="87"/>
    </row>
    <row r="294" ht="18.75">
      <c r="H294" s="87"/>
    </row>
    <row r="295" ht="18.75">
      <c r="H295" s="87"/>
    </row>
    <row r="296" ht="18.75">
      <c r="H296" s="87"/>
    </row>
    <row r="297" ht="18.75">
      <c r="H297" s="87"/>
    </row>
    <row r="298" ht="18.75">
      <c r="H298" s="87"/>
    </row>
    <row r="299" ht="18.75">
      <c r="H299" s="87"/>
    </row>
    <row r="300" ht="18.75">
      <c r="H300" s="87"/>
    </row>
    <row r="301" ht="18.75">
      <c r="H301" s="87"/>
    </row>
    <row r="302" ht="18.75">
      <c r="H302" s="87"/>
    </row>
    <row r="303" ht="18.75">
      <c r="H303" s="87"/>
    </row>
    <row r="304" ht="18.75">
      <c r="H304" s="87"/>
    </row>
    <row r="305" ht="18.75">
      <c r="H305" s="87"/>
    </row>
    <row r="306" ht="18.75">
      <c r="H306" s="87"/>
    </row>
    <row r="307" ht="18.75">
      <c r="H307" s="87"/>
    </row>
    <row r="308" ht="18.75">
      <c r="H308" s="87"/>
    </row>
    <row r="309" ht="18.75">
      <c r="H309" s="87"/>
    </row>
    <row r="310" ht="18.75">
      <c r="H310" s="87"/>
    </row>
    <row r="311" ht="18.75">
      <c r="H311" s="87"/>
    </row>
    <row r="312" ht="18.75">
      <c r="H312" s="87"/>
    </row>
    <row r="313" ht="18.75">
      <c r="H313" s="87"/>
    </row>
    <row r="314" ht="18.75">
      <c r="H314" s="87"/>
    </row>
    <row r="315" ht="18.75">
      <c r="H315" s="87"/>
    </row>
    <row r="316" ht="18.75">
      <c r="H316" s="87"/>
    </row>
    <row r="317" ht="18.75">
      <c r="H317" s="87"/>
    </row>
    <row r="318" ht="18.75">
      <c r="H318" s="87"/>
    </row>
    <row r="319" ht="18.75">
      <c r="H319" s="87"/>
    </row>
    <row r="320" ht="18.75">
      <c r="H320" s="87"/>
    </row>
    <row r="321" ht="18.75">
      <c r="H321" s="87"/>
    </row>
    <row r="322" ht="18.75">
      <c r="H322" s="87"/>
    </row>
    <row r="323" ht="18.75">
      <c r="H323" s="87"/>
    </row>
    <row r="324" ht="18.75">
      <c r="H324" s="87"/>
    </row>
    <row r="325" ht="18.75">
      <c r="H325" s="87"/>
    </row>
    <row r="326" ht="18.75">
      <c r="H326" s="87"/>
    </row>
    <row r="327" ht="18.75">
      <c r="H327" s="87"/>
    </row>
    <row r="328" ht="18.75">
      <c r="H328" s="87"/>
    </row>
    <row r="329" ht="18.75">
      <c r="H329" s="87"/>
    </row>
    <row r="330" ht="18.75">
      <c r="H330" s="87"/>
    </row>
    <row r="331" ht="18.75">
      <c r="H331" s="87"/>
    </row>
    <row r="332" ht="18.75">
      <c r="H332" s="87"/>
    </row>
    <row r="333" ht="18.75">
      <c r="H333" s="87"/>
    </row>
    <row r="334" ht="18.75">
      <c r="H334" s="87"/>
    </row>
    <row r="335" ht="18.75">
      <c r="H335" s="87"/>
    </row>
    <row r="336" ht="18.75">
      <c r="H336" s="87"/>
    </row>
    <row r="337" ht="18.75">
      <c r="H337" s="87"/>
    </row>
  </sheetData>
  <sheetProtection/>
  <mergeCells count="39">
    <mergeCell ref="F3:J3"/>
    <mergeCell ref="A232:B232"/>
    <mergeCell ref="G229:H229"/>
    <mergeCell ref="F1:J1"/>
    <mergeCell ref="F2:J2"/>
    <mergeCell ref="F4:J4"/>
    <mergeCell ref="B11:B12"/>
    <mergeCell ref="I11:I12"/>
    <mergeCell ref="E11:E12"/>
    <mergeCell ref="F226:G226"/>
    <mergeCell ref="K1:K22"/>
    <mergeCell ref="F5:J5"/>
    <mergeCell ref="I229:J229"/>
    <mergeCell ref="A230:C230"/>
    <mergeCell ref="F230:G230"/>
    <mergeCell ref="K23:K45"/>
    <mergeCell ref="K46:K66"/>
    <mergeCell ref="K67:K89"/>
    <mergeCell ref="K90:K113"/>
    <mergeCell ref="K114:K133"/>
    <mergeCell ref="K134:K154"/>
    <mergeCell ref="A234:C234"/>
    <mergeCell ref="A9:J9"/>
    <mergeCell ref="F225:G225"/>
    <mergeCell ref="A233:B233"/>
    <mergeCell ref="F228:G228"/>
    <mergeCell ref="K155:K177"/>
    <mergeCell ref="K178:K196"/>
    <mergeCell ref="K197:K214"/>
    <mergeCell ref="K215:K233"/>
    <mergeCell ref="A8:J8"/>
    <mergeCell ref="D11:D12"/>
    <mergeCell ref="J11:J12"/>
    <mergeCell ref="A11:A12"/>
    <mergeCell ref="C11:C12"/>
    <mergeCell ref="F227:G227"/>
    <mergeCell ref="H11:H12"/>
    <mergeCell ref="G11:G12"/>
    <mergeCell ref="F11:F12"/>
  </mergeCells>
  <printOptions horizontalCentered="1"/>
  <pageMargins left="0.3937007874015748" right="0.3937007874015748" top="1.3779527559055118" bottom="0.3937007874015748" header="0.4330708661417323" footer="0.1968503937007874"/>
  <pageSetup fitToHeight="15" horizontalDpi="600" verticalDpi="600" orientation="landscape" paperSize="9" scale="10" r:id="rId1"/>
  <headerFooter alignWithMargins="0">
    <oddHeader>&amp;R&amp;"Times New Roman,обычный"&amp;14Продовження додатку 6</oddHeader>
  </headerFooter>
  <rowBreaks count="1" manualBreakCount="1">
    <brk id="2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2016-08-17T14:16:35Z</cp:lastPrinted>
  <dcterms:created xsi:type="dcterms:W3CDTF">2011-11-24T09:09:31Z</dcterms:created>
  <dcterms:modified xsi:type="dcterms:W3CDTF">2016-08-22T11:09:33Z</dcterms:modified>
  <cp:category/>
  <cp:version/>
  <cp:contentType/>
  <cp:contentStatus/>
</cp:coreProperties>
</file>