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 8" sheetId="1" r:id="rId1"/>
  </sheets>
  <definedNames>
    <definedName name="_xlfn.AGGREGATE" hidden="1">#NAME?</definedName>
    <definedName name="_xlnm.Print_Titles" localSheetId="0">'дод. 8'!$9:$12</definedName>
    <definedName name="_xlnm.Print_Area" localSheetId="0">'дод. 8'!$B$1:$Q$321</definedName>
  </definedNames>
  <calcPr fullCalcOnLoad="1"/>
</workbook>
</file>

<file path=xl/sharedStrings.xml><?xml version="1.0" encoding="utf-8"?>
<sst xmlns="http://schemas.openxmlformats.org/spreadsheetml/2006/main" count="721" uniqueCount="497">
  <si>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</si>
  <si>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</si>
  <si>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</si>
  <si>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</si>
  <si>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</si>
  <si>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</si>
  <si>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</si>
  <si>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</si>
  <si>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</si>
  <si>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</si>
  <si>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</si>
  <si>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</si>
  <si>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</si>
  <si>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</si>
  <si>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</si>
  <si>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</si>
  <si>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</si>
  <si>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</si>
  <si>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</si>
  <si>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</si>
  <si>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</si>
  <si>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</si>
  <si>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</si>
  <si>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</si>
  <si>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</si>
  <si>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</si>
  <si>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</si>
  <si>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</si>
  <si>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</si>
  <si>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</si>
  <si>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</si>
  <si>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</si>
  <si>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</si>
  <si>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</si>
  <si>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</si>
  <si>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</si>
  <si>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</si>
  <si>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</si>
  <si>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</si>
  <si>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</si>
  <si>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</si>
  <si>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</si>
  <si>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</si>
  <si>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</si>
  <si>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</si>
  <si>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</si>
  <si>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</si>
  <si>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</si>
  <si>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</si>
  <si>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</si>
  <si>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</si>
  <si>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</si>
  <si>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</si>
  <si>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</si>
  <si>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</si>
  <si>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</si>
  <si>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</si>
  <si>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</si>
  <si>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</si>
  <si>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</si>
  <si>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</si>
  <si>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</si>
  <si>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</si>
  <si>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</si>
  <si>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</si>
  <si>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</si>
  <si>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</si>
  <si>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</si>
  <si>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</si>
  <si>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</si>
  <si>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</si>
  <si>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</si>
  <si>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</si>
  <si>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</si>
  <si>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</si>
  <si>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</si>
  <si>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</si>
  <si>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</si>
  <si>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</si>
  <si>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</si>
  <si>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</si>
  <si>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</si>
  <si>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</si>
  <si>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</si>
  <si>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</si>
  <si>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</si>
  <si>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</si>
  <si>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</si>
  <si>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</si>
  <si>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</si>
  <si>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</si>
  <si>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</si>
  <si>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</si>
  <si>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</si>
  <si>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</si>
  <si>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</si>
  <si>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</si>
  <si>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</si>
  <si>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</si>
  <si>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</si>
  <si>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</si>
  <si>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</si>
  <si>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</si>
  <si>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</si>
  <si>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</si>
  <si>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</si>
  <si>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</si>
  <si>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</si>
  <si>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</si>
  <si>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</si>
  <si>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</si>
  <si>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</si>
  <si>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</si>
  <si>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</si>
  <si>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</si>
  <si>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</si>
  <si>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</si>
  <si>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</si>
  <si>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</si>
  <si>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</si>
  <si>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</si>
  <si>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</si>
  <si>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</si>
  <si>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</si>
  <si>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</si>
  <si>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</si>
  <si>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</si>
  <si>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</si>
  <si>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</si>
  <si>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</si>
  <si>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</si>
  <si>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</si>
  <si>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</si>
  <si>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</si>
  <si>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</si>
  <si>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</si>
  <si>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</si>
  <si>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</si>
  <si>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</si>
  <si>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</si>
  <si>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</si>
  <si>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</si>
  <si>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</si>
  <si>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</si>
  <si>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</si>
  <si>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</si>
  <si>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</si>
  <si>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</si>
  <si>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</si>
  <si>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</si>
  <si>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</si>
  <si>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</si>
  <si>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</si>
  <si>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</si>
  <si>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</si>
  <si>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</si>
  <si>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</si>
  <si>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</si>
  <si>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</si>
  <si>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</si>
  <si>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</si>
  <si>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</si>
  <si>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</si>
  <si>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</si>
  <si>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</si>
  <si>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</si>
  <si>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</si>
  <si>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</si>
  <si>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</si>
  <si>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</si>
  <si>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</si>
  <si>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</si>
  <si>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</si>
  <si>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</si>
  <si>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</si>
  <si>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</si>
  <si>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</si>
  <si>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</si>
  <si>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</si>
  <si>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</si>
  <si>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</si>
  <si>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</si>
  <si>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</si>
  <si>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</si>
  <si>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</si>
  <si>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</si>
  <si>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</si>
  <si>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</si>
  <si>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</si>
  <si>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</si>
  <si>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</si>
  <si>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</si>
  <si>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</si>
  <si>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</si>
  <si>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</si>
  <si>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</si>
  <si>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</si>
  <si>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</si>
  <si>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</si>
  <si>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</si>
  <si>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</si>
  <si>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</si>
  <si>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</si>
  <si>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</si>
  <si>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</si>
  <si>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</si>
  <si>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</si>
  <si>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</si>
  <si>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</si>
  <si>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</si>
  <si>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</si>
  <si>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</si>
  <si>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</si>
  <si>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</si>
  <si>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</si>
  <si>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</si>
  <si>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</si>
  <si>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</si>
  <si>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</si>
  <si>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</si>
  <si>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</si>
  <si>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</si>
  <si>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</si>
  <si>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</si>
  <si>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</si>
  <si>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</si>
  <si>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</si>
  <si>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</si>
  <si>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</si>
  <si>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</si>
  <si>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</si>
  <si>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</si>
  <si>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</si>
  <si>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</si>
  <si>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</si>
  <si>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</si>
  <si>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</si>
  <si>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</si>
  <si>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</si>
  <si>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</si>
  <si>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</si>
  <si>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</si>
  <si>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</si>
  <si>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</si>
  <si>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</si>
  <si>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</si>
  <si>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</si>
  <si>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</si>
  <si>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</si>
  <si>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</si>
  <si>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</si>
  <si>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</si>
  <si>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</si>
  <si>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</si>
  <si>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</si>
  <si>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</si>
  <si>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</si>
  <si>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</si>
  <si>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</si>
  <si>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</si>
  <si>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</si>
  <si>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</si>
  <si>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</si>
  <si>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</si>
  <si>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</si>
  <si>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</si>
  <si>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</si>
  <si>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</si>
  <si>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</si>
  <si>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</si>
  <si>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</si>
  <si>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</si>
  <si>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</si>
  <si>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</si>
  <si>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</si>
  <si>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</si>
  <si>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</si>
  <si>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</si>
  <si>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</si>
  <si>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</si>
  <si>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</si>
  <si>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</si>
  <si>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</si>
  <si>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</si>
  <si>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</si>
  <si>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</si>
  <si>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</si>
  <si>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</si>
  <si>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</si>
  <si>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</si>
  <si>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</si>
  <si>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</si>
  <si>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</si>
  <si>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</si>
  <si>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</si>
  <si>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</si>
  <si>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</si>
  <si>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</si>
  <si>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</si>
  <si>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</si>
  <si>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</si>
  <si>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</si>
  <si>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</si>
  <si>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</si>
  <si>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</si>
  <si>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</si>
  <si>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</si>
  <si>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</si>
  <si>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</si>
  <si>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</si>
  <si>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</si>
  <si>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</si>
  <si>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</si>
  <si>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</si>
  <si>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</si>
  <si>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</si>
  <si>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</si>
  <si>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</si>
  <si>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</si>
  <si>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</si>
  <si>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</si>
  <si>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</si>
  <si>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</si>
  <si>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</si>
  <si>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</si>
  <si>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</si>
  <si>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</si>
  <si>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</si>
  <si>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</si>
  <si>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</si>
  <si>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</si>
  <si>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</si>
  <si>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</si>
  <si>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</si>
  <si>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</si>
  <si>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</si>
  <si>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</si>
  <si>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</si>
  <si>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</si>
  <si>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</si>
  <si>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</si>
  <si>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</si>
  <si>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</si>
  <si>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</si>
  <si>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</si>
  <si>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</si>
  <si>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</si>
  <si>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</si>
  <si>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</si>
  <si>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</si>
  <si>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</si>
  <si>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</si>
  <si>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</si>
  <si>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</si>
  <si>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</si>
  <si>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</si>
  <si>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</si>
  <si>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</si>
  <si>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</si>
  <si>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</si>
  <si>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</si>
  <si>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</si>
  <si>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</si>
  <si>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</si>
  <si>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</si>
  <si>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</si>
  <si>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</si>
  <si>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</si>
  <si>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</si>
  <si>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</si>
  <si>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</si>
  <si>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</si>
  <si>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</si>
  <si>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</si>
  <si>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</si>
  <si>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</si>
  <si>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</si>
  <si>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</si>
  <si>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</si>
  <si>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</si>
  <si>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</si>
  <si>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</si>
  <si>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</si>
  <si>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</si>
  <si>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</si>
  <si>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</si>
  <si>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</si>
  <si>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</si>
  <si>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</si>
  <si>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</si>
  <si>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</si>
  <si>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</si>
  <si>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</si>
  <si>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</si>
  <si>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</si>
  <si>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</si>
  <si>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</si>
  <si>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</si>
  <si>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</si>
  <si>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</si>
  <si>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</si>
  <si>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</si>
  <si>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</si>
  <si>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</si>
  <si>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</si>
  <si>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</si>
  <si>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</si>
  <si>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</si>
  <si>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</si>
  <si>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</si>
  <si>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</si>
  <si>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</si>
  <si>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</si>
  <si>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</si>
  <si>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</si>
  <si>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</si>
  <si>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</si>
  <si>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</si>
  <si>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</si>
  <si>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</si>
  <si>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</si>
  <si>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</si>
  <si>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</si>
  <si>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</si>
  <si>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</si>
  <si>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</si>
  <si>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</si>
  <si>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</si>
  <si>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</si>
  <si>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</si>
  <si>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</si>
  <si>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</si>
  <si>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</si>
  <si>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</si>
  <si>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</si>
  <si>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</si>
  <si>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</si>
  <si>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</si>
  <si>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</si>
  <si>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</si>
  <si>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</si>
  <si>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</si>
  <si>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</si>
  <si>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</si>
  <si>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</si>
  <si>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</si>
  <si>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</si>
  <si>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</si>
  <si>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</si>
  <si>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</si>
  <si>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</si>
  <si>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</si>
  <si>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</si>
  <si>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</si>
  <si>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</si>
  <si>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</si>
  <si>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</si>
  <si>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</si>
  <si>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</si>
  <si>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</si>
  <si>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</si>
  <si>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</si>
  <si>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</si>
  <si>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</si>
  <si>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</si>
  <si>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</si>
  <si>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</si>
  <si>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</si>
  <si>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</si>
  <si>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</si>
  <si>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</si>
  <si>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</si>
  <si>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</si>
  <si>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</si>
  <si>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</si>
  <si>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</si>
  <si>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</si>
  <si>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</si>
  <si>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</si>
  <si>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</si>
  <si>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</si>
  <si>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</si>
  <si>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</si>
  <si>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</si>
  <si>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</si>
  <si>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</si>
  <si>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</si>
  <si>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</si>
  <si>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1513240</t>
  </si>
  <si>
    <t>4116310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</si>
  <si>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</si>
  <si>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до рішення виконавчого комітету</t>
  </si>
  <si>
    <t>Директор департаменту фінансів, економіки та інвестицій</t>
  </si>
  <si>
    <t>С.А. Липова</t>
  </si>
  <si>
    <t>Управління державного архітектурно-будівельного контролю Сумської міської ради</t>
  </si>
  <si>
    <t xml:space="preserve">                   Додаток 8</t>
  </si>
  <si>
    <t>від 16.08.2016 № 436</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</si>
</sst>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14" xfId="0" applyNumberFormat="1" applyFont="1" applyFill="1" applyBorder="1" applyAlignment="1" applyProtection="1">
      <alignment horizontal="center" vertical="center" wrapText="1"/>
      <protection/>
    </xf>
    <xf numFmtId="0" fontId="29" fillId="0" borderId="0" xfId="0" applyFont="1" applyFill="1" applyAlignment="1">
      <alignment/>
    </xf>
    <xf numFmtId="0" fontId="29" fillId="0" borderId="15" xfId="0" applyNumberFormat="1" applyFont="1" applyFill="1" applyBorder="1" applyAlignment="1" applyProtection="1">
      <alignment/>
      <protection/>
    </xf>
    <xf numFmtId="0" fontId="29" fillId="0" borderId="1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7" xfId="0" applyFont="1" applyFill="1" applyBorder="1" applyAlignment="1">
      <alignment vertical="center" wrapText="1"/>
    </xf>
    <xf numFmtId="0" fontId="29" fillId="0" borderId="0" xfId="0" applyFont="1" applyFill="1" applyAlignment="1">
      <alignment vertical="center"/>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Font="1" applyFill="1" applyAlignment="1">
      <alignment vertical="center" wrapText="1"/>
    </xf>
    <xf numFmtId="49" fontId="29" fillId="0" borderId="14"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14" xfId="0" applyFont="1" applyFill="1" applyBorder="1" applyAlignment="1">
      <alignment vertical="center" wrapText="1"/>
    </xf>
    <xf numFmtId="4" fontId="29" fillId="0" borderId="14" xfId="95" applyNumberFormat="1" applyFont="1" applyFill="1" applyBorder="1" applyAlignment="1">
      <alignment vertical="center"/>
      <protection/>
    </xf>
    <xf numFmtId="49" fontId="29"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9" fillId="0" borderId="14" xfId="0" applyNumberFormat="1" applyFont="1" applyFill="1" applyBorder="1" applyAlignment="1" applyProtection="1">
      <alignment horizontal="center" vertical="center"/>
      <protection/>
    </xf>
    <xf numFmtId="0" fontId="31" fillId="0" borderId="14" xfId="0" applyFont="1" applyFill="1" applyBorder="1" applyAlignment="1">
      <alignment horizontal="left" vertical="center" wrapText="1"/>
    </xf>
    <xf numFmtId="0" fontId="29" fillId="0" borderId="14" xfId="0" applyFont="1" applyFill="1" applyBorder="1" applyAlignment="1">
      <alignment vertical="center"/>
    </xf>
    <xf numFmtId="49" fontId="29" fillId="0" borderId="14"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4" fontId="29" fillId="0" borderId="14" xfId="0" applyNumberFormat="1" applyFont="1" applyFill="1" applyBorder="1" applyAlignment="1">
      <alignment vertical="center"/>
    </xf>
    <xf numFmtId="0" fontId="29" fillId="0" borderId="0" xfId="0" applyNumberFormat="1" applyFont="1" applyFill="1" applyAlignment="1" applyProtection="1">
      <alignment vertical="center"/>
      <protection/>
    </xf>
    <xf numFmtId="0" fontId="29" fillId="0" borderId="14" xfId="0" applyFont="1" applyFill="1" applyBorder="1" applyAlignment="1">
      <alignment horizontal="left" vertical="center" wrapText="1"/>
    </xf>
    <xf numFmtId="0" fontId="32" fillId="0" borderId="17" xfId="0" applyFont="1" applyFill="1" applyBorder="1" applyAlignment="1">
      <alignment vertical="center" wrapText="1"/>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1"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192" fontId="29" fillId="0" borderId="14" xfId="95" applyNumberFormat="1" applyFont="1" applyFill="1" applyBorder="1" applyAlignment="1">
      <alignment vertical="center"/>
      <protection/>
    </xf>
    <xf numFmtId="192" fontId="30" fillId="0" borderId="14"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 fontId="31"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29"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4" xfId="0" applyNumberFormat="1" applyFont="1" applyFill="1" applyBorder="1" applyAlignment="1" applyProtection="1">
      <alignment horizontal="center" vertical="center"/>
      <protection/>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7"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4" xfId="0" applyFont="1" applyFill="1" applyBorder="1" applyAlignment="1">
      <alignment vertical="center" wrapText="1"/>
    </xf>
    <xf numFmtId="49" fontId="31" fillId="0" borderId="14"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4"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4" xfId="95" applyNumberFormat="1" applyFont="1" applyFill="1" applyBorder="1" applyAlignment="1">
      <alignment vertical="center"/>
      <protection/>
    </xf>
    <xf numFmtId="0" fontId="29" fillId="0" borderId="14" xfId="0" applyFont="1" applyFill="1" applyBorder="1" applyAlignment="1">
      <alignment vertical="center"/>
    </xf>
    <xf numFmtId="49" fontId="29" fillId="0" borderId="14" xfId="0" applyNumberFormat="1" applyFont="1" applyFill="1" applyBorder="1" applyAlignment="1">
      <alignment horizontal="left" vertical="center"/>
    </xf>
    <xf numFmtId="0" fontId="31" fillId="0" borderId="17" xfId="0" applyFont="1" applyFill="1" applyBorder="1" applyAlignment="1">
      <alignment horizontal="left" vertical="center" wrapText="1"/>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192" fontId="32" fillId="0" borderId="14"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0" fontId="29"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4" fontId="29" fillId="0" borderId="14"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4"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4" xfId="0" applyFont="1" applyFill="1" applyBorder="1" applyAlignment="1">
      <alignment vertical="center" wrapText="1"/>
    </xf>
    <xf numFmtId="4" fontId="0"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28" fillId="0" borderId="0" xfId="0" applyFont="1" applyFill="1" applyAlignment="1">
      <alignment/>
    </xf>
    <xf numFmtId="0" fontId="28" fillId="0" borderId="0" xfId="0" applyNumberFormat="1" applyFont="1" applyFill="1" applyAlignment="1" applyProtection="1">
      <alignment horizontal="center"/>
      <protection/>
    </xf>
    <xf numFmtId="3" fontId="33" fillId="0" borderId="0" xfId="0" applyNumberFormat="1" applyFont="1" applyFill="1" applyBorder="1" applyAlignment="1">
      <alignment wrapText="1"/>
    </xf>
    <xf numFmtId="0" fontId="0" fillId="0" borderId="0" xfId="0" applyFill="1" applyAlignment="1">
      <alignment wrapText="1"/>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4" xfId="0" applyNumberFormat="1" applyFont="1" applyFill="1" applyBorder="1" applyAlignment="1">
      <alignment vertical="center"/>
    </xf>
    <xf numFmtId="0" fontId="29" fillId="0" borderId="14" xfId="0" applyFont="1" applyFill="1" applyBorder="1" applyAlignment="1">
      <alignment horizontal="left" vertical="center" wrapText="1"/>
    </xf>
    <xf numFmtId="4" fontId="31" fillId="0" borderId="14"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29" fillId="0" borderId="14"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40" fillId="0" borderId="0" xfId="0" applyFont="1" applyFill="1" applyBorder="1" applyAlignment="1">
      <alignment horizontal="center" vertical="center" textRotation="180"/>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1" fillId="0" borderId="0" xfId="0" applyNumberFormat="1" applyFont="1" applyFill="1" applyAlignment="1" applyProtection="1">
      <alignment/>
      <protection/>
    </xf>
    <xf numFmtId="3" fontId="41" fillId="0" borderId="0" xfId="0" applyNumberFormat="1" applyFont="1" applyFill="1" applyBorder="1" applyAlignment="1">
      <alignment horizontal="center" vertical="center" wrapText="1"/>
    </xf>
    <xf numFmtId="0" fontId="41" fillId="0" borderId="0" xfId="0" applyNumberFormat="1" applyFont="1" applyFill="1" applyBorder="1" applyAlignment="1" applyProtection="1">
      <alignment vertical="center" wrapText="1"/>
      <protection/>
    </xf>
    <xf numFmtId="0" fontId="41" fillId="0" borderId="0" xfId="0" applyFont="1" applyFill="1" applyAlignment="1">
      <alignment/>
    </xf>
    <xf numFmtId="4" fontId="41" fillId="0" borderId="0" xfId="0" applyNumberFormat="1" applyFont="1" applyFill="1" applyAlignment="1">
      <alignment/>
    </xf>
    <xf numFmtId="0" fontId="28"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Fill="1" applyBorder="1" applyAlignment="1">
      <alignment/>
    </xf>
    <xf numFmtId="0" fontId="0" fillId="0" borderId="0" xfId="0" applyFill="1" applyBorder="1" applyAlignment="1">
      <alignment wrapText="1"/>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4" fontId="29" fillId="0" borderId="14"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0" fontId="40" fillId="0" borderId="0" xfId="0" applyFont="1" applyFill="1" applyBorder="1" applyAlignment="1">
      <alignment vertical="center" textRotation="180"/>
    </xf>
    <xf numFmtId="0" fontId="40" fillId="0" borderId="0" xfId="0" applyFont="1" applyFill="1" applyBorder="1" applyAlignment="1">
      <alignment horizontal="center" vertical="center" textRotation="180"/>
    </xf>
    <xf numFmtId="0" fontId="40" fillId="0" borderId="15" xfId="0" applyFont="1" applyFill="1" applyBorder="1" applyAlignment="1">
      <alignment horizontal="center" vertical="center" textRotation="180"/>
    </xf>
    <xf numFmtId="49" fontId="41" fillId="0" borderId="0" xfId="0" applyNumberFormat="1" applyFont="1" applyFill="1" applyBorder="1" applyAlignment="1">
      <alignment horizontal="left" vertical="center" wrapText="1"/>
    </xf>
    <xf numFmtId="0" fontId="0" fillId="0" borderId="0" xfId="0" applyFill="1" applyAlignment="1">
      <alignment vertical="center" wrapText="1"/>
    </xf>
    <xf numFmtId="3" fontId="41"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28" fillId="0" borderId="0" xfId="0" applyFont="1" applyFill="1" applyAlignment="1">
      <alignment vertical="center"/>
    </xf>
    <xf numFmtId="0"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29"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4" fontId="29" fillId="0" borderId="18"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0" fontId="31"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1" fillId="0" borderId="18" xfId="0" applyNumberFormat="1" applyFont="1" applyFill="1" applyBorder="1" applyAlignment="1">
      <alignment horizontal="center" vertical="center"/>
    </xf>
    <xf numFmtId="0" fontId="31" fillId="0" borderId="14" xfId="0" applyNumberFormat="1" applyFont="1" applyFill="1" applyBorder="1" applyAlignment="1" applyProtection="1">
      <alignment horizontal="center" vertical="center" wrapText="1"/>
      <protection/>
    </xf>
    <xf numFmtId="0" fontId="28" fillId="0" borderId="0" xfId="0" applyFont="1" applyFill="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8"/>
  <sheetViews>
    <sheetView showGridLines="0" showZeros="0" tabSelected="1" view="pageBreakPreview" zoomScale="70" zoomScaleNormal="70" zoomScaleSheetLayoutView="70" zoomScalePageLayoutView="0" workbookViewId="0" topLeftCell="B1">
      <selection activeCell="L4" sqref="L4:P4"/>
    </sheetView>
  </sheetViews>
  <sheetFormatPr defaultColWidth="9.16015625" defaultRowHeight="12.75"/>
  <cols>
    <col min="1" max="1" width="3.83203125" style="13" hidden="1" customWidth="1"/>
    <col min="2" max="2" width="16.5" style="35" customWidth="1"/>
    <col min="3" max="3" width="13.66015625" style="13" customWidth="1"/>
    <col min="4" max="4" width="48.16015625" style="13" customWidth="1"/>
    <col min="5" max="5" width="20.16015625" style="13" customWidth="1"/>
    <col min="6" max="6" width="22.33203125" style="13" customWidth="1"/>
    <col min="7" max="7" width="18.5" style="13" customWidth="1"/>
    <col min="8" max="8" width="17" style="13" customWidth="1"/>
    <col min="9" max="9" width="16.5" style="13" customWidth="1"/>
    <col min="10" max="10" width="19" style="13" customWidth="1"/>
    <col min="11" max="11" width="17.83203125" style="13" customWidth="1"/>
    <col min="12" max="12" width="16.66015625" style="13" customWidth="1"/>
    <col min="13" max="13" width="16.16015625" style="13" customWidth="1"/>
    <col min="14" max="14" width="18.33203125" style="13" customWidth="1"/>
    <col min="15" max="15" width="18" style="13" customWidth="1"/>
    <col min="16" max="16" width="20.5" style="13" customWidth="1"/>
    <col min="17" max="17" width="7.33203125" style="127" customWidth="1"/>
    <col min="18" max="16384" width="9.16015625" style="69" customWidth="1"/>
  </cols>
  <sheetData>
    <row r="1" spans="1:18" s="12" customFormat="1" ht="12.75" customHeight="1">
      <c r="A1" s="2"/>
      <c r="B1" s="117"/>
      <c r="C1" s="2"/>
      <c r="D1" s="2"/>
      <c r="E1" s="2"/>
      <c r="F1" s="2"/>
      <c r="G1" s="2"/>
      <c r="H1" s="2"/>
      <c r="I1" s="2"/>
      <c r="J1" s="2"/>
      <c r="K1" s="2"/>
      <c r="L1" s="2"/>
      <c r="M1" s="2"/>
      <c r="N1" s="2"/>
      <c r="O1" s="2"/>
      <c r="P1" s="2"/>
      <c r="Q1" s="148">
        <v>75</v>
      </c>
      <c r="R1" s="153"/>
    </row>
    <row r="2" spans="12:18" ht="23.25" customHeight="1">
      <c r="L2" s="154" t="s">
        <v>495</v>
      </c>
      <c r="M2" s="154"/>
      <c r="N2" s="154"/>
      <c r="O2" s="154"/>
      <c r="P2" s="139"/>
      <c r="Q2" s="148"/>
      <c r="R2" s="153"/>
    </row>
    <row r="3" spans="12:18" ht="23.25" customHeight="1">
      <c r="L3" s="138" t="s">
        <v>491</v>
      </c>
      <c r="M3" s="138"/>
      <c r="N3" s="138"/>
      <c r="O3" s="138"/>
      <c r="P3" s="138"/>
      <c r="Q3" s="148"/>
      <c r="R3" s="153"/>
    </row>
    <row r="4" spans="12:18" ht="23.25" customHeight="1">
      <c r="L4" s="169" t="s">
        <v>496</v>
      </c>
      <c r="M4" s="169"/>
      <c r="N4" s="169"/>
      <c r="O4" s="169"/>
      <c r="P4" s="169"/>
      <c r="Q4" s="148"/>
      <c r="R4" s="153"/>
    </row>
    <row r="5" spans="1:18" s="8" customFormat="1" ht="23.25" customHeight="1">
      <c r="A5" s="7"/>
      <c r="B5" s="36"/>
      <c r="C5" s="156"/>
      <c r="D5" s="156"/>
      <c r="E5" s="156"/>
      <c r="F5" s="156"/>
      <c r="G5" s="156"/>
      <c r="H5" s="156"/>
      <c r="I5" s="156"/>
      <c r="J5" s="156"/>
      <c r="K5" s="156"/>
      <c r="L5" s="156"/>
      <c r="M5" s="156"/>
      <c r="N5" s="156"/>
      <c r="O5" s="156"/>
      <c r="P5" s="156"/>
      <c r="Q5" s="148"/>
      <c r="R5" s="153"/>
    </row>
    <row r="6" spans="5:18" ht="23.25" customHeight="1">
      <c r="E6" s="1"/>
      <c r="F6" s="1"/>
      <c r="G6" s="1"/>
      <c r="H6" s="1"/>
      <c r="I6" s="1"/>
      <c r="J6" s="1"/>
      <c r="K6" s="1"/>
      <c r="L6" s="1"/>
      <c r="M6" s="61"/>
      <c r="N6" s="61"/>
      <c r="O6" s="61"/>
      <c r="P6" s="61"/>
      <c r="Q6" s="148"/>
      <c r="R6" s="153"/>
    </row>
    <row r="7" spans="1:18" s="12" customFormat="1" ht="50.25" customHeight="1">
      <c r="A7" s="68"/>
      <c r="B7" s="83"/>
      <c r="C7" s="157" t="s">
        <v>347</v>
      </c>
      <c r="D7" s="157"/>
      <c r="E7" s="157"/>
      <c r="F7" s="157"/>
      <c r="G7" s="157"/>
      <c r="H7" s="157"/>
      <c r="I7" s="157"/>
      <c r="J7" s="157"/>
      <c r="K7" s="157"/>
      <c r="L7" s="157"/>
      <c r="M7" s="157"/>
      <c r="N7" s="157"/>
      <c r="O7" s="157"/>
      <c r="P7" s="157"/>
      <c r="Q7" s="148"/>
      <c r="R7" s="153"/>
    </row>
    <row r="8" spans="1:18" s="12" customFormat="1" ht="11.25" customHeight="1">
      <c r="A8" s="13"/>
      <c r="B8" s="35"/>
      <c r="C8" s="84"/>
      <c r="D8" s="84"/>
      <c r="E8" s="84"/>
      <c r="F8" s="84"/>
      <c r="G8" s="6"/>
      <c r="H8" s="3"/>
      <c r="I8" s="3"/>
      <c r="J8" s="4"/>
      <c r="K8" s="5"/>
      <c r="L8" s="5"/>
      <c r="M8" s="5"/>
      <c r="N8" s="5"/>
      <c r="O8" s="5"/>
      <c r="P8" s="15" t="s">
        <v>12</v>
      </c>
      <c r="Q8" s="148"/>
      <c r="R8" s="153"/>
    </row>
    <row r="9" spans="1:18" s="18" customFormat="1" ht="21.75" customHeight="1">
      <c r="A9" s="16"/>
      <c r="B9" s="160" t="s">
        <v>97</v>
      </c>
      <c r="C9" s="160" t="s">
        <v>11</v>
      </c>
      <c r="D9" s="155" t="s">
        <v>305</v>
      </c>
      <c r="E9" s="155" t="s">
        <v>0</v>
      </c>
      <c r="F9" s="155"/>
      <c r="G9" s="155"/>
      <c r="H9" s="155"/>
      <c r="I9" s="155"/>
      <c r="J9" s="155" t="s">
        <v>1</v>
      </c>
      <c r="K9" s="155"/>
      <c r="L9" s="155"/>
      <c r="M9" s="155"/>
      <c r="N9" s="155"/>
      <c r="O9" s="155"/>
      <c r="P9" s="155" t="s">
        <v>2</v>
      </c>
      <c r="Q9" s="148"/>
      <c r="R9" s="153"/>
    </row>
    <row r="10" spans="1:18" s="18" customFormat="1" ht="16.5" customHeight="1">
      <c r="A10" s="19"/>
      <c r="B10" s="161"/>
      <c r="C10" s="161"/>
      <c r="D10" s="155"/>
      <c r="E10" s="155" t="s">
        <v>3</v>
      </c>
      <c r="F10" s="168" t="s">
        <v>4</v>
      </c>
      <c r="G10" s="158" t="s">
        <v>5</v>
      </c>
      <c r="H10" s="158"/>
      <c r="I10" s="159" t="s">
        <v>6</v>
      </c>
      <c r="J10" s="155" t="s">
        <v>3</v>
      </c>
      <c r="K10" s="168" t="s">
        <v>4</v>
      </c>
      <c r="L10" s="158" t="s">
        <v>5</v>
      </c>
      <c r="M10" s="158"/>
      <c r="N10" s="159" t="s">
        <v>6</v>
      </c>
      <c r="O10" s="17" t="s">
        <v>5</v>
      </c>
      <c r="P10" s="155"/>
      <c r="Q10" s="148"/>
      <c r="R10" s="153"/>
    </row>
    <row r="11" spans="1:18" s="18" customFormat="1" ht="20.25" customHeight="1">
      <c r="A11" s="20"/>
      <c r="B11" s="161"/>
      <c r="C11" s="161"/>
      <c r="D11" s="155"/>
      <c r="E11" s="155"/>
      <c r="F11" s="168"/>
      <c r="G11" s="158" t="s">
        <v>7</v>
      </c>
      <c r="H11" s="158" t="s">
        <v>8</v>
      </c>
      <c r="I11" s="159"/>
      <c r="J11" s="155"/>
      <c r="K11" s="168"/>
      <c r="L11" s="158" t="s">
        <v>7</v>
      </c>
      <c r="M11" s="158" t="s">
        <v>8</v>
      </c>
      <c r="N11" s="159"/>
      <c r="O11" s="155" t="s">
        <v>10</v>
      </c>
      <c r="P11" s="155"/>
      <c r="Q11" s="148"/>
      <c r="R11" s="153"/>
    </row>
    <row r="12" spans="1:18" s="18" customFormat="1" ht="96" customHeight="1">
      <c r="A12" s="21"/>
      <c r="B12" s="162"/>
      <c r="C12" s="162"/>
      <c r="D12" s="155"/>
      <c r="E12" s="155"/>
      <c r="F12" s="168"/>
      <c r="G12" s="158"/>
      <c r="H12" s="158"/>
      <c r="I12" s="159"/>
      <c r="J12" s="155"/>
      <c r="K12" s="168"/>
      <c r="L12" s="158"/>
      <c r="M12" s="158"/>
      <c r="N12" s="159"/>
      <c r="O12" s="155"/>
      <c r="P12" s="155"/>
      <c r="Q12" s="148"/>
      <c r="R12" s="153"/>
    </row>
    <row r="13" spans="1:18" s="24" customFormat="1" ht="28.5">
      <c r="A13" s="22"/>
      <c r="B13" s="34" t="s">
        <v>98</v>
      </c>
      <c r="C13" s="62"/>
      <c r="D13" s="23" t="s">
        <v>304</v>
      </c>
      <c r="E13" s="54">
        <f>E14</f>
        <v>74380273.39</v>
      </c>
      <c r="F13" s="54">
        <f aca="true" t="shared" si="0" ref="F13:P13">F14</f>
        <v>56031433.39</v>
      </c>
      <c r="G13" s="54">
        <f t="shared" si="0"/>
        <v>26333419</v>
      </c>
      <c r="H13" s="54">
        <f t="shared" si="0"/>
        <v>2945047.79</v>
      </c>
      <c r="I13" s="54">
        <f t="shared" si="0"/>
        <v>18348840</v>
      </c>
      <c r="J13" s="54">
        <f t="shared" si="0"/>
        <v>60051686.47</v>
      </c>
      <c r="K13" s="54">
        <f t="shared" si="0"/>
        <v>473457.47</v>
      </c>
      <c r="L13" s="54">
        <f t="shared" si="0"/>
        <v>144491</v>
      </c>
      <c r="M13" s="54">
        <f t="shared" si="0"/>
        <v>98348</v>
      </c>
      <c r="N13" s="54">
        <f t="shared" si="0"/>
        <v>59578229</v>
      </c>
      <c r="O13" s="54">
        <f t="shared" si="0"/>
        <v>59578229</v>
      </c>
      <c r="P13" s="54">
        <f t="shared" si="0"/>
        <v>134431959.86</v>
      </c>
      <c r="Q13" s="148"/>
      <c r="R13" s="153"/>
    </row>
    <row r="14" spans="1:18" s="80" customFormat="1" ht="30">
      <c r="A14" s="79"/>
      <c r="B14" s="85" t="s">
        <v>99</v>
      </c>
      <c r="C14" s="63"/>
      <c r="D14" s="46" t="s">
        <v>304</v>
      </c>
      <c r="E14" s="65">
        <f>E15+E18+E21+E22+E23+E25+E27+E30+E33+E36+E37+E39+E44+E49+E50+E51+E53+E55+E64+E56+E47+E16+E41+E42+E40+E45+E54+E63</f>
        <v>74380273.39</v>
      </c>
      <c r="F14" s="65">
        <f>F15+F18+F21+F22+F23+F25+F27+F30+F33+F36+F37+F39+F44+F49+F50+F51+F53+F55+F64+F56+F47+F16+F41+F42+F40+F45+F54+F63</f>
        <v>56031433.39</v>
      </c>
      <c r="G14" s="65">
        <f aca="true" t="shared" si="1" ref="G14:P14">G15+G18+G21+G22+G23+G25+G27+G30+G33+G36+G37+G39+G44+G49+G50+G51+G53+G55+G64+G56+G47+G16+G41+G42+G40+G45+G54+G63</f>
        <v>26333419</v>
      </c>
      <c r="H14" s="65">
        <f t="shared" si="1"/>
        <v>2945047.79</v>
      </c>
      <c r="I14" s="65">
        <f t="shared" si="1"/>
        <v>18348840</v>
      </c>
      <c r="J14" s="65">
        <f>J15+J18+J21+J22+J23+J25+J27+J30+J33+J36+J37+J39+J44+J49+J50+J51+J53+J55+J64+J56+J47+J16+J41+J42+J40+J45+J54+J63</f>
        <v>60051686.47</v>
      </c>
      <c r="K14" s="65">
        <f t="shared" si="1"/>
        <v>473457.47</v>
      </c>
      <c r="L14" s="65">
        <f t="shared" si="1"/>
        <v>144491</v>
      </c>
      <c r="M14" s="65">
        <f t="shared" si="1"/>
        <v>98348</v>
      </c>
      <c r="N14" s="65">
        <f t="shared" si="1"/>
        <v>59578229</v>
      </c>
      <c r="O14" s="65">
        <f t="shared" si="1"/>
        <v>59578229</v>
      </c>
      <c r="P14" s="65">
        <f t="shared" si="1"/>
        <v>134431959.86</v>
      </c>
      <c r="Q14" s="148"/>
      <c r="R14" s="153"/>
    </row>
    <row r="15" spans="1:18" s="24" customFormat="1" ht="45" customHeight="1">
      <c r="A15" s="44"/>
      <c r="B15" s="53" t="s">
        <v>101</v>
      </c>
      <c r="C15" s="41" t="s">
        <v>9</v>
      </c>
      <c r="D15" s="45" t="s">
        <v>100</v>
      </c>
      <c r="E15" s="66">
        <f>F15+I15</f>
        <v>30742120.6</v>
      </c>
      <c r="F15" s="66">
        <f>27284910+1516344+285000+126395+1030900+63943.6+92299-493340+40000-40000+765469+70200</f>
        <v>30742120.6</v>
      </c>
      <c r="G15" s="66">
        <f>16195850+1873700+845100+447106</f>
        <v>19361756</v>
      </c>
      <c r="H15" s="66">
        <v>1520550</v>
      </c>
      <c r="I15" s="66"/>
      <c r="J15" s="66">
        <f>K15+N15</f>
        <v>5691121</v>
      </c>
      <c r="K15" s="66"/>
      <c r="L15" s="66"/>
      <c r="M15" s="66"/>
      <c r="N15" s="66">
        <f>1100000+2043480+900000+1211765-92299+493340+34835</f>
        <v>5691121</v>
      </c>
      <c r="O15" s="66">
        <f>1100000+2043480+900000+1211765-92299+493340+34835</f>
        <v>5691121</v>
      </c>
      <c r="P15" s="66">
        <f>E15+J15</f>
        <v>36433241.6</v>
      </c>
      <c r="Q15" s="148"/>
      <c r="R15" s="153"/>
    </row>
    <row r="16" spans="1:18" s="24" customFormat="1" ht="210">
      <c r="A16" s="22"/>
      <c r="B16" s="34" t="s">
        <v>331</v>
      </c>
      <c r="C16" s="25"/>
      <c r="D16" s="26" t="s">
        <v>209</v>
      </c>
      <c r="E16" s="33">
        <f>E17</f>
        <v>32500</v>
      </c>
      <c r="F16" s="33">
        <f aca="true" t="shared" si="2" ref="F16:P16">F17</f>
        <v>32500</v>
      </c>
      <c r="G16" s="33">
        <f t="shared" si="2"/>
        <v>0</v>
      </c>
      <c r="H16" s="33">
        <f t="shared" si="2"/>
        <v>0</v>
      </c>
      <c r="I16" s="33">
        <f t="shared" si="2"/>
        <v>0</v>
      </c>
      <c r="J16" s="33">
        <f t="shared" si="2"/>
        <v>0</v>
      </c>
      <c r="K16" s="33">
        <f t="shared" si="2"/>
        <v>0</v>
      </c>
      <c r="L16" s="33">
        <f t="shared" si="2"/>
        <v>0</v>
      </c>
      <c r="M16" s="33">
        <f t="shared" si="2"/>
        <v>0</v>
      </c>
      <c r="N16" s="33">
        <f t="shared" si="2"/>
        <v>0</v>
      </c>
      <c r="O16" s="33">
        <f t="shared" si="2"/>
        <v>0</v>
      </c>
      <c r="P16" s="33">
        <f t="shared" si="2"/>
        <v>32500</v>
      </c>
      <c r="Q16" s="148"/>
      <c r="R16" s="153"/>
    </row>
    <row r="17" spans="1:18" s="80" customFormat="1" ht="45">
      <c r="A17" s="79"/>
      <c r="B17" s="85" t="s">
        <v>332</v>
      </c>
      <c r="C17" s="71" t="s">
        <v>72</v>
      </c>
      <c r="D17" s="72" t="s">
        <v>73</v>
      </c>
      <c r="E17" s="60">
        <f>F17+I17</f>
        <v>32500</v>
      </c>
      <c r="F17" s="66">
        <v>32500</v>
      </c>
      <c r="G17" s="64"/>
      <c r="H17" s="64"/>
      <c r="I17" s="64"/>
      <c r="J17" s="64"/>
      <c r="K17" s="64"/>
      <c r="L17" s="64"/>
      <c r="M17" s="64"/>
      <c r="N17" s="64"/>
      <c r="O17" s="64"/>
      <c r="P17" s="64">
        <f>E17+J17</f>
        <v>32500</v>
      </c>
      <c r="Q17" s="148"/>
      <c r="R17" s="153"/>
    </row>
    <row r="18" spans="1:18" s="24" customFormat="1" ht="30">
      <c r="A18" s="44"/>
      <c r="B18" s="53" t="s">
        <v>102</v>
      </c>
      <c r="C18" s="41"/>
      <c r="D18" s="45" t="s">
        <v>103</v>
      </c>
      <c r="E18" s="66">
        <f>E19+E20</f>
        <v>757600</v>
      </c>
      <c r="F18" s="66">
        <f aca="true" t="shared" si="3" ref="F18:P18">F19+F20</f>
        <v>757600</v>
      </c>
      <c r="G18" s="66">
        <f t="shared" si="3"/>
        <v>506950</v>
      </c>
      <c r="H18" s="66">
        <f t="shared" si="3"/>
        <v>55897</v>
      </c>
      <c r="I18" s="66">
        <f t="shared" si="3"/>
        <v>0</v>
      </c>
      <c r="J18" s="66">
        <f t="shared" si="3"/>
        <v>0</v>
      </c>
      <c r="K18" s="66">
        <f t="shared" si="3"/>
        <v>0</v>
      </c>
      <c r="L18" s="66">
        <f t="shared" si="3"/>
        <v>0</v>
      </c>
      <c r="M18" s="66">
        <f t="shared" si="3"/>
        <v>0</v>
      </c>
      <c r="N18" s="66">
        <f t="shared" si="3"/>
        <v>0</v>
      </c>
      <c r="O18" s="66">
        <f t="shared" si="3"/>
        <v>0</v>
      </c>
      <c r="P18" s="66">
        <f t="shared" si="3"/>
        <v>757600</v>
      </c>
      <c r="Q18" s="148"/>
      <c r="R18" s="153"/>
    </row>
    <row r="19" spans="1:18" s="80" customFormat="1" ht="30">
      <c r="A19" s="79"/>
      <c r="B19" s="85" t="s">
        <v>104</v>
      </c>
      <c r="C19" s="71" t="s">
        <v>15</v>
      </c>
      <c r="D19" s="72" t="s">
        <v>107</v>
      </c>
      <c r="E19" s="60">
        <f>F19+I19</f>
        <v>717600</v>
      </c>
      <c r="F19" s="66">
        <f>847250-160250+5000+17100+8500</f>
        <v>717600</v>
      </c>
      <c r="G19" s="66">
        <f>564500-71550+14000</f>
        <v>506950</v>
      </c>
      <c r="H19" s="66">
        <v>55897</v>
      </c>
      <c r="I19" s="64"/>
      <c r="J19" s="64">
        <f>K19+N19</f>
        <v>0</v>
      </c>
      <c r="K19" s="64"/>
      <c r="L19" s="64"/>
      <c r="M19" s="64"/>
      <c r="N19" s="64"/>
      <c r="O19" s="64"/>
      <c r="P19" s="64">
        <f>E19+J19</f>
        <v>717600</v>
      </c>
      <c r="Q19" s="148"/>
      <c r="R19" s="153"/>
    </row>
    <row r="20" spans="1:18" s="80" customFormat="1" ht="30">
      <c r="A20" s="79"/>
      <c r="B20" s="85" t="s">
        <v>105</v>
      </c>
      <c r="C20" s="71" t="s">
        <v>16</v>
      </c>
      <c r="D20" s="72" t="s">
        <v>108</v>
      </c>
      <c r="E20" s="60">
        <f>F20+I20</f>
        <v>40000</v>
      </c>
      <c r="F20" s="66">
        <v>40000</v>
      </c>
      <c r="G20" s="64"/>
      <c r="H20" s="64"/>
      <c r="I20" s="64"/>
      <c r="J20" s="64">
        <f>K20+N20</f>
        <v>0</v>
      </c>
      <c r="K20" s="64"/>
      <c r="L20" s="64"/>
      <c r="M20" s="64"/>
      <c r="N20" s="64"/>
      <c r="O20" s="64"/>
      <c r="P20" s="64">
        <f>E20+J20</f>
        <v>40000</v>
      </c>
      <c r="Q20" s="148"/>
      <c r="R20" s="153"/>
    </row>
    <row r="21" spans="1:18" s="80" customFormat="1" ht="15">
      <c r="A21" s="79"/>
      <c r="B21" s="53" t="s">
        <v>106</v>
      </c>
      <c r="C21" s="41" t="s">
        <v>17</v>
      </c>
      <c r="D21" s="45" t="s">
        <v>109</v>
      </c>
      <c r="E21" s="66">
        <f>F21+I21</f>
        <v>605000</v>
      </c>
      <c r="F21" s="66">
        <f>105000+500000</f>
        <v>605000</v>
      </c>
      <c r="G21" s="66"/>
      <c r="H21" s="66"/>
      <c r="I21" s="66"/>
      <c r="J21" s="66">
        <f>K21+N21</f>
        <v>0</v>
      </c>
      <c r="K21" s="66"/>
      <c r="L21" s="66"/>
      <c r="M21" s="66"/>
      <c r="N21" s="66"/>
      <c r="O21" s="66"/>
      <c r="P21" s="66">
        <f>E21+J21</f>
        <v>605000</v>
      </c>
      <c r="Q21" s="148"/>
      <c r="R21" s="153"/>
    </row>
    <row r="22" spans="1:18" s="80" customFormat="1" ht="75">
      <c r="A22" s="79"/>
      <c r="B22" s="53" t="s">
        <v>110</v>
      </c>
      <c r="C22" s="41" t="s">
        <v>20</v>
      </c>
      <c r="D22" s="86" t="s">
        <v>111</v>
      </c>
      <c r="E22" s="66">
        <f>F22+I22</f>
        <v>1106888</v>
      </c>
      <c r="F22" s="66">
        <f>189000+917888</f>
        <v>1106888</v>
      </c>
      <c r="G22" s="66"/>
      <c r="H22" s="66"/>
      <c r="I22" s="66"/>
      <c r="J22" s="66">
        <f>K22+N22</f>
        <v>0</v>
      </c>
      <c r="K22" s="66"/>
      <c r="L22" s="66"/>
      <c r="M22" s="66"/>
      <c r="N22" s="66"/>
      <c r="O22" s="66"/>
      <c r="P22" s="66">
        <f>E22+J22</f>
        <v>1106888</v>
      </c>
      <c r="Q22" s="148"/>
      <c r="R22" s="153"/>
    </row>
    <row r="23" spans="1:18" s="80" customFormat="1" ht="30">
      <c r="A23" s="79"/>
      <c r="B23" s="53" t="s">
        <v>112</v>
      </c>
      <c r="C23" s="41" t="s">
        <v>13</v>
      </c>
      <c r="D23" s="45" t="s">
        <v>14</v>
      </c>
      <c r="E23" s="66">
        <f>E24</f>
        <v>176953</v>
      </c>
      <c r="F23" s="66">
        <f aca="true" t="shared" si="4" ref="F23:P23">F24</f>
        <v>176953</v>
      </c>
      <c r="G23" s="66">
        <f t="shared" si="4"/>
        <v>0</v>
      </c>
      <c r="H23" s="66">
        <f t="shared" si="4"/>
        <v>0</v>
      </c>
      <c r="I23" s="66">
        <f t="shared" si="4"/>
        <v>0</v>
      </c>
      <c r="J23" s="66">
        <f t="shared" si="4"/>
        <v>0</v>
      </c>
      <c r="K23" s="66">
        <f t="shared" si="4"/>
        <v>0</v>
      </c>
      <c r="L23" s="66">
        <f t="shared" si="4"/>
        <v>0</v>
      </c>
      <c r="M23" s="66">
        <f t="shared" si="4"/>
        <v>0</v>
      </c>
      <c r="N23" s="66">
        <f t="shared" si="4"/>
        <v>0</v>
      </c>
      <c r="O23" s="66">
        <f t="shared" si="4"/>
        <v>0</v>
      </c>
      <c r="P23" s="66">
        <f t="shared" si="4"/>
        <v>176953</v>
      </c>
      <c r="Q23" s="148"/>
      <c r="R23" s="153"/>
    </row>
    <row r="24" spans="1:18" s="80" customFormat="1" ht="45">
      <c r="A24" s="79"/>
      <c r="B24" s="85" t="s">
        <v>113</v>
      </c>
      <c r="C24" s="71" t="s">
        <v>13</v>
      </c>
      <c r="D24" s="72" t="s">
        <v>349</v>
      </c>
      <c r="E24" s="60">
        <f>F24+I24</f>
        <v>176953</v>
      </c>
      <c r="F24" s="66">
        <f>143404+22688+10861</f>
        <v>176953</v>
      </c>
      <c r="G24" s="65"/>
      <c r="H24" s="65"/>
      <c r="I24" s="65"/>
      <c r="J24" s="60">
        <f>K24+N24</f>
        <v>0</v>
      </c>
      <c r="K24" s="65"/>
      <c r="L24" s="65"/>
      <c r="M24" s="65"/>
      <c r="N24" s="65"/>
      <c r="O24" s="65"/>
      <c r="P24" s="60">
        <f>E24+J24</f>
        <v>176953</v>
      </c>
      <c r="Q24" s="148"/>
      <c r="R24" s="153"/>
    </row>
    <row r="25" spans="1:18" s="24" customFormat="1" ht="15" customHeight="1">
      <c r="A25" s="44"/>
      <c r="B25" s="53" t="s">
        <v>114</v>
      </c>
      <c r="C25" s="41" t="s">
        <v>18</v>
      </c>
      <c r="D25" s="45" t="s">
        <v>19</v>
      </c>
      <c r="E25" s="66">
        <f>E26</f>
        <v>511500</v>
      </c>
      <c r="F25" s="66">
        <f aca="true" t="shared" si="5" ref="F25:P25">F26</f>
        <v>511500</v>
      </c>
      <c r="G25" s="66">
        <f t="shared" si="5"/>
        <v>338600</v>
      </c>
      <c r="H25" s="66">
        <f t="shared" si="5"/>
        <v>72433</v>
      </c>
      <c r="I25" s="66">
        <f t="shared" si="5"/>
        <v>0</v>
      </c>
      <c r="J25" s="66">
        <f t="shared" si="5"/>
        <v>9645</v>
      </c>
      <c r="K25" s="66">
        <f t="shared" si="5"/>
        <v>0</v>
      </c>
      <c r="L25" s="66">
        <f t="shared" si="5"/>
        <v>0</v>
      </c>
      <c r="M25" s="66">
        <f t="shared" si="5"/>
        <v>0</v>
      </c>
      <c r="N25" s="66">
        <f t="shared" si="5"/>
        <v>9645</v>
      </c>
      <c r="O25" s="66">
        <f t="shared" si="5"/>
        <v>9645</v>
      </c>
      <c r="P25" s="66">
        <f t="shared" si="5"/>
        <v>521145</v>
      </c>
      <c r="Q25" s="148"/>
      <c r="R25" s="153"/>
    </row>
    <row r="26" spans="1:17" s="80" customFormat="1" ht="45">
      <c r="A26" s="79"/>
      <c r="B26" s="85" t="s">
        <v>115</v>
      </c>
      <c r="C26" s="71" t="s">
        <v>18</v>
      </c>
      <c r="D26" s="72" t="s">
        <v>350</v>
      </c>
      <c r="E26" s="60">
        <f>F26+I26</f>
        <v>511500</v>
      </c>
      <c r="F26" s="66">
        <f>582100-72200+1600</f>
        <v>511500</v>
      </c>
      <c r="G26" s="66">
        <f>354900-17600+1300</f>
        <v>338600</v>
      </c>
      <c r="H26" s="66">
        <v>72433</v>
      </c>
      <c r="I26" s="64"/>
      <c r="J26" s="64">
        <f>K26+N26</f>
        <v>9645</v>
      </c>
      <c r="K26" s="64"/>
      <c r="L26" s="64"/>
      <c r="M26" s="64"/>
      <c r="N26" s="64">
        <v>9645</v>
      </c>
      <c r="O26" s="64">
        <v>9645</v>
      </c>
      <c r="P26" s="64">
        <f>E26+J26</f>
        <v>521145</v>
      </c>
      <c r="Q26" s="149">
        <v>76</v>
      </c>
    </row>
    <row r="27" spans="1:17" s="24" customFormat="1" ht="15">
      <c r="A27" s="44"/>
      <c r="B27" s="34" t="s">
        <v>117</v>
      </c>
      <c r="C27" s="25" t="s">
        <v>23</v>
      </c>
      <c r="D27" s="26" t="s">
        <v>116</v>
      </c>
      <c r="E27" s="33">
        <f>E28+E29</f>
        <v>1777655</v>
      </c>
      <c r="F27" s="33">
        <f aca="true" t="shared" si="6" ref="F27:P27">F28+F29</f>
        <v>1777655</v>
      </c>
      <c r="G27" s="33">
        <f t="shared" si="6"/>
        <v>997413</v>
      </c>
      <c r="H27" s="33">
        <f t="shared" si="6"/>
        <v>91785</v>
      </c>
      <c r="I27" s="33">
        <f t="shared" si="6"/>
        <v>0</v>
      </c>
      <c r="J27" s="33">
        <f t="shared" si="6"/>
        <v>116759</v>
      </c>
      <c r="K27" s="33">
        <f t="shared" si="6"/>
        <v>0</v>
      </c>
      <c r="L27" s="33">
        <f t="shared" si="6"/>
        <v>0</v>
      </c>
      <c r="M27" s="33">
        <f t="shared" si="6"/>
        <v>0</v>
      </c>
      <c r="N27" s="33">
        <f t="shared" si="6"/>
        <v>116759</v>
      </c>
      <c r="O27" s="33">
        <f t="shared" si="6"/>
        <v>116759</v>
      </c>
      <c r="P27" s="33">
        <f t="shared" si="6"/>
        <v>1894414</v>
      </c>
      <c r="Q27" s="149"/>
    </row>
    <row r="28" spans="1:17" s="24" customFormat="1" ht="30">
      <c r="A28" s="22"/>
      <c r="B28" s="71" t="s">
        <v>120</v>
      </c>
      <c r="C28" s="71" t="s">
        <v>23</v>
      </c>
      <c r="D28" s="81" t="s">
        <v>118</v>
      </c>
      <c r="E28" s="66">
        <f>F28+I28</f>
        <v>854091</v>
      </c>
      <c r="F28" s="66">
        <f>720570-85950+1446+105200+27000+12000+26825+47000</f>
        <v>854091</v>
      </c>
      <c r="G28" s="87">
        <f>387400-25042</f>
        <v>362358</v>
      </c>
      <c r="H28" s="87">
        <v>29252</v>
      </c>
      <c r="I28" s="56"/>
      <c r="J28" s="66">
        <f>K28+N28</f>
        <v>96759</v>
      </c>
      <c r="K28" s="66"/>
      <c r="L28" s="66"/>
      <c r="M28" s="66"/>
      <c r="N28" s="87">
        <f>50000+4759+69000-27000</f>
        <v>96759</v>
      </c>
      <c r="O28" s="87">
        <f>50000+4759+69000-27000</f>
        <v>96759</v>
      </c>
      <c r="P28" s="66">
        <f>E28+J28</f>
        <v>950850</v>
      </c>
      <c r="Q28" s="149"/>
    </row>
    <row r="29" spans="1:17" s="24" customFormat="1" ht="30">
      <c r="A29" s="22"/>
      <c r="B29" s="71" t="s">
        <v>121</v>
      </c>
      <c r="C29" s="71" t="s">
        <v>23</v>
      </c>
      <c r="D29" s="81" t="s">
        <v>119</v>
      </c>
      <c r="E29" s="66">
        <f>F29</f>
        <v>923564</v>
      </c>
      <c r="F29" s="66">
        <f>971550-74514+20000+5000+1528</f>
        <v>923564</v>
      </c>
      <c r="G29" s="87">
        <f>621975+11827+1253</f>
        <v>635055</v>
      </c>
      <c r="H29" s="87">
        <v>62533</v>
      </c>
      <c r="I29" s="88"/>
      <c r="J29" s="66">
        <f>K29+N29</f>
        <v>20000</v>
      </c>
      <c r="K29" s="88"/>
      <c r="L29" s="88"/>
      <c r="M29" s="88"/>
      <c r="N29" s="87">
        <v>20000</v>
      </c>
      <c r="O29" s="87">
        <v>20000</v>
      </c>
      <c r="P29" s="66">
        <f>E29+J29</f>
        <v>943564</v>
      </c>
      <c r="Q29" s="149"/>
    </row>
    <row r="30" spans="1:17" s="24" customFormat="1" ht="15" customHeight="1">
      <c r="A30" s="22"/>
      <c r="B30" s="31" t="s">
        <v>122</v>
      </c>
      <c r="C30" s="25"/>
      <c r="D30" s="89" t="s">
        <v>123</v>
      </c>
      <c r="E30" s="43">
        <f>E31+E32</f>
        <v>1023780</v>
      </c>
      <c r="F30" s="43">
        <f aca="true" t="shared" si="7" ref="F30:O30">F31+F32</f>
        <v>1023780</v>
      </c>
      <c r="G30" s="43">
        <f t="shared" si="7"/>
        <v>0</v>
      </c>
      <c r="H30" s="43">
        <f t="shared" si="7"/>
        <v>0</v>
      </c>
      <c r="I30" s="43">
        <f t="shared" si="7"/>
        <v>0</v>
      </c>
      <c r="J30" s="43">
        <f t="shared" si="7"/>
        <v>0</v>
      </c>
      <c r="K30" s="43">
        <f t="shared" si="7"/>
        <v>0</v>
      </c>
      <c r="L30" s="43">
        <f t="shared" si="7"/>
        <v>0</v>
      </c>
      <c r="M30" s="43">
        <f t="shared" si="7"/>
        <v>0</v>
      </c>
      <c r="N30" s="43">
        <f t="shared" si="7"/>
        <v>0</v>
      </c>
      <c r="O30" s="43">
        <f t="shared" si="7"/>
        <v>0</v>
      </c>
      <c r="P30" s="43">
        <f>P31+P32</f>
        <v>1023780</v>
      </c>
      <c r="Q30" s="149"/>
    </row>
    <row r="31" spans="1:17" s="80" customFormat="1" ht="45">
      <c r="A31" s="79"/>
      <c r="B31" s="78" t="s">
        <v>124</v>
      </c>
      <c r="C31" s="75" t="s">
        <v>24</v>
      </c>
      <c r="D31" s="90" t="s">
        <v>126</v>
      </c>
      <c r="E31" s="58">
        <f>F31+I31</f>
        <v>500000</v>
      </c>
      <c r="F31" s="66">
        <v>500000</v>
      </c>
      <c r="G31" s="91"/>
      <c r="H31" s="91"/>
      <c r="I31" s="92"/>
      <c r="J31" s="58">
        <f>K31+N31</f>
        <v>0</v>
      </c>
      <c r="K31" s="58"/>
      <c r="L31" s="58"/>
      <c r="M31" s="58"/>
      <c r="N31" s="57"/>
      <c r="O31" s="57"/>
      <c r="P31" s="58">
        <f>E31+J31</f>
        <v>500000</v>
      </c>
      <c r="Q31" s="149"/>
    </row>
    <row r="32" spans="1:17" s="80" customFormat="1" ht="45">
      <c r="A32" s="79"/>
      <c r="B32" s="78" t="s">
        <v>125</v>
      </c>
      <c r="C32" s="71" t="s">
        <v>25</v>
      </c>
      <c r="D32" s="72" t="s">
        <v>26</v>
      </c>
      <c r="E32" s="60">
        <f>F32+I32</f>
        <v>523780</v>
      </c>
      <c r="F32" s="66">
        <f>500000+16500+7280</f>
        <v>523780</v>
      </c>
      <c r="G32" s="93"/>
      <c r="H32" s="93"/>
      <c r="I32" s="94"/>
      <c r="J32" s="60">
        <f>K32+N32</f>
        <v>0</v>
      </c>
      <c r="K32" s="60"/>
      <c r="L32" s="60"/>
      <c r="M32" s="60"/>
      <c r="N32" s="59"/>
      <c r="O32" s="59"/>
      <c r="P32" s="60">
        <f>E32+J32</f>
        <v>523780</v>
      </c>
      <c r="Q32" s="149"/>
    </row>
    <row r="33" spans="1:17" s="24" customFormat="1" ht="30">
      <c r="A33" s="44"/>
      <c r="B33" s="42" t="s">
        <v>128</v>
      </c>
      <c r="C33" s="41"/>
      <c r="D33" s="45" t="s">
        <v>127</v>
      </c>
      <c r="E33" s="66">
        <f>E34+E35</f>
        <v>9535411</v>
      </c>
      <c r="F33" s="66">
        <f aca="true" t="shared" si="8" ref="F33:P33">F34+F35</f>
        <v>9535411</v>
      </c>
      <c r="G33" s="66">
        <f t="shared" si="8"/>
        <v>3552608</v>
      </c>
      <c r="H33" s="66">
        <f t="shared" si="8"/>
        <v>410216</v>
      </c>
      <c r="I33" s="66">
        <f t="shared" si="8"/>
        <v>0</v>
      </c>
      <c r="J33" s="66">
        <f t="shared" si="8"/>
        <v>234000</v>
      </c>
      <c r="K33" s="66">
        <f t="shared" si="8"/>
        <v>0</v>
      </c>
      <c r="L33" s="66">
        <f t="shared" si="8"/>
        <v>0</v>
      </c>
      <c r="M33" s="66">
        <f t="shared" si="8"/>
        <v>0</v>
      </c>
      <c r="N33" s="66">
        <f t="shared" si="8"/>
        <v>234000</v>
      </c>
      <c r="O33" s="66">
        <f t="shared" si="8"/>
        <v>234000</v>
      </c>
      <c r="P33" s="66">
        <f t="shared" si="8"/>
        <v>9769411</v>
      </c>
      <c r="Q33" s="149"/>
    </row>
    <row r="34" spans="1:17" s="80" customFormat="1" ht="45">
      <c r="A34" s="79"/>
      <c r="B34" s="78" t="s">
        <v>131</v>
      </c>
      <c r="C34" s="71" t="s">
        <v>27</v>
      </c>
      <c r="D34" s="72" t="s">
        <v>129</v>
      </c>
      <c r="E34" s="60">
        <f>F34+I34</f>
        <v>5322534</v>
      </c>
      <c r="F34" s="66">
        <f>5633420-548729+30000+7000+34000+1569+14132+13000+4000+10000+124142</f>
        <v>5322534</v>
      </c>
      <c r="G34" s="66">
        <f>3602473-51151+1286</f>
        <v>3552608</v>
      </c>
      <c r="H34" s="66">
        <v>410216</v>
      </c>
      <c r="I34" s="94"/>
      <c r="J34" s="60">
        <f>K34+N34</f>
        <v>211000</v>
      </c>
      <c r="K34" s="65"/>
      <c r="L34" s="65"/>
      <c r="M34" s="65"/>
      <c r="N34" s="59">
        <f>200000+10000-13000+14000</f>
        <v>211000</v>
      </c>
      <c r="O34" s="59">
        <f>200000+10000-13000+14000</f>
        <v>211000</v>
      </c>
      <c r="P34" s="60">
        <f>E34+J34</f>
        <v>5533534</v>
      </c>
      <c r="Q34" s="149"/>
    </row>
    <row r="35" spans="1:17" s="80" customFormat="1" ht="45">
      <c r="A35" s="79"/>
      <c r="B35" s="78" t="s">
        <v>132</v>
      </c>
      <c r="C35" s="71" t="s">
        <v>30</v>
      </c>
      <c r="D35" s="72" t="s">
        <v>130</v>
      </c>
      <c r="E35" s="60">
        <f>F35+I35</f>
        <v>4212877</v>
      </c>
      <c r="F35" s="66">
        <f>4485660-399442+10000+25000+38000+5659+42000+6000</f>
        <v>4212877</v>
      </c>
      <c r="G35" s="93"/>
      <c r="H35" s="93"/>
      <c r="I35" s="94"/>
      <c r="J35" s="60">
        <f>K35+N35</f>
        <v>23000</v>
      </c>
      <c r="K35" s="65"/>
      <c r="L35" s="65"/>
      <c r="M35" s="65"/>
      <c r="N35" s="59">
        <f>12000+11000</f>
        <v>23000</v>
      </c>
      <c r="O35" s="59">
        <f>12000+11000</f>
        <v>23000</v>
      </c>
      <c r="P35" s="60">
        <f>E35+J35</f>
        <v>4235877</v>
      </c>
      <c r="Q35" s="149"/>
    </row>
    <row r="36" spans="1:17" s="80" customFormat="1" ht="30">
      <c r="A36" s="79"/>
      <c r="B36" s="42" t="s">
        <v>134</v>
      </c>
      <c r="C36" s="41" t="s">
        <v>29</v>
      </c>
      <c r="D36" s="45" t="s">
        <v>133</v>
      </c>
      <c r="E36" s="66">
        <f>F36+I36</f>
        <v>2125166</v>
      </c>
      <c r="F36" s="66">
        <f>1995340-308001+17000+14500+6327+400000</f>
        <v>2125166</v>
      </c>
      <c r="G36" s="66">
        <f>1058675-128369+5186</f>
        <v>935492</v>
      </c>
      <c r="H36" s="66">
        <v>384290</v>
      </c>
      <c r="I36" s="56"/>
      <c r="J36" s="66">
        <f>K36+N36</f>
        <v>817714</v>
      </c>
      <c r="K36" s="66">
        <v>317714</v>
      </c>
      <c r="L36" s="66">
        <v>144491</v>
      </c>
      <c r="M36" s="66">
        <v>97628</v>
      </c>
      <c r="N36" s="87">
        <v>500000</v>
      </c>
      <c r="O36" s="87">
        <v>500000</v>
      </c>
      <c r="P36" s="66">
        <f>E36+J36</f>
        <v>2942880</v>
      </c>
      <c r="Q36" s="149"/>
    </row>
    <row r="37" spans="1:17" s="24" customFormat="1" ht="15">
      <c r="A37" s="44"/>
      <c r="B37" s="42" t="s">
        <v>135</v>
      </c>
      <c r="C37" s="41" t="s">
        <v>28</v>
      </c>
      <c r="D37" s="45" t="s">
        <v>19</v>
      </c>
      <c r="E37" s="66">
        <f>E38</f>
        <v>2373363</v>
      </c>
      <c r="F37" s="66">
        <f>F38</f>
        <v>2373363</v>
      </c>
      <c r="G37" s="66">
        <f>G38</f>
        <v>0</v>
      </c>
      <c r="H37" s="66">
        <f aca="true" t="shared" si="9" ref="H37:P37">H38</f>
        <v>0</v>
      </c>
      <c r="I37" s="66">
        <f t="shared" si="9"/>
        <v>0</v>
      </c>
      <c r="J37" s="66">
        <f t="shared" si="9"/>
        <v>0</v>
      </c>
      <c r="K37" s="66">
        <f t="shared" si="9"/>
        <v>0</v>
      </c>
      <c r="L37" s="66">
        <f t="shared" si="9"/>
        <v>0</v>
      </c>
      <c r="M37" s="66">
        <f t="shared" si="9"/>
        <v>0</v>
      </c>
      <c r="N37" s="66">
        <f t="shared" si="9"/>
        <v>0</v>
      </c>
      <c r="O37" s="66">
        <f t="shared" si="9"/>
        <v>0</v>
      </c>
      <c r="P37" s="66">
        <f t="shared" si="9"/>
        <v>2373363</v>
      </c>
      <c r="Q37" s="149"/>
    </row>
    <row r="38" spans="1:17" s="24" customFormat="1" ht="45">
      <c r="A38" s="22"/>
      <c r="B38" s="71" t="s">
        <v>136</v>
      </c>
      <c r="C38" s="71" t="s">
        <v>28</v>
      </c>
      <c r="D38" s="81" t="s">
        <v>348</v>
      </c>
      <c r="E38" s="66">
        <f>F38+I38</f>
        <v>2373363</v>
      </c>
      <c r="F38" s="66">
        <f>2545380-198212+20000+6195</f>
        <v>2373363</v>
      </c>
      <c r="G38" s="87"/>
      <c r="H38" s="87"/>
      <c r="I38" s="56"/>
      <c r="J38" s="66">
        <f>K38+N38</f>
        <v>0</v>
      </c>
      <c r="K38" s="54"/>
      <c r="L38" s="54"/>
      <c r="M38" s="54"/>
      <c r="N38" s="87"/>
      <c r="O38" s="87"/>
      <c r="P38" s="66">
        <f>E38+J38</f>
        <v>2373363</v>
      </c>
      <c r="Q38" s="149"/>
    </row>
    <row r="39" spans="1:17" s="24" customFormat="1" ht="15">
      <c r="A39" s="22"/>
      <c r="B39" s="31" t="s">
        <v>138</v>
      </c>
      <c r="C39" s="25" t="s">
        <v>21</v>
      </c>
      <c r="D39" s="26" t="s">
        <v>137</v>
      </c>
      <c r="E39" s="33">
        <f>F39+I39</f>
        <v>162579.79</v>
      </c>
      <c r="F39" s="33">
        <f>125140+37439.79</f>
        <v>162579.79</v>
      </c>
      <c r="G39" s="33"/>
      <c r="H39" s="33">
        <f>124940+37439.79</f>
        <v>162379.79</v>
      </c>
      <c r="I39" s="33"/>
      <c r="J39" s="33">
        <f>K39+N39</f>
        <v>0</v>
      </c>
      <c r="K39" s="33"/>
      <c r="L39" s="33"/>
      <c r="M39" s="33"/>
      <c r="N39" s="33"/>
      <c r="O39" s="33"/>
      <c r="P39" s="33">
        <f>E39+J39</f>
        <v>162579.79</v>
      </c>
      <c r="Q39" s="149"/>
    </row>
    <row r="40" spans="1:17" s="24" customFormat="1" ht="30">
      <c r="A40" s="22"/>
      <c r="B40" s="34" t="s">
        <v>428</v>
      </c>
      <c r="C40" s="25" t="s">
        <v>317</v>
      </c>
      <c r="D40" s="26" t="s">
        <v>318</v>
      </c>
      <c r="E40" s="33">
        <f>F40+I40</f>
        <v>99000</v>
      </c>
      <c r="F40" s="33">
        <v>99000</v>
      </c>
      <c r="G40" s="33"/>
      <c r="H40" s="33"/>
      <c r="I40" s="33"/>
      <c r="J40" s="33"/>
      <c r="K40" s="33"/>
      <c r="L40" s="33"/>
      <c r="M40" s="33"/>
      <c r="N40" s="33"/>
      <c r="O40" s="33"/>
      <c r="P40" s="33">
        <f>E40+J40</f>
        <v>99000</v>
      </c>
      <c r="Q40" s="149"/>
    </row>
    <row r="41" spans="1:17" s="24" customFormat="1" ht="30">
      <c r="A41" s="22"/>
      <c r="B41" s="31" t="s">
        <v>326</v>
      </c>
      <c r="C41" s="25" t="s">
        <v>323</v>
      </c>
      <c r="D41" s="26" t="s">
        <v>325</v>
      </c>
      <c r="E41" s="33">
        <f>F41+I41</f>
        <v>1642000</v>
      </c>
      <c r="F41" s="33"/>
      <c r="G41" s="33"/>
      <c r="H41" s="33"/>
      <c r="I41" s="33">
        <v>1642000</v>
      </c>
      <c r="J41" s="33"/>
      <c r="K41" s="33"/>
      <c r="L41" s="33"/>
      <c r="M41" s="33"/>
      <c r="N41" s="33"/>
      <c r="O41" s="33"/>
      <c r="P41" s="33">
        <f>E41+J41</f>
        <v>1642000</v>
      </c>
      <c r="Q41" s="149"/>
    </row>
    <row r="42" spans="1:17" s="24" customFormat="1" ht="30">
      <c r="A42" s="22"/>
      <c r="B42" s="31" t="s">
        <v>328</v>
      </c>
      <c r="C42" s="25"/>
      <c r="D42" s="26" t="s">
        <v>327</v>
      </c>
      <c r="E42" s="33">
        <f>E43</f>
        <v>3607600</v>
      </c>
      <c r="F42" s="33">
        <f>F43</f>
        <v>0</v>
      </c>
      <c r="G42" s="33">
        <f aca="true" t="shared" si="10" ref="G42:P42">G43</f>
        <v>0</v>
      </c>
      <c r="H42" s="33">
        <f t="shared" si="10"/>
        <v>0</v>
      </c>
      <c r="I42" s="33">
        <f t="shared" si="10"/>
        <v>3607600</v>
      </c>
      <c r="J42" s="33">
        <f t="shared" si="10"/>
        <v>0</v>
      </c>
      <c r="K42" s="33">
        <f t="shared" si="10"/>
        <v>0</v>
      </c>
      <c r="L42" s="33">
        <f t="shared" si="10"/>
        <v>0</v>
      </c>
      <c r="M42" s="33">
        <f t="shared" si="10"/>
        <v>0</v>
      </c>
      <c r="N42" s="33">
        <f t="shared" si="10"/>
        <v>0</v>
      </c>
      <c r="O42" s="33">
        <f t="shared" si="10"/>
        <v>0</v>
      </c>
      <c r="P42" s="33">
        <f t="shared" si="10"/>
        <v>3607600</v>
      </c>
      <c r="Q42" s="149"/>
    </row>
    <row r="43" spans="1:17" s="80" customFormat="1" ht="30">
      <c r="A43" s="79"/>
      <c r="B43" s="78" t="s">
        <v>329</v>
      </c>
      <c r="C43" s="71" t="s">
        <v>324</v>
      </c>
      <c r="D43" s="72" t="s">
        <v>330</v>
      </c>
      <c r="E43" s="60">
        <f>F43+I43</f>
        <v>3607600</v>
      </c>
      <c r="F43" s="60"/>
      <c r="G43" s="60"/>
      <c r="H43" s="60"/>
      <c r="I43" s="66">
        <v>3607600</v>
      </c>
      <c r="J43" s="64"/>
      <c r="K43" s="64"/>
      <c r="L43" s="64"/>
      <c r="M43" s="64"/>
      <c r="N43" s="64"/>
      <c r="O43" s="64"/>
      <c r="P43" s="64">
        <f>E43+J43</f>
        <v>3607600</v>
      </c>
      <c r="Q43" s="149"/>
    </row>
    <row r="44" spans="1:17" s="24" customFormat="1" ht="24.75" customHeight="1">
      <c r="A44" s="44"/>
      <c r="B44" s="42" t="s">
        <v>139</v>
      </c>
      <c r="C44" s="41" t="s">
        <v>31</v>
      </c>
      <c r="D44" s="45" t="s">
        <v>32</v>
      </c>
      <c r="E44" s="66">
        <f>F44+I44</f>
        <v>10651740</v>
      </c>
      <c r="F44" s="66"/>
      <c r="G44" s="54"/>
      <c r="H44" s="54"/>
      <c r="I44" s="66">
        <f>2000000+1600000+2098040+420000+1474800+3058900</f>
        <v>10651740</v>
      </c>
      <c r="J44" s="66">
        <f>K44+N44</f>
        <v>650000</v>
      </c>
      <c r="K44" s="66"/>
      <c r="L44" s="66"/>
      <c r="M44" s="66"/>
      <c r="N44" s="66">
        <v>650000</v>
      </c>
      <c r="O44" s="66">
        <v>650000</v>
      </c>
      <c r="P44" s="66">
        <f>E44+J44</f>
        <v>11301740</v>
      </c>
      <c r="Q44" s="149"/>
    </row>
    <row r="45" spans="1:17" s="24" customFormat="1" ht="24.75" customHeight="1">
      <c r="A45" s="22"/>
      <c r="B45" s="31" t="s">
        <v>435</v>
      </c>
      <c r="C45" s="25" t="s">
        <v>436</v>
      </c>
      <c r="D45" s="26" t="s">
        <v>437</v>
      </c>
      <c r="E45" s="33">
        <f>E46</f>
        <v>2447500</v>
      </c>
      <c r="F45" s="33">
        <f aca="true" t="shared" si="11" ref="F45:P45">F46</f>
        <v>0</v>
      </c>
      <c r="G45" s="33">
        <f t="shared" si="11"/>
        <v>0</v>
      </c>
      <c r="H45" s="33">
        <f t="shared" si="11"/>
        <v>0</v>
      </c>
      <c r="I45" s="33">
        <f t="shared" si="11"/>
        <v>2447500</v>
      </c>
      <c r="J45" s="33">
        <f t="shared" si="11"/>
        <v>0</v>
      </c>
      <c r="K45" s="33">
        <f t="shared" si="11"/>
        <v>0</v>
      </c>
      <c r="L45" s="33">
        <f t="shared" si="11"/>
        <v>0</v>
      </c>
      <c r="M45" s="33">
        <f t="shared" si="11"/>
        <v>0</v>
      </c>
      <c r="N45" s="33">
        <f t="shared" si="11"/>
        <v>0</v>
      </c>
      <c r="O45" s="33">
        <f t="shared" si="11"/>
        <v>0</v>
      </c>
      <c r="P45" s="33">
        <f t="shared" si="11"/>
        <v>2447500</v>
      </c>
      <c r="Q45" s="149"/>
    </row>
    <row r="46" spans="1:17" s="80" customFormat="1" ht="30">
      <c r="A46" s="79"/>
      <c r="B46" s="78" t="s">
        <v>439</v>
      </c>
      <c r="C46" s="71" t="s">
        <v>436</v>
      </c>
      <c r="D46" s="72" t="s">
        <v>438</v>
      </c>
      <c r="E46" s="60">
        <f>F46+I46</f>
        <v>2447500</v>
      </c>
      <c r="F46" s="60"/>
      <c r="G46" s="65"/>
      <c r="H46" s="65"/>
      <c r="I46" s="60">
        <f>350000+156400+1941100</f>
        <v>2447500</v>
      </c>
      <c r="J46" s="60"/>
      <c r="K46" s="60"/>
      <c r="L46" s="60"/>
      <c r="M46" s="60"/>
      <c r="N46" s="60"/>
      <c r="O46" s="60"/>
      <c r="P46" s="60">
        <f>E46+J46</f>
        <v>2447500</v>
      </c>
      <c r="Q46" s="149"/>
    </row>
    <row r="47" spans="1:17" s="24" customFormat="1" ht="20.25" customHeight="1">
      <c r="A47" s="44"/>
      <c r="B47" s="42" t="s">
        <v>313</v>
      </c>
      <c r="C47" s="41"/>
      <c r="D47" s="45" t="s">
        <v>312</v>
      </c>
      <c r="E47" s="66">
        <f>E48</f>
        <v>101500</v>
      </c>
      <c r="F47" s="66">
        <f aca="true" t="shared" si="12" ref="F47:P47">F48</f>
        <v>101500</v>
      </c>
      <c r="G47" s="66">
        <f t="shared" si="12"/>
        <v>0</v>
      </c>
      <c r="H47" s="66">
        <f t="shared" si="12"/>
        <v>0</v>
      </c>
      <c r="I47" s="66">
        <f t="shared" si="12"/>
        <v>0</v>
      </c>
      <c r="J47" s="66">
        <f t="shared" si="12"/>
        <v>0</v>
      </c>
      <c r="K47" s="66">
        <f t="shared" si="12"/>
        <v>0</v>
      </c>
      <c r="L47" s="66">
        <f t="shared" si="12"/>
        <v>0</v>
      </c>
      <c r="M47" s="66">
        <f t="shared" si="12"/>
        <v>0</v>
      </c>
      <c r="N47" s="66">
        <f t="shared" si="12"/>
        <v>0</v>
      </c>
      <c r="O47" s="66">
        <f t="shared" si="12"/>
        <v>0</v>
      </c>
      <c r="P47" s="66">
        <f t="shared" si="12"/>
        <v>101500</v>
      </c>
      <c r="Q47" s="149"/>
    </row>
    <row r="48" spans="1:17" s="80" customFormat="1" ht="29.25" customHeight="1">
      <c r="A48" s="79"/>
      <c r="B48" s="78" t="s">
        <v>315</v>
      </c>
      <c r="C48" s="71" t="s">
        <v>316</v>
      </c>
      <c r="D48" s="72" t="s">
        <v>314</v>
      </c>
      <c r="E48" s="60">
        <f>F48+I48</f>
        <v>101500</v>
      </c>
      <c r="F48" s="66">
        <f>90300+7700+3500</f>
        <v>101500</v>
      </c>
      <c r="G48" s="65"/>
      <c r="H48" s="65"/>
      <c r="I48" s="65"/>
      <c r="J48" s="60"/>
      <c r="K48" s="60"/>
      <c r="L48" s="60"/>
      <c r="M48" s="60"/>
      <c r="N48" s="60"/>
      <c r="O48" s="60"/>
      <c r="P48" s="60">
        <f>E48+J48</f>
        <v>101500</v>
      </c>
      <c r="Q48" s="149"/>
    </row>
    <row r="49" spans="1:17" s="24" customFormat="1" ht="30">
      <c r="A49" s="44"/>
      <c r="B49" s="42" t="s">
        <v>141</v>
      </c>
      <c r="C49" s="41" t="s">
        <v>33</v>
      </c>
      <c r="D49" s="45" t="s">
        <v>140</v>
      </c>
      <c r="E49" s="66">
        <f>F49+I49</f>
        <v>85000</v>
      </c>
      <c r="F49" s="66">
        <v>85000</v>
      </c>
      <c r="G49" s="54"/>
      <c r="H49" s="54"/>
      <c r="I49" s="54"/>
      <c r="J49" s="66">
        <f>K49+N49</f>
        <v>0</v>
      </c>
      <c r="K49" s="54"/>
      <c r="L49" s="54"/>
      <c r="M49" s="54"/>
      <c r="N49" s="66"/>
      <c r="O49" s="66"/>
      <c r="P49" s="66">
        <f>E49+J49</f>
        <v>85000</v>
      </c>
      <c r="Q49" s="149"/>
    </row>
    <row r="50" spans="1:17" s="24" customFormat="1" ht="30">
      <c r="A50" s="22"/>
      <c r="B50" s="31" t="s">
        <v>143</v>
      </c>
      <c r="C50" s="25" t="s">
        <v>34</v>
      </c>
      <c r="D50" s="26" t="s">
        <v>142</v>
      </c>
      <c r="E50" s="33">
        <f>F50+I50</f>
        <v>0</v>
      </c>
      <c r="F50" s="54"/>
      <c r="G50" s="54"/>
      <c r="H50" s="54"/>
      <c r="I50" s="54"/>
      <c r="J50" s="66">
        <f>K50+N50</f>
        <v>51400000</v>
      </c>
      <c r="K50" s="54"/>
      <c r="L50" s="54"/>
      <c r="M50" s="54"/>
      <c r="N50" s="66">
        <f>46000000+5400000+1302900-1302900</f>
        <v>51400000</v>
      </c>
      <c r="O50" s="66">
        <f>46000000+5400000+1302900-1302900</f>
        <v>51400000</v>
      </c>
      <c r="P50" s="66">
        <f>E50+J50</f>
        <v>51400000</v>
      </c>
      <c r="Q50" s="149"/>
    </row>
    <row r="51" spans="1:17" s="24" customFormat="1" ht="30">
      <c r="A51" s="22"/>
      <c r="B51" s="31" t="s">
        <v>144</v>
      </c>
      <c r="C51" s="25" t="s">
        <v>35</v>
      </c>
      <c r="D51" s="26" t="s">
        <v>36</v>
      </c>
      <c r="E51" s="33">
        <f>E52</f>
        <v>837300</v>
      </c>
      <c r="F51" s="33">
        <f aca="true" t="shared" si="13" ref="F51:P51">F52</f>
        <v>837300</v>
      </c>
      <c r="G51" s="33">
        <f t="shared" si="13"/>
        <v>0</v>
      </c>
      <c r="H51" s="33">
        <f t="shared" si="13"/>
        <v>0</v>
      </c>
      <c r="I51" s="33">
        <f t="shared" si="13"/>
        <v>0</v>
      </c>
      <c r="J51" s="33">
        <f t="shared" si="13"/>
        <v>0</v>
      </c>
      <c r="K51" s="33">
        <f t="shared" si="13"/>
        <v>0</v>
      </c>
      <c r="L51" s="33">
        <f t="shared" si="13"/>
        <v>0</v>
      </c>
      <c r="M51" s="33">
        <f t="shared" si="13"/>
        <v>0</v>
      </c>
      <c r="N51" s="33">
        <f t="shared" si="13"/>
        <v>0</v>
      </c>
      <c r="O51" s="33">
        <f t="shared" si="13"/>
        <v>0</v>
      </c>
      <c r="P51" s="33">
        <f t="shared" si="13"/>
        <v>837300</v>
      </c>
      <c r="Q51" s="149"/>
    </row>
    <row r="52" spans="1:17" s="80" customFormat="1" ht="45">
      <c r="A52" s="79"/>
      <c r="B52" s="78" t="s">
        <v>145</v>
      </c>
      <c r="C52" s="41" t="s">
        <v>35</v>
      </c>
      <c r="D52" s="39" t="s">
        <v>336</v>
      </c>
      <c r="E52" s="33">
        <f>F52+I52</f>
        <v>837300</v>
      </c>
      <c r="F52" s="33">
        <f>837300</f>
        <v>837300</v>
      </c>
      <c r="G52" s="54"/>
      <c r="H52" s="54"/>
      <c r="I52" s="54"/>
      <c r="J52" s="66">
        <f>K52+N52</f>
        <v>0</v>
      </c>
      <c r="K52" s="54"/>
      <c r="L52" s="54"/>
      <c r="M52" s="54"/>
      <c r="N52" s="54"/>
      <c r="O52" s="54"/>
      <c r="P52" s="66">
        <f>E52+J52</f>
        <v>837300</v>
      </c>
      <c r="Q52" s="149"/>
    </row>
    <row r="53" spans="1:17" s="24" customFormat="1" ht="45">
      <c r="A53" s="44"/>
      <c r="B53" s="42" t="s">
        <v>149</v>
      </c>
      <c r="C53" s="41" t="s">
        <v>37</v>
      </c>
      <c r="D53" s="45" t="s">
        <v>148</v>
      </c>
      <c r="E53" s="66">
        <f>F53+I53</f>
        <v>172410</v>
      </c>
      <c r="F53" s="66">
        <f>162726+9684</f>
        <v>172410</v>
      </c>
      <c r="G53" s="54"/>
      <c r="H53" s="66">
        <v>4300</v>
      </c>
      <c r="I53" s="54"/>
      <c r="J53" s="66">
        <f>K53+N53</f>
        <v>343874</v>
      </c>
      <c r="K53" s="66"/>
      <c r="L53" s="66"/>
      <c r="M53" s="66"/>
      <c r="N53" s="66">
        <v>343874</v>
      </c>
      <c r="O53" s="66">
        <v>343874</v>
      </c>
      <c r="P53" s="66">
        <f>E53+J53</f>
        <v>516284</v>
      </c>
      <c r="Q53" s="149">
        <v>77</v>
      </c>
    </row>
    <row r="54" spans="1:17" s="24" customFormat="1" ht="60">
      <c r="A54" s="22"/>
      <c r="B54" s="34" t="s">
        <v>441</v>
      </c>
      <c r="C54" s="25" t="s">
        <v>442</v>
      </c>
      <c r="D54" s="26" t="s">
        <v>443</v>
      </c>
      <c r="E54" s="33">
        <f>F54+I54</f>
        <v>521170</v>
      </c>
      <c r="F54" s="33">
        <f>100000+150000+30000+40000+181170+20000</f>
        <v>521170</v>
      </c>
      <c r="G54" s="54"/>
      <c r="H54" s="66"/>
      <c r="I54" s="54"/>
      <c r="J54" s="66">
        <f>K54+N54</f>
        <v>518830</v>
      </c>
      <c r="K54" s="66"/>
      <c r="L54" s="66"/>
      <c r="M54" s="66"/>
      <c r="N54" s="66">
        <v>518830</v>
      </c>
      <c r="O54" s="66">
        <v>518830</v>
      </c>
      <c r="P54" s="66">
        <f>E54+J54</f>
        <v>1040000</v>
      </c>
      <c r="Q54" s="149"/>
    </row>
    <row r="55" spans="1:17" s="24" customFormat="1" ht="19.5" customHeight="1">
      <c r="A55" s="22"/>
      <c r="B55" s="31" t="s">
        <v>147</v>
      </c>
      <c r="C55" s="28" t="s">
        <v>38</v>
      </c>
      <c r="D55" s="26" t="s">
        <v>146</v>
      </c>
      <c r="E55" s="33">
        <f>F55+I55</f>
        <v>900100</v>
      </c>
      <c r="F55" s="33">
        <f>1027600-160500+30000+3000</f>
        <v>900100</v>
      </c>
      <c r="G55" s="33">
        <f>690800-52700+2500</f>
        <v>640600</v>
      </c>
      <c r="H55" s="33">
        <v>46377</v>
      </c>
      <c r="I55" s="33"/>
      <c r="J55" s="33">
        <f>K55+N55</f>
        <v>4700</v>
      </c>
      <c r="K55" s="33">
        <v>4700</v>
      </c>
      <c r="L55" s="33"/>
      <c r="M55" s="33">
        <v>720</v>
      </c>
      <c r="N55" s="33"/>
      <c r="O55" s="33"/>
      <c r="P55" s="33">
        <f>E55+J55</f>
        <v>904800</v>
      </c>
      <c r="Q55" s="149"/>
    </row>
    <row r="56" spans="1:17" s="24" customFormat="1" ht="21.75" customHeight="1">
      <c r="A56" s="22"/>
      <c r="B56" s="31" t="s">
        <v>157</v>
      </c>
      <c r="C56" s="25" t="s">
        <v>42</v>
      </c>
      <c r="D56" s="26" t="s">
        <v>19</v>
      </c>
      <c r="E56" s="33">
        <f>E57+E58+E59+E60+E61+E62</f>
        <v>2384437</v>
      </c>
      <c r="F56" s="33">
        <f aca="true" t="shared" si="14" ref="F56:P56">F57+F58+F59+F60+F61+F62</f>
        <v>2384437</v>
      </c>
      <c r="G56" s="33">
        <f t="shared" si="14"/>
        <v>0</v>
      </c>
      <c r="H56" s="33">
        <f t="shared" si="14"/>
        <v>196820</v>
      </c>
      <c r="I56" s="33">
        <f t="shared" si="14"/>
        <v>0</v>
      </c>
      <c r="J56" s="33">
        <f t="shared" si="14"/>
        <v>114000</v>
      </c>
      <c r="K56" s="33">
        <f t="shared" si="14"/>
        <v>0</v>
      </c>
      <c r="L56" s="33">
        <f t="shared" si="14"/>
        <v>0</v>
      </c>
      <c r="M56" s="33">
        <f t="shared" si="14"/>
        <v>0</v>
      </c>
      <c r="N56" s="33">
        <f t="shared" si="14"/>
        <v>114000</v>
      </c>
      <c r="O56" s="33">
        <f t="shared" si="14"/>
        <v>114000</v>
      </c>
      <c r="P56" s="33">
        <f t="shared" si="14"/>
        <v>2498437</v>
      </c>
      <c r="Q56" s="149"/>
    </row>
    <row r="57" spans="1:17" s="24" customFormat="1" ht="45">
      <c r="A57" s="22"/>
      <c r="B57" s="71" t="s">
        <v>152</v>
      </c>
      <c r="C57" s="77" t="s">
        <v>42</v>
      </c>
      <c r="D57" s="82" t="s">
        <v>333</v>
      </c>
      <c r="E57" s="60">
        <f aca="true" t="shared" si="15" ref="E57:E63">F57+I57</f>
        <v>572644</v>
      </c>
      <c r="F57" s="60">
        <f>572644</f>
        <v>572644</v>
      </c>
      <c r="G57" s="59"/>
      <c r="H57" s="66">
        <v>196820</v>
      </c>
      <c r="I57" s="65"/>
      <c r="J57" s="60">
        <f aca="true" t="shared" si="16" ref="J57:J63">K57+N57</f>
        <v>89000</v>
      </c>
      <c r="K57" s="65"/>
      <c r="L57" s="65"/>
      <c r="M57" s="65"/>
      <c r="N57" s="65">
        <v>89000</v>
      </c>
      <c r="O57" s="65">
        <v>89000</v>
      </c>
      <c r="P57" s="60">
        <f aca="true" t="shared" si="17" ref="P57:P63">E57+J57</f>
        <v>661644</v>
      </c>
      <c r="Q57" s="149"/>
    </row>
    <row r="58" spans="1:17" s="24" customFormat="1" ht="45">
      <c r="A58" s="22"/>
      <c r="B58" s="71" t="s">
        <v>153</v>
      </c>
      <c r="C58" s="77" t="s">
        <v>42</v>
      </c>
      <c r="D58" s="82" t="s">
        <v>334</v>
      </c>
      <c r="E58" s="60">
        <f t="shared" si="15"/>
        <v>95580</v>
      </c>
      <c r="F58" s="60">
        <f>80580+15000</f>
        <v>95580</v>
      </c>
      <c r="G58" s="59"/>
      <c r="H58" s="59"/>
      <c r="I58" s="65"/>
      <c r="J58" s="60">
        <f t="shared" si="16"/>
        <v>0</v>
      </c>
      <c r="K58" s="65"/>
      <c r="L58" s="65"/>
      <c r="M58" s="65"/>
      <c r="N58" s="65"/>
      <c r="O58" s="65"/>
      <c r="P58" s="60">
        <f t="shared" si="17"/>
        <v>95580</v>
      </c>
      <c r="Q58" s="149"/>
    </row>
    <row r="59" spans="1:17" s="24" customFormat="1" ht="60">
      <c r="A59" s="22"/>
      <c r="B59" s="71" t="s">
        <v>154</v>
      </c>
      <c r="C59" s="77" t="s">
        <v>42</v>
      </c>
      <c r="D59" s="82" t="s">
        <v>335</v>
      </c>
      <c r="E59" s="60">
        <f t="shared" si="15"/>
        <v>130200</v>
      </c>
      <c r="F59" s="60">
        <v>130200</v>
      </c>
      <c r="G59" s="59"/>
      <c r="H59" s="59"/>
      <c r="I59" s="65"/>
      <c r="J59" s="60">
        <f t="shared" si="16"/>
        <v>25000</v>
      </c>
      <c r="K59" s="65"/>
      <c r="L59" s="65"/>
      <c r="M59" s="65"/>
      <c r="N59" s="65">
        <v>25000</v>
      </c>
      <c r="O59" s="65">
        <v>25000</v>
      </c>
      <c r="P59" s="60">
        <f t="shared" si="17"/>
        <v>155200</v>
      </c>
      <c r="Q59" s="149"/>
    </row>
    <row r="60" spans="1:17" s="24" customFormat="1" ht="45">
      <c r="A60" s="22"/>
      <c r="B60" s="71" t="s">
        <v>155</v>
      </c>
      <c r="C60" s="77" t="s">
        <v>42</v>
      </c>
      <c r="D60" s="82" t="s">
        <v>336</v>
      </c>
      <c r="E60" s="60">
        <f t="shared" si="15"/>
        <v>852500</v>
      </c>
      <c r="F60" s="60">
        <f>822500+30000</f>
        <v>852500</v>
      </c>
      <c r="G60" s="59"/>
      <c r="H60" s="59"/>
      <c r="I60" s="65"/>
      <c r="J60" s="60">
        <f t="shared" si="16"/>
        <v>0</v>
      </c>
      <c r="K60" s="65"/>
      <c r="L60" s="65"/>
      <c r="M60" s="65"/>
      <c r="N60" s="33"/>
      <c r="O60" s="33"/>
      <c r="P60" s="60">
        <f t="shared" si="17"/>
        <v>852500</v>
      </c>
      <c r="Q60" s="149"/>
    </row>
    <row r="61" spans="1:17" s="24" customFormat="1" ht="36.75" customHeight="1">
      <c r="A61" s="22"/>
      <c r="B61" s="71" t="s">
        <v>156</v>
      </c>
      <c r="C61" s="77" t="s">
        <v>42</v>
      </c>
      <c r="D61" s="82" t="s">
        <v>337</v>
      </c>
      <c r="E61" s="60">
        <f t="shared" si="15"/>
        <v>688513</v>
      </c>
      <c r="F61" s="122">
        <f>602640-97102+22000+160975</f>
        <v>688513</v>
      </c>
      <c r="G61" s="59"/>
      <c r="H61" s="59"/>
      <c r="I61" s="65"/>
      <c r="J61" s="60">
        <f t="shared" si="16"/>
        <v>0</v>
      </c>
      <c r="K61" s="65"/>
      <c r="L61" s="65"/>
      <c r="M61" s="65"/>
      <c r="N61" s="65"/>
      <c r="O61" s="65"/>
      <c r="P61" s="60">
        <f t="shared" si="17"/>
        <v>688513</v>
      </c>
      <c r="Q61" s="149"/>
    </row>
    <row r="62" spans="1:17" s="24" customFormat="1" ht="60">
      <c r="A62" s="22"/>
      <c r="B62" s="71" t="s">
        <v>467</v>
      </c>
      <c r="C62" s="77" t="s">
        <v>42</v>
      </c>
      <c r="D62" s="82" t="s">
        <v>471</v>
      </c>
      <c r="E62" s="60">
        <f t="shared" si="15"/>
        <v>45000</v>
      </c>
      <c r="F62" s="60">
        <f>45000</f>
        <v>45000</v>
      </c>
      <c r="G62" s="59"/>
      <c r="H62" s="59"/>
      <c r="I62" s="65"/>
      <c r="J62" s="60">
        <f t="shared" si="16"/>
        <v>0</v>
      </c>
      <c r="K62" s="65"/>
      <c r="L62" s="65"/>
      <c r="M62" s="65"/>
      <c r="N62" s="65"/>
      <c r="O62" s="65"/>
      <c r="P62" s="60">
        <f t="shared" si="17"/>
        <v>45000</v>
      </c>
      <c r="Q62" s="149"/>
    </row>
    <row r="63" spans="1:17" s="24" customFormat="1" ht="30">
      <c r="A63" s="22"/>
      <c r="B63" s="34" t="s">
        <v>446</v>
      </c>
      <c r="C63" s="25" t="s">
        <v>422</v>
      </c>
      <c r="D63" s="26" t="s">
        <v>423</v>
      </c>
      <c r="E63" s="33">
        <f t="shared" si="15"/>
        <v>0</v>
      </c>
      <c r="F63" s="33"/>
      <c r="G63" s="55"/>
      <c r="H63" s="55"/>
      <c r="I63" s="33"/>
      <c r="J63" s="33">
        <f t="shared" si="16"/>
        <v>30600</v>
      </c>
      <c r="K63" s="33">
        <v>30600</v>
      </c>
      <c r="L63" s="33"/>
      <c r="M63" s="33"/>
      <c r="N63" s="33"/>
      <c r="O63" s="33"/>
      <c r="P63" s="33">
        <f t="shared" si="17"/>
        <v>30600</v>
      </c>
      <c r="Q63" s="149"/>
    </row>
    <row r="64" spans="1:17" s="24" customFormat="1" ht="60">
      <c r="A64" s="22"/>
      <c r="B64" s="31" t="s">
        <v>150</v>
      </c>
      <c r="C64" s="25" t="s">
        <v>39</v>
      </c>
      <c r="D64" s="26" t="s">
        <v>40</v>
      </c>
      <c r="E64" s="43">
        <f aca="true" t="shared" si="18" ref="E64:P64">E65</f>
        <v>0</v>
      </c>
      <c r="F64" s="43">
        <f t="shared" si="18"/>
        <v>0</v>
      </c>
      <c r="G64" s="43">
        <f t="shared" si="18"/>
        <v>0</v>
      </c>
      <c r="H64" s="43">
        <f t="shared" si="18"/>
        <v>0</v>
      </c>
      <c r="I64" s="43">
        <f t="shared" si="18"/>
        <v>0</v>
      </c>
      <c r="J64" s="43">
        <f t="shared" si="18"/>
        <v>120443.47</v>
      </c>
      <c r="K64" s="43">
        <f t="shared" si="18"/>
        <v>120443.47</v>
      </c>
      <c r="L64" s="43">
        <f t="shared" si="18"/>
        <v>0</v>
      </c>
      <c r="M64" s="43">
        <f t="shared" si="18"/>
        <v>0</v>
      </c>
      <c r="N64" s="43">
        <f t="shared" si="18"/>
        <v>0</v>
      </c>
      <c r="O64" s="43">
        <f t="shared" si="18"/>
        <v>0</v>
      </c>
      <c r="P64" s="43">
        <f t="shared" si="18"/>
        <v>120443.47</v>
      </c>
      <c r="Q64" s="149"/>
    </row>
    <row r="65" spans="1:17" s="80" customFormat="1" ht="60">
      <c r="A65" s="79"/>
      <c r="B65" s="78" t="s">
        <v>151</v>
      </c>
      <c r="C65" s="71" t="s">
        <v>39</v>
      </c>
      <c r="D65" s="72" t="s">
        <v>40</v>
      </c>
      <c r="E65" s="60">
        <f>F65+I65</f>
        <v>0</v>
      </c>
      <c r="F65" s="60"/>
      <c r="G65" s="60"/>
      <c r="H65" s="60"/>
      <c r="I65" s="60"/>
      <c r="J65" s="60">
        <f>K65+N65</f>
        <v>120443.47</v>
      </c>
      <c r="K65" s="60">
        <f>119543+900.47</f>
        <v>120443.47</v>
      </c>
      <c r="L65" s="60"/>
      <c r="M65" s="60"/>
      <c r="N65" s="60"/>
      <c r="O65" s="60"/>
      <c r="P65" s="60">
        <f>E65+J65</f>
        <v>120443.47</v>
      </c>
      <c r="Q65" s="149"/>
    </row>
    <row r="66" spans="1:17" s="24" customFormat="1" ht="28.5">
      <c r="A66" s="44"/>
      <c r="B66" s="41" t="s">
        <v>168</v>
      </c>
      <c r="C66" s="29"/>
      <c r="D66" s="30" t="s">
        <v>158</v>
      </c>
      <c r="E66" s="54">
        <f>E67</f>
        <v>432564459.06000006</v>
      </c>
      <c r="F66" s="54">
        <f aca="true" t="shared" si="19" ref="F66:P66">F67</f>
        <v>432564459.06000006</v>
      </c>
      <c r="G66" s="54">
        <f t="shared" si="19"/>
        <v>250282671</v>
      </c>
      <c r="H66" s="54">
        <f t="shared" si="19"/>
        <v>59900211</v>
      </c>
      <c r="I66" s="54">
        <f t="shared" si="19"/>
        <v>0</v>
      </c>
      <c r="J66" s="54">
        <f t="shared" si="19"/>
        <v>57674898.45</v>
      </c>
      <c r="K66" s="54">
        <f t="shared" si="19"/>
        <v>36448867</v>
      </c>
      <c r="L66" s="54">
        <f t="shared" si="19"/>
        <v>2470383</v>
      </c>
      <c r="M66" s="54">
        <f t="shared" si="19"/>
        <v>1518188</v>
      </c>
      <c r="N66" s="54">
        <f t="shared" si="19"/>
        <v>21226031.45</v>
      </c>
      <c r="O66" s="54">
        <f t="shared" si="19"/>
        <v>20808781.45</v>
      </c>
      <c r="P66" s="54">
        <f t="shared" si="19"/>
        <v>490239357.51</v>
      </c>
      <c r="Q66" s="149"/>
    </row>
    <row r="67" spans="1:17" s="80" customFormat="1" ht="30">
      <c r="A67" s="79"/>
      <c r="B67" s="71" t="s">
        <v>169</v>
      </c>
      <c r="C67" s="47"/>
      <c r="D67" s="48" t="s">
        <v>158</v>
      </c>
      <c r="E67" s="65">
        <f>E69+E70+E71+E73+E75+E77+E79+E80+E81+E82+E83+E85+E86+E87+E78+E89+E90</f>
        <v>432564459.06000006</v>
      </c>
      <c r="F67" s="65">
        <f aca="true" t="shared" si="20" ref="F67:P67">F69+F70+F71+F73+F75+F77+F79+F80+F81+F82+F83+F85+F86+F87+F78+F89+F90</f>
        <v>432564459.06000006</v>
      </c>
      <c r="G67" s="65">
        <f t="shared" si="20"/>
        <v>250282671</v>
      </c>
      <c r="H67" s="65">
        <f t="shared" si="20"/>
        <v>59900211</v>
      </c>
      <c r="I67" s="65">
        <f t="shared" si="20"/>
        <v>0</v>
      </c>
      <c r="J67" s="65">
        <f t="shared" si="20"/>
        <v>57674898.45</v>
      </c>
      <c r="K67" s="65">
        <f t="shared" si="20"/>
        <v>36448867</v>
      </c>
      <c r="L67" s="65">
        <f t="shared" si="20"/>
        <v>2470383</v>
      </c>
      <c r="M67" s="65">
        <f t="shared" si="20"/>
        <v>1518188</v>
      </c>
      <c r="N67" s="65">
        <f t="shared" si="20"/>
        <v>21226031.45</v>
      </c>
      <c r="O67" s="65">
        <f t="shared" si="20"/>
        <v>20808781.45</v>
      </c>
      <c r="P67" s="65">
        <f t="shared" si="20"/>
        <v>490239357.51</v>
      </c>
      <c r="Q67" s="149"/>
    </row>
    <row r="68" spans="1:17" s="24" customFormat="1" ht="15">
      <c r="A68" s="44"/>
      <c r="B68" s="50"/>
      <c r="C68" s="29"/>
      <c r="D68" s="45" t="s">
        <v>41</v>
      </c>
      <c r="E68" s="66">
        <f>E72+E74+E76</f>
        <v>193886645.09</v>
      </c>
      <c r="F68" s="66">
        <f aca="true" t="shared" si="21" ref="F68:P68">F72+F74+F76</f>
        <v>193886645.09</v>
      </c>
      <c r="G68" s="66">
        <f t="shared" si="21"/>
        <v>133211668</v>
      </c>
      <c r="H68" s="66">
        <f t="shared" si="21"/>
        <v>28492381</v>
      </c>
      <c r="I68" s="66">
        <f t="shared" si="21"/>
        <v>0</v>
      </c>
      <c r="J68" s="66">
        <f t="shared" si="21"/>
        <v>344410</v>
      </c>
      <c r="K68" s="66">
        <f t="shared" si="21"/>
        <v>0</v>
      </c>
      <c r="L68" s="66">
        <f t="shared" si="21"/>
        <v>0</v>
      </c>
      <c r="M68" s="66">
        <f t="shared" si="21"/>
        <v>0</v>
      </c>
      <c r="N68" s="66">
        <f t="shared" si="21"/>
        <v>344410</v>
      </c>
      <c r="O68" s="66">
        <f t="shared" si="21"/>
        <v>344410</v>
      </c>
      <c r="P68" s="66">
        <f t="shared" si="21"/>
        <v>194231055.09</v>
      </c>
      <c r="Q68" s="149"/>
    </row>
    <row r="69" spans="1:17" s="24" customFormat="1" ht="45" customHeight="1">
      <c r="A69" s="22"/>
      <c r="B69" s="34" t="s">
        <v>170</v>
      </c>
      <c r="C69" s="25" t="s">
        <v>9</v>
      </c>
      <c r="D69" s="26" t="s">
        <v>100</v>
      </c>
      <c r="E69" s="33">
        <f>F69+I69</f>
        <v>1027801</v>
      </c>
      <c r="F69" s="33">
        <f>1009660-118390+63630+41301+6000+25600</f>
        <v>1027801</v>
      </c>
      <c r="G69" s="33">
        <f>667920-18750+52156+33853+21000</f>
        <v>756179</v>
      </c>
      <c r="H69" s="33">
        <v>24724</v>
      </c>
      <c r="I69" s="54"/>
      <c r="J69" s="66">
        <f aca="true" t="shared" si="22" ref="J69:J90">K69+N69</f>
        <v>194600</v>
      </c>
      <c r="K69" s="54"/>
      <c r="L69" s="54"/>
      <c r="M69" s="54"/>
      <c r="N69" s="66">
        <f>170000+24000-6000+6600</f>
        <v>194600</v>
      </c>
      <c r="O69" s="66">
        <f>170000+24000-6000+6600</f>
        <v>194600</v>
      </c>
      <c r="P69" s="66">
        <f aca="true" t="shared" si="23" ref="P69:P82">E69+J69</f>
        <v>1222401</v>
      </c>
      <c r="Q69" s="149"/>
    </row>
    <row r="70" spans="1:17" s="24" customFormat="1" ht="15">
      <c r="A70" s="22"/>
      <c r="B70" s="34" t="s">
        <v>171</v>
      </c>
      <c r="C70" s="25" t="s">
        <v>43</v>
      </c>
      <c r="D70" s="26" t="s">
        <v>159</v>
      </c>
      <c r="E70" s="33">
        <f aca="true" t="shared" si="24" ref="E70:E88">F70+I70</f>
        <v>113638189</v>
      </c>
      <c r="F70" s="33">
        <f>127615802+181800-17960782+85000+2791744+55100+15000+65000+20000+62570+11742+28164+14430+6200+1200+224779+25000+38000+2600+20920+250800+14000+2750+1070+65300</f>
        <v>113638189</v>
      </c>
      <c r="G70" s="33">
        <f>70161106-6341216+184245</f>
        <v>64004135</v>
      </c>
      <c r="H70" s="33">
        <v>19789563</v>
      </c>
      <c r="I70" s="54"/>
      <c r="J70" s="66">
        <f t="shared" si="22"/>
        <v>16222458</v>
      </c>
      <c r="K70" s="66">
        <v>11284686</v>
      </c>
      <c r="L70" s="66"/>
      <c r="M70" s="66"/>
      <c r="N70" s="66">
        <f>2750000+850000+125000+35900+42000+15000+15000+49430-11742+103334-14430-6200+5000-2600+9000-2750+84000+892900-1070</f>
        <v>4937772</v>
      </c>
      <c r="O70" s="66">
        <f>2750000+850000+125000+35900+42000+15000+15000+49430-11742+103334-14430-6200+5000-2600+9000-2750+84000+892900-1070</f>
        <v>4937772</v>
      </c>
      <c r="P70" s="66">
        <f t="shared" si="23"/>
        <v>129860647</v>
      </c>
      <c r="Q70" s="149"/>
    </row>
    <row r="71" spans="1:17" s="24" customFormat="1" ht="75">
      <c r="A71" s="22"/>
      <c r="B71" s="34" t="s">
        <v>172</v>
      </c>
      <c r="C71" s="25" t="s">
        <v>44</v>
      </c>
      <c r="D71" s="26" t="s">
        <v>160</v>
      </c>
      <c r="E71" s="33">
        <f t="shared" si="24"/>
        <v>234326947.31000003</v>
      </c>
      <c r="F71" s="33">
        <f>241356212+318200+8795512-27766183+3940000+192036+4086044+727101.34+332450+191339+19908+164032.8+54675+11719+54600+224238+98087+11250+95329.4+400171+231903.77+601633+7500-12611-1600+89200+27000+65000+12200</f>
        <v>234326947.31000003</v>
      </c>
      <c r="G71" s="33">
        <f>142701242+16080119-18252562+328009+493142</f>
        <v>141349950</v>
      </c>
      <c r="H71" s="33">
        <f>31014749+1000000-1000000</f>
        <v>31014749</v>
      </c>
      <c r="I71" s="54"/>
      <c r="J71" s="66">
        <f t="shared" si="22"/>
        <v>33239017.45</v>
      </c>
      <c r="K71" s="66">
        <f>18497171</f>
        <v>18497171</v>
      </c>
      <c r="L71" s="66">
        <v>740455</v>
      </c>
      <c r="M71" s="66">
        <v>47940</v>
      </c>
      <c r="N71" s="66">
        <f>6090000+2150000+190000+134464+500000+184300+1498110+185661+148820-15000+78400+88075-11719+331212-54600+98780-98087+359032.45-3580+16300+384410+20000+41500+12611+1635157+140000+168000+20000+450000</f>
        <v>14741846.45</v>
      </c>
      <c r="O71" s="66">
        <f>6090000+2150000+190000+134464+500000+184300+1498110+185661+148820-15000+78400+88075-11719+331212-54600+98780-98087+359032.45-3580+16300+384410+20000+41500+12611+1635157+140000+168000+20000+450000</f>
        <v>14741846.45</v>
      </c>
      <c r="P71" s="66">
        <f t="shared" si="23"/>
        <v>267565964.76000002</v>
      </c>
      <c r="Q71" s="149"/>
    </row>
    <row r="72" spans="1:17" s="24" customFormat="1" ht="15">
      <c r="A72" s="22"/>
      <c r="B72" s="38"/>
      <c r="C72" s="25"/>
      <c r="D72" s="26" t="s">
        <v>41</v>
      </c>
      <c r="E72" s="33">
        <f>F72+I72</f>
        <v>189221945.34</v>
      </c>
      <c r="F72" s="33">
        <f>179099299+8795512+727101.34+601633-1600</f>
        <v>189221945.34</v>
      </c>
      <c r="G72" s="33">
        <f>113504164+16080119+493142</f>
        <v>130077425</v>
      </c>
      <c r="H72" s="33">
        <f>19360798+1000000+7664491</f>
        <v>28025289</v>
      </c>
      <c r="I72" s="54"/>
      <c r="J72" s="66">
        <f t="shared" si="22"/>
        <v>344410</v>
      </c>
      <c r="K72" s="66"/>
      <c r="L72" s="66"/>
      <c r="M72" s="66"/>
      <c r="N72" s="66">
        <v>344410</v>
      </c>
      <c r="O72" s="66">
        <v>344410</v>
      </c>
      <c r="P72" s="66">
        <f t="shared" si="23"/>
        <v>189566355.34</v>
      </c>
      <c r="Q72" s="149"/>
    </row>
    <row r="73" spans="1:17" s="24" customFormat="1" ht="30">
      <c r="A73" s="22"/>
      <c r="B73" s="34" t="s">
        <v>173</v>
      </c>
      <c r="C73" s="25" t="s">
        <v>45</v>
      </c>
      <c r="D73" s="26" t="s">
        <v>161</v>
      </c>
      <c r="E73" s="33">
        <f t="shared" si="24"/>
        <v>358944</v>
      </c>
      <c r="F73" s="33">
        <f>372150+25184-39610+1220</f>
        <v>358944</v>
      </c>
      <c r="G73" s="33">
        <f>277448+45301-29836+1000</f>
        <v>293913</v>
      </c>
      <c r="H73" s="33"/>
      <c r="I73" s="54"/>
      <c r="J73" s="66">
        <f t="shared" si="22"/>
        <v>0</v>
      </c>
      <c r="K73" s="66"/>
      <c r="L73" s="66"/>
      <c r="M73" s="66"/>
      <c r="N73" s="66"/>
      <c r="O73" s="66"/>
      <c r="P73" s="66">
        <f t="shared" si="23"/>
        <v>358944</v>
      </c>
      <c r="Q73" s="149">
        <v>78</v>
      </c>
    </row>
    <row r="74" spans="1:17" s="24" customFormat="1" ht="24.75" customHeight="1">
      <c r="A74" s="22"/>
      <c r="B74" s="38"/>
      <c r="C74" s="25"/>
      <c r="D74" s="26" t="s">
        <v>41</v>
      </c>
      <c r="E74" s="33">
        <f t="shared" si="24"/>
        <v>358574</v>
      </c>
      <c r="F74" s="33">
        <f>332170+25184+1220</f>
        <v>358574</v>
      </c>
      <c r="G74" s="33">
        <f>247612+45301+1000</f>
        <v>293913</v>
      </c>
      <c r="H74" s="33"/>
      <c r="I74" s="54"/>
      <c r="J74" s="66">
        <f t="shared" si="22"/>
        <v>0</v>
      </c>
      <c r="K74" s="66"/>
      <c r="L74" s="66"/>
      <c r="M74" s="66"/>
      <c r="N74" s="66"/>
      <c r="O74" s="66">
        <f>N73-N74</f>
        <v>0</v>
      </c>
      <c r="P74" s="66">
        <f t="shared" si="23"/>
        <v>358574</v>
      </c>
      <c r="Q74" s="149"/>
    </row>
    <row r="75" spans="1:17" s="24" customFormat="1" ht="90">
      <c r="A75" s="22"/>
      <c r="B75" s="34" t="s">
        <v>174</v>
      </c>
      <c r="C75" s="25" t="s">
        <v>46</v>
      </c>
      <c r="D75" s="26" t="s">
        <v>162</v>
      </c>
      <c r="E75" s="33">
        <f t="shared" si="24"/>
        <v>4579366.75</v>
      </c>
      <c r="F75" s="33">
        <f>4650387+37304-403808+60000+30000+97943.75+23000+15000+26417+15000+9976+5000+11547+1600</f>
        <v>4579366.75</v>
      </c>
      <c r="G75" s="33">
        <f>2854137+321793-345065+8177+9465</f>
        <v>2848507</v>
      </c>
      <c r="H75" s="33">
        <v>517072</v>
      </c>
      <c r="I75" s="54"/>
      <c r="J75" s="66">
        <f t="shared" si="22"/>
        <v>123583</v>
      </c>
      <c r="K75" s="66"/>
      <c r="L75" s="66"/>
      <c r="M75" s="66"/>
      <c r="N75" s="66">
        <f>150000-26417</f>
        <v>123583</v>
      </c>
      <c r="O75" s="66">
        <f>150000-26417</f>
        <v>123583</v>
      </c>
      <c r="P75" s="66">
        <f t="shared" si="23"/>
        <v>4702949.75</v>
      </c>
      <c r="Q75" s="149"/>
    </row>
    <row r="76" spans="1:17" s="24" customFormat="1" ht="26.25" customHeight="1">
      <c r="A76" s="22"/>
      <c r="B76" s="38"/>
      <c r="C76" s="25"/>
      <c r="D76" s="26" t="s">
        <v>41</v>
      </c>
      <c r="E76" s="33">
        <f t="shared" si="24"/>
        <v>4306125.75</v>
      </c>
      <c r="F76" s="33">
        <f>4157731+37304+97943.75+11547+1600</f>
        <v>4306125.75</v>
      </c>
      <c r="G76" s="33">
        <f>2509072+321793+9465</f>
        <v>2840330</v>
      </c>
      <c r="H76" s="33">
        <f>517072-49980</f>
        <v>467092</v>
      </c>
      <c r="I76" s="54"/>
      <c r="J76" s="66">
        <f t="shared" si="22"/>
        <v>0</v>
      </c>
      <c r="K76" s="66"/>
      <c r="L76" s="66"/>
      <c r="M76" s="66"/>
      <c r="N76" s="66"/>
      <c r="O76" s="66"/>
      <c r="P76" s="66">
        <f t="shared" si="23"/>
        <v>4306125.75</v>
      </c>
      <c r="Q76" s="149"/>
    </row>
    <row r="77" spans="1:17" s="24" customFormat="1" ht="45">
      <c r="A77" s="22"/>
      <c r="B77" s="34" t="s">
        <v>175</v>
      </c>
      <c r="C77" s="25" t="s">
        <v>47</v>
      </c>
      <c r="D77" s="26" t="s">
        <v>163</v>
      </c>
      <c r="E77" s="33">
        <f t="shared" si="24"/>
        <v>12572837</v>
      </c>
      <c r="F77" s="33">
        <f>14471495-2278502+222906+17000+75000+27938+10000+27000</f>
        <v>12572837</v>
      </c>
      <c r="G77" s="33">
        <f>9257594-784442+22900</f>
        <v>8496052</v>
      </c>
      <c r="H77" s="33">
        <v>1785662</v>
      </c>
      <c r="I77" s="54"/>
      <c r="J77" s="66">
        <f t="shared" si="22"/>
        <v>450000</v>
      </c>
      <c r="K77" s="66"/>
      <c r="L77" s="66"/>
      <c r="M77" s="66"/>
      <c r="N77" s="66">
        <f>525000-75000</f>
        <v>450000</v>
      </c>
      <c r="O77" s="66">
        <f>525000-75000</f>
        <v>450000</v>
      </c>
      <c r="P77" s="66">
        <f t="shared" si="23"/>
        <v>13022837</v>
      </c>
      <c r="Q77" s="149"/>
    </row>
    <row r="78" spans="1:17" s="24" customFormat="1" ht="30">
      <c r="A78" s="22"/>
      <c r="B78" s="34" t="s">
        <v>365</v>
      </c>
      <c r="C78" s="25" t="s">
        <v>366</v>
      </c>
      <c r="D78" s="26" t="s">
        <v>367</v>
      </c>
      <c r="E78" s="33">
        <f t="shared" si="24"/>
        <v>55069266</v>
      </c>
      <c r="F78" s="33">
        <f>55886018-791752-25000</f>
        <v>55069266</v>
      </c>
      <c r="G78" s="33">
        <f>26608329-219784</f>
        <v>26388545</v>
      </c>
      <c r="H78" s="33">
        <v>6083140</v>
      </c>
      <c r="I78" s="54"/>
      <c r="J78" s="66">
        <f t="shared" si="22"/>
        <v>6764260</v>
      </c>
      <c r="K78" s="66">
        <v>6459260</v>
      </c>
      <c r="L78" s="66">
        <v>1729928</v>
      </c>
      <c r="M78" s="66">
        <v>1470248</v>
      </c>
      <c r="N78" s="66">
        <v>305000</v>
      </c>
      <c r="O78" s="66"/>
      <c r="P78" s="66">
        <f t="shared" si="23"/>
        <v>61833526</v>
      </c>
      <c r="Q78" s="149"/>
    </row>
    <row r="79" spans="1:17" s="24" customFormat="1" ht="45">
      <c r="A79" s="22"/>
      <c r="B79" s="34" t="s">
        <v>176</v>
      </c>
      <c r="C79" s="25" t="s">
        <v>48</v>
      </c>
      <c r="D79" s="26" t="s">
        <v>164</v>
      </c>
      <c r="E79" s="33">
        <f t="shared" si="24"/>
        <v>1773105</v>
      </c>
      <c r="F79" s="33">
        <f>2094920-330296+4000+3950+531</f>
        <v>1773105</v>
      </c>
      <c r="G79" s="33">
        <f>1451158-100640+435</f>
        <v>1350953</v>
      </c>
      <c r="H79" s="33">
        <v>79885</v>
      </c>
      <c r="I79" s="54"/>
      <c r="J79" s="66">
        <f t="shared" si="22"/>
        <v>118730</v>
      </c>
      <c r="K79" s="66"/>
      <c r="L79" s="66"/>
      <c r="M79" s="66"/>
      <c r="N79" s="66">
        <f>110000+11000-2270</f>
        <v>118730</v>
      </c>
      <c r="O79" s="66">
        <f>110000+11000-2270</f>
        <v>118730</v>
      </c>
      <c r="P79" s="66">
        <f t="shared" si="23"/>
        <v>1891835</v>
      </c>
      <c r="Q79" s="149"/>
    </row>
    <row r="80" spans="1:17" s="24" customFormat="1" ht="30">
      <c r="A80" s="22"/>
      <c r="B80" s="34" t="s">
        <v>177</v>
      </c>
      <c r="C80" s="25" t="s">
        <v>49</v>
      </c>
      <c r="D80" s="26" t="s">
        <v>165</v>
      </c>
      <c r="E80" s="33">
        <f t="shared" si="24"/>
        <v>1645867</v>
      </c>
      <c r="F80" s="33">
        <f>1911767-371097+104666+531</f>
        <v>1645867</v>
      </c>
      <c r="G80" s="33">
        <f>1242033-158595+85792+435</f>
        <v>1169665</v>
      </c>
      <c r="H80" s="33">
        <v>82225</v>
      </c>
      <c r="I80" s="54"/>
      <c r="J80" s="66">
        <f t="shared" si="22"/>
        <v>92250</v>
      </c>
      <c r="K80" s="66"/>
      <c r="L80" s="66"/>
      <c r="M80" s="66"/>
      <c r="N80" s="66">
        <f>75000+18000-750</f>
        <v>92250</v>
      </c>
      <c r="O80" s="66">
        <f>75000+18000-750</f>
        <v>92250</v>
      </c>
      <c r="P80" s="66">
        <f t="shared" si="23"/>
        <v>1738117</v>
      </c>
      <c r="Q80" s="149"/>
    </row>
    <row r="81" spans="1:17" s="24" customFormat="1" ht="30">
      <c r="A81" s="22"/>
      <c r="B81" s="34" t="s">
        <v>178</v>
      </c>
      <c r="C81" s="25" t="s">
        <v>50</v>
      </c>
      <c r="D81" s="26" t="s">
        <v>166</v>
      </c>
      <c r="E81" s="33">
        <f t="shared" si="24"/>
        <v>162138</v>
      </c>
      <c r="F81" s="33">
        <f>206673-44535</f>
        <v>162138</v>
      </c>
      <c r="G81" s="33">
        <f>145804-19414</f>
        <v>126390</v>
      </c>
      <c r="H81" s="33">
        <v>5147</v>
      </c>
      <c r="I81" s="54"/>
      <c r="J81" s="66">
        <f t="shared" si="22"/>
        <v>0</v>
      </c>
      <c r="K81" s="66"/>
      <c r="L81" s="66"/>
      <c r="M81" s="66"/>
      <c r="N81" s="66"/>
      <c r="O81" s="66"/>
      <c r="P81" s="66">
        <f t="shared" si="23"/>
        <v>162138</v>
      </c>
      <c r="Q81" s="149"/>
    </row>
    <row r="82" spans="1:17" s="24" customFormat="1" ht="26.25" customHeight="1">
      <c r="A82" s="22"/>
      <c r="B82" s="34" t="s">
        <v>179</v>
      </c>
      <c r="C82" s="25" t="s">
        <v>51</v>
      </c>
      <c r="D82" s="26" t="s">
        <v>167</v>
      </c>
      <c r="E82" s="33">
        <f t="shared" si="24"/>
        <v>2607237</v>
      </c>
      <c r="F82" s="33">
        <f>2955196-425073+45291+15000+10000+6823</f>
        <v>2607237</v>
      </c>
      <c r="G82" s="33">
        <f>1837478-145690+5593</f>
        <v>1697381</v>
      </c>
      <c r="H82" s="33">
        <v>335643</v>
      </c>
      <c r="I82" s="54"/>
      <c r="J82" s="66">
        <f t="shared" si="22"/>
        <v>150000</v>
      </c>
      <c r="K82" s="66"/>
      <c r="L82" s="66"/>
      <c r="M82" s="66"/>
      <c r="N82" s="66">
        <v>150000</v>
      </c>
      <c r="O82" s="66">
        <v>150000</v>
      </c>
      <c r="P82" s="66">
        <f t="shared" si="23"/>
        <v>2757237</v>
      </c>
      <c r="Q82" s="149"/>
    </row>
    <row r="83" spans="1:17" s="24" customFormat="1" ht="27" customHeight="1">
      <c r="A83" s="22"/>
      <c r="B83" s="34" t="s">
        <v>180</v>
      </c>
      <c r="C83" s="25" t="s">
        <v>52</v>
      </c>
      <c r="D83" s="26" t="s">
        <v>53</v>
      </c>
      <c r="E83" s="33">
        <f t="shared" si="24"/>
        <v>53240</v>
      </c>
      <c r="F83" s="33">
        <f aca="true" t="shared" si="25" ref="F83:P83">F84</f>
        <v>53240</v>
      </c>
      <c r="G83" s="33">
        <f t="shared" si="25"/>
        <v>0</v>
      </c>
      <c r="H83" s="33">
        <f t="shared" si="25"/>
        <v>0</v>
      </c>
      <c r="I83" s="33">
        <f t="shared" si="25"/>
        <v>0</v>
      </c>
      <c r="J83" s="33">
        <f t="shared" si="22"/>
        <v>0</v>
      </c>
      <c r="K83" s="33">
        <f t="shared" si="25"/>
        <v>0</v>
      </c>
      <c r="L83" s="33">
        <f t="shared" si="25"/>
        <v>0</v>
      </c>
      <c r="M83" s="33">
        <f t="shared" si="25"/>
        <v>0</v>
      </c>
      <c r="N83" s="33">
        <f t="shared" si="25"/>
        <v>0</v>
      </c>
      <c r="O83" s="33">
        <f t="shared" si="25"/>
        <v>0</v>
      </c>
      <c r="P83" s="33">
        <f t="shared" si="25"/>
        <v>53240</v>
      </c>
      <c r="Q83" s="149"/>
    </row>
    <row r="84" spans="1:17" s="80" customFormat="1" ht="45">
      <c r="A84" s="79"/>
      <c r="B84" s="85" t="s">
        <v>181</v>
      </c>
      <c r="C84" s="71" t="s">
        <v>52</v>
      </c>
      <c r="D84" s="81" t="s">
        <v>352</v>
      </c>
      <c r="E84" s="66">
        <f t="shared" si="24"/>
        <v>53240</v>
      </c>
      <c r="F84" s="66">
        <f>73148-19908</f>
        <v>53240</v>
      </c>
      <c r="G84" s="64"/>
      <c r="H84" s="64"/>
      <c r="I84" s="65"/>
      <c r="J84" s="33">
        <f t="shared" si="22"/>
        <v>0</v>
      </c>
      <c r="K84" s="60"/>
      <c r="L84" s="60"/>
      <c r="M84" s="60"/>
      <c r="N84" s="60"/>
      <c r="O84" s="60"/>
      <c r="P84" s="60">
        <f>E84+J84</f>
        <v>53240</v>
      </c>
      <c r="Q84" s="149"/>
    </row>
    <row r="85" spans="1:17" s="24" customFormat="1" ht="49.5" customHeight="1">
      <c r="A85" s="44"/>
      <c r="B85" s="53" t="s">
        <v>183</v>
      </c>
      <c r="C85" s="41" t="s">
        <v>54</v>
      </c>
      <c r="D85" s="45" t="s">
        <v>182</v>
      </c>
      <c r="E85" s="66">
        <f t="shared" si="24"/>
        <v>45250</v>
      </c>
      <c r="F85" s="66">
        <v>45250</v>
      </c>
      <c r="G85" s="66"/>
      <c r="H85" s="66"/>
      <c r="I85" s="54"/>
      <c r="J85" s="66">
        <f t="shared" si="22"/>
        <v>0</v>
      </c>
      <c r="K85" s="66"/>
      <c r="L85" s="66"/>
      <c r="M85" s="66"/>
      <c r="N85" s="66"/>
      <c r="O85" s="66"/>
      <c r="P85" s="66">
        <f>E85+J85</f>
        <v>45250</v>
      </c>
      <c r="Q85" s="149"/>
    </row>
    <row r="86" spans="1:17" s="24" customFormat="1" ht="75">
      <c r="A86" s="22"/>
      <c r="B86" s="34" t="s">
        <v>184</v>
      </c>
      <c r="C86" s="25" t="s">
        <v>20</v>
      </c>
      <c r="D86" s="27" t="s">
        <v>111</v>
      </c>
      <c r="E86" s="33">
        <f t="shared" si="24"/>
        <v>2109980</v>
      </c>
      <c r="F86" s="33">
        <f>2000000+109980</f>
        <v>2109980</v>
      </c>
      <c r="G86" s="33"/>
      <c r="H86" s="33"/>
      <c r="I86" s="54"/>
      <c r="J86" s="66">
        <f t="shared" si="22"/>
        <v>0</v>
      </c>
      <c r="K86" s="66"/>
      <c r="L86" s="66"/>
      <c r="M86" s="66"/>
      <c r="N86" s="66"/>
      <c r="O86" s="66"/>
      <c r="P86" s="66">
        <f>E86+J86</f>
        <v>2109980</v>
      </c>
      <c r="Q86" s="149"/>
    </row>
    <row r="87" spans="1:17" s="24" customFormat="1" ht="30">
      <c r="A87" s="22"/>
      <c r="B87" s="34" t="s">
        <v>185</v>
      </c>
      <c r="C87" s="25"/>
      <c r="D87" s="32" t="s">
        <v>127</v>
      </c>
      <c r="E87" s="33">
        <f t="shared" si="24"/>
        <v>2594291</v>
      </c>
      <c r="F87" s="33">
        <f aca="true" t="shared" si="26" ref="F87:P87">F88</f>
        <v>2594291</v>
      </c>
      <c r="G87" s="33">
        <f t="shared" si="26"/>
        <v>1801001</v>
      </c>
      <c r="H87" s="33">
        <f t="shared" si="26"/>
        <v>182401</v>
      </c>
      <c r="I87" s="33">
        <f t="shared" si="26"/>
        <v>0</v>
      </c>
      <c r="J87" s="33">
        <f t="shared" si="22"/>
        <v>0</v>
      </c>
      <c r="K87" s="33">
        <f t="shared" si="26"/>
        <v>0</v>
      </c>
      <c r="L87" s="33">
        <f t="shared" si="26"/>
        <v>0</v>
      </c>
      <c r="M87" s="33">
        <f t="shared" si="26"/>
        <v>0</v>
      </c>
      <c r="N87" s="33">
        <f t="shared" si="26"/>
        <v>0</v>
      </c>
      <c r="O87" s="33">
        <f t="shared" si="26"/>
        <v>0</v>
      </c>
      <c r="P87" s="33">
        <f t="shared" si="26"/>
        <v>2594291</v>
      </c>
      <c r="Q87" s="149"/>
    </row>
    <row r="88" spans="1:17" s="80" customFormat="1" ht="45">
      <c r="A88" s="79"/>
      <c r="B88" s="85" t="s">
        <v>186</v>
      </c>
      <c r="C88" s="71" t="s">
        <v>27</v>
      </c>
      <c r="D88" s="72" t="s">
        <v>129</v>
      </c>
      <c r="E88" s="60">
        <f t="shared" si="24"/>
        <v>2594291</v>
      </c>
      <c r="F88" s="66">
        <f>2940630-378096+28970+2787</f>
        <v>2594291</v>
      </c>
      <c r="G88" s="66">
        <f>1887404-88687+2284</f>
        <v>1801001</v>
      </c>
      <c r="H88" s="66">
        <v>182401</v>
      </c>
      <c r="I88" s="65"/>
      <c r="J88" s="33">
        <f t="shared" si="22"/>
        <v>0</v>
      </c>
      <c r="K88" s="65"/>
      <c r="L88" s="65"/>
      <c r="M88" s="65"/>
      <c r="N88" s="65"/>
      <c r="O88" s="65"/>
      <c r="P88" s="60">
        <f>E88+J88</f>
        <v>2594291</v>
      </c>
      <c r="Q88" s="149"/>
    </row>
    <row r="89" spans="1:17" s="80" customFormat="1" ht="30">
      <c r="A89" s="79"/>
      <c r="B89" s="53" t="s">
        <v>426</v>
      </c>
      <c r="C89" s="41" t="s">
        <v>422</v>
      </c>
      <c r="D89" s="45" t="s">
        <v>423</v>
      </c>
      <c r="E89" s="64"/>
      <c r="F89" s="33"/>
      <c r="G89" s="33"/>
      <c r="H89" s="33"/>
      <c r="I89" s="65"/>
      <c r="J89" s="33">
        <f t="shared" si="22"/>
        <v>70000</v>
      </c>
      <c r="K89" s="33">
        <f>40000+2550</f>
        <v>42550</v>
      </c>
      <c r="L89" s="33"/>
      <c r="M89" s="33"/>
      <c r="N89" s="33">
        <f>30000-2550</f>
        <v>27450</v>
      </c>
      <c r="O89" s="33"/>
      <c r="P89" s="33">
        <f>E89+J89</f>
        <v>70000</v>
      </c>
      <c r="Q89" s="149"/>
    </row>
    <row r="90" spans="1:17" s="80" customFormat="1" ht="27.75" customHeight="1">
      <c r="A90" s="79"/>
      <c r="B90" s="53" t="s">
        <v>427</v>
      </c>
      <c r="C90" s="41" t="s">
        <v>425</v>
      </c>
      <c r="D90" s="45" t="s">
        <v>55</v>
      </c>
      <c r="E90" s="64"/>
      <c r="F90" s="33"/>
      <c r="G90" s="33"/>
      <c r="H90" s="33"/>
      <c r="I90" s="65"/>
      <c r="J90" s="33">
        <f t="shared" si="22"/>
        <v>250000</v>
      </c>
      <c r="K90" s="33">
        <f>160000+5200</f>
        <v>165200</v>
      </c>
      <c r="L90" s="33"/>
      <c r="M90" s="33"/>
      <c r="N90" s="33">
        <f>90000-5200</f>
        <v>84800</v>
      </c>
      <c r="O90" s="33"/>
      <c r="P90" s="33">
        <f>E90+J90</f>
        <v>250000</v>
      </c>
      <c r="Q90" s="149"/>
    </row>
    <row r="91" spans="1:17" s="24" customFormat="1" ht="28.5">
      <c r="A91" s="44"/>
      <c r="B91" s="53" t="s">
        <v>188</v>
      </c>
      <c r="C91" s="29"/>
      <c r="D91" s="30" t="s">
        <v>187</v>
      </c>
      <c r="E91" s="54">
        <f>E92</f>
        <v>225600805.43</v>
      </c>
      <c r="F91" s="54">
        <f aca="true" t="shared" si="27" ref="F91:P91">F92</f>
        <v>225600805.43</v>
      </c>
      <c r="G91" s="54">
        <f t="shared" si="27"/>
        <v>127452821</v>
      </c>
      <c r="H91" s="54">
        <f t="shared" si="27"/>
        <v>19133584</v>
      </c>
      <c r="I91" s="54">
        <f t="shared" si="27"/>
        <v>0</v>
      </c>
      <c r="J91" s="54">
        <f t="shared" si="27"/>
        <v>36603460</v>
      </c>
      <c r="K91" s="54">
        <f t="shared" si="27"/>
        <v>11785214</v>
      </c>
      <c r="L91" s="54">
        <f t="shared" si="27"/>
        <v>6366242</v>
      </c>
      <c r="M91" s="54">
        <f t="shared" si="27"/>
        <v>500810</v>
      </c>
      <c r="N91" s="54">
        <f t="shared" si="27"/>
        <v>24818246</v>
      </c>
      <c r="O91" s="54">
        <f t="shared" si="27"/>
        <v>24818246</v>
      </c>
      <c r="P91" s="54">
        <f t="shared" si="27"/>
        <v>262204265.43</v>
      </c>
      <c r="Q91" s="149"/>
    </row>
    <row r="92" spans="1:17" s="80" customFormat="1" ht="30">
      <c r="A92" s="79"/>
      <c r="B92" s="53" t="s">
        <v>189</v>
      </c>
      <c r="C92" s="47"/>
      <c r="D92" s="48" t="s">
        <v>187</v>
      </c>
      <c r="E92" s="65">
        <f>E94+E95+E97+E101+E103+E105+E111+E99+E107</f>
        <v>225600805.43</v>
      </c>
      <c r="F92" s="65">
        <f aca="true" t="shared" si="28" ref="F92:P92">F94+F95+F97+F101+F103+F105+F111+F99+F107</f>
        <v>225600805.43</v>
      </c>
      <c r="G92" s="65">
        <f t="shared" si="28"/>
        <v>127452821</v>
      </c>
      <c r="H92" s="65">
        <f t="shared" si="28"/>
        <v>19133584</v>
      </c>
      <c r="I92" s="65">
        <f t="shared" si="28"/>
        <v>0</v>
      </c>
      <c r="J92" s="65">
        <f t="shared" si="28"/>
        <v>36603460</v>
      </c>
      <c r="K92" s="65">
        <f t="shared" si="28"/>
        <v>11785214</v>
      </c>
      <c r="L92" s="65">
        <f t="shared" si="28"/>
        <v>6366242</v>
      </c>
      <c r="M92" s="65">
        <f t="shared" si="28"/>
        <v>500810</v>
      </c>
      <c r="N92" s="65">
        <f t="shared" si="28"/>
        <v>24818246</v>
      </c>
      <c r="O92" s="65">
        <f t="shared" si="28"/>
        <v>24818246</v>
      </c>
      <c r="P92" s="65">
        <f t="shared" si="28"/>
        <v>262204265.43</v>
      </c>
      <c r="Q92" s="149"/>
    </row>
    <row r="93" spans="1:17" s="24" customFormat="1" ht="15" customHeight="1">
      <c r="A93" s="44"/>
      <c r="B93" s="50"/>
      <c r="C93" s="29"/>
      <c r="D93" s="45" t="s">
        <v>96</v>
      </c>
      <c r="E93" s="66">
        <f>E96+E98+E102+E104+E112+E106+E100+E110</f>
        <v>206346569.43</v>
      </c>
      <c r="F93" s="66">
        <f aca="true" t="shared" si="29" ref="F93:P93">F96+F98+F102+F104+F112+F106+F100+F110</f>
        <v>206346569.43</v>
      </c>
      <c r="G93" s="66">
        <f t="shared" si="29"/>
        <v>126757859</v>
      </c>
      <c r="H93" s="66">
        <f t="shared" si="29"/>
        <v>19115405</v>
      </c>
      <c r="I93" s="66">
        <f t="shared" si="29"/>
        <v>0</v>
      </c>
      <c r="J93" s="66">
        <f t="shared" si="29"/>
        <v>0</v>
      </c>
      <c r="K93" s="66">
        <f t="shared" si="29"/>
        <v>0</v>
      </c>
      <c r="L93" s="66">
        <f t="shared" si="29"/>
        <v>0</v>
      </c>
      <c r="M93" s="66">
        <f t="shared" si="29"/>
        <v>0</v>
      </c>
      <c r="N93" s="66">
        <f t="shared" si="29"/>
        <v>0</v>
      </c>
      <c r="O93" s="66">
        <f t="shared" si="29"/>
        <v>0</v>
      </c>
      <c r="P93" s="66">
        <f t="shared" si="29"/>
        <v>206346569.43</v>
      </c>
      <c r="Q93" s="149"/>
    </row>
    <row r="94" spans="1:17" s="24" customFormat="1" ht="60" customHeight="1">
      <c r="A94" s="22"/>
      <c r="B94" s="34" t="s">
        <v>190</v>
      </c>
      <c r="C94" s="25" t="s">
        <v>9</v>
      </c>
      <c r="D94" s="26" t="s">
        <v>100</v>
      </c>
      <c r="E94" s="33">
        <f aca="true" t="shared" si="30" ref="E94:E116">F94+I94</f>
        <v>538367</v>
      </c>
      <c r="F94" s="33">
        <f>501690-36350+9175+52552+11300</f>
        <v>538367</v>
      </c>
      <c r="G94" s="33">
        <f>324260+3570+43075+9300</f>
        <v>380205</v>
      </c>
      <c r="H94" s="33">
        <v>18179</v>
      </c>
      <c r="I94" s="54"/>
      <c r="J94" s="66">
        <f aca="true" t="shared" si="31" ref="J94:J106">K94+N94</f>
        <v>447900</v>
      </c>
      <c r="K94" s="54"/>
      <c r="L94" s="54"/>
      <c r="M94" s="54"/>
      <c r="N94" s="66">
        <f>320200+13000+114700</f>
        <v>447900</v>
      </c>
      <c r="O94" s="66">
        <f>320200+13000+114700</f>
        <v>447900</v>
      </c>
      <c r="P94" s="66">
        <f aca="true" t="shared" si="32" ref="P94:P110">E94+J94</f>
        <v>986267</v>
      </c>
      <c r="Q94" s="149">
        <v>79</v>
      </c>
    </row>
    <row r="95" spans="1:17" s="24" customFormat="1" ht="30">
      <c r="A95" s="22"/>
      <c r="B95" s="34" t="s">
        <v>192</v>
      </c>
      <c r="C95" s="25" t="s">
        <v>56</v>
      </c>
      <c r="D95" s="26" t="s">
        <v>191</v>
      </c>
      <c r="E95" s="33">
        <f t="shared" si="30"/>
        <v>178300893.43</v>
      </c>
      <c r="F95" s="33">
        <f>185364829+8898601-3182667-22578004-57471+416936+263064.43+10000+150000+30000+20000+7536470+25000+57500+152300+186300+60000+20000+323035+16090+441760-22000+145000+24150</f>
        <v>178300893.43</v>
      </c>
      <c r="G95" s="33">
        <f>111910141+7414009-15923234+264783+362600</f>
        <v>104028299</v>
      </c>
      <c r="H95" s="33">
        <v>15447851</v>
      </c>
      <c r="I95" s="54"/>
      <c r="J95" s="66">
        <f t="shared" si="31"/>
        <v>25538532</v>
      </c>
      <c r="K95" s="66">
        <v>7844182</v>
      </c>
      <c r="L95" s="66">
        <v>4083407</v>
      </c>
      <c r="M95" s="66">
        <v>177480</v>
      </c>
      <c r="N95" s="66">
        <f>12000000+4331400+40000+30000+30000+20500+279700+50000+35000+548200+5000+35850+288700</f>
        <v>17694350</v>
      </c>
      <c r="O95" s="66">
        <f>12000000+4331400+40000+30000+30000+20500+279700+50000+35000+548200+5000+288700+35850</f>
        <v>17694350</v>
      </c>
      <c r="P95" s="66">
        <f t="shared" si="32"/>
        <v>203839425.43</v>
      </c>
      <c r="Q95" s="149"/>
    </row>
    <row r="96" spans="1:17" s="24" customFormat="1" ht="15">
      <c r="A96" s="22"/>
      <c r="B96" s="38"/>
      <c r="C96" s="25"/>
      <c r="D96" s="26" t="s">
        <v>96</v>
      </c>
      <c r="E96" s="33">
        <f t="shared" si="30"/>
        <v>163275387.43</v>
      </c>
      <c r="F96" s="33">
        <f>148777515-3182667+263064.43+7536470+8841130+620115+441760-22000</f>
        <v>163275387.43</v>
      </c>
      <c r="G96" s="33">
        <f>95557155+7414009+429752+362600</f>
        <v>103763516</v>
      </c>
      <c r="H96" s="33">
        <f>15388080+59771</f>
        <v>15447851</v>
      </c>
      <c r="I96" s="54"/>
      <c r="J96" s="66">
        <f t="shared" si="31"/>
        <v>0</v>
      </c>
      <c r="K96" s="66"/>
      <c r="L96" s="66"/>
      <c r="M96" s="66"/>
      <c r="N96" s="66"/>
      <c r="O96" s="66"/>
      <c r="P96" s="66">
        <f t="shared" si="32"/>
        <v>163275387.43</v>
      </c>
      <c r="Q96" s="149"/>
    </row>
    <row r="97" spans="1:17" s="24" customFormat="1" ht="30">
      <c r="A97" s="22"/>
      <c r="B97" s="34" t="s">
        <v>194</v>
      </c>
      <c r="C97" s="25" t="s">
        <v>57</v>
      </c>
      <c r="D97" s="26" t="s">
        <v>193</v>
      </c>
      <c r="E97" s="33">
        <f t="shared" si="30"/>
        <v>18423553</v>
      </c>
      <c r="F97" s="33">
        <f>21492078-514223-2712091+15000+4400+25000+10600+36846+55875+10068</f>
        <v>18423553</v>
      </c>
      <c r="G97" s="33">
        <f>12880040+855030-1989840+30202+45800</f>
        <v>11821232</v>
      </c>
      <c r="H97" s="33">
        <v>2655803</v>
      </c>
      <c r="I97" s="54"/>
      <c r="J97" s="66">
        <f t="shared" si="31"/>
        <v>3209236</v>
      </c>
      <c r="K97" s="66">
        <v>25240</v>
      </c>
      <c r="L97" s="66">
        <v>9460</v>
      </c>
      <c r="M97" s="66">
        <v>4150</v>
      </c>
      <c r="N97" s="66">
        <f>1500000+500000+879064+15000-10068+300000</f>
        <v>3183996</v>
      </c>
      <c r="O97" s="66">
        <f>1500000+500000+879064+15000-10068+300000</f>
        <v>3183996</v>
      </c>
      <c r="P97" s="66">
        <f t="shared" si="32"/>
        <v>21632789</v>
      </c>
      <c r="Q97" s="149"/>
    </row>
    <row r="98" spans="1:17" s="24" customFormat="1" ht="15">
      <c r="A98" s="22"/>
      <c r="B98" s="38"/>
      <c r="C98" s="25"/>
      <c r="D98" s="26" t="s">
        <v>96</v>
      </c>
      <c r="E98" s="33">
        <f t="shared" si="30"/>
        <v>17313589</v>
      </c>
      <c r="F98" s="33">
        <f>17756937-514223+15000+55875</f>
        <v>17313589</v>
      </c>
      <c r="G98" s="33">
        <f>10890200+855030+45800</f>
        <v>11791030</v>
      </c>
      <c r="H98" s="33">
        <v>2655803</v>
      </c>
      <c r="I98" s="54"/>
      <c r="J98" s="66">
        <f t="shared" si="31"/>
        <v>0</v>
      </c>
      <c r="K98" s="66"/>
      <c r="L98" s="66"/>
      <c r="M98" s="66"/>
      <c r="N98" s="66"/>
      <c r="O98" s="66"/>
      <c r="P98" s="66">
        <f t="shared" si="32"/>
        <v>17313589</v>
      </c>
      <c r="Q98" s="149"/>
    </row>
    <row r="99" spans="1:17" s="24" customFormat="1" ht="45">
      <c r="A99" s="22"/>
      <c r="B99" s="25" t="s">
        <v>309</v>
      </c>
      <c r="C99" s="25" t="s">
        <v>310</v>
      </c>
      <c r="D99" s="26" t="s">
        <v>311</v>
      </c>
      <c r="E99" s="33">
        <f t="shared" si="30"/>
        <v>1642444</v>
      </c>
      <c r="F99" s="33">
        <f>2196578-72487-512653+1000+19500+5136+5370</f>
        <v>1642444</v>
      </c>
      <c r="G99" s="33">
        <f>1538529+67981-378621+4210+4400</f>
        <v>1236499</v>
      </c>
      <c r="H99" s="33">
        <v>76813</v>
      </c>
      <c r="I99" s="54"/>
      <c r="J99" s="66">
        <f t="shared" si="31"/>
        <v>407000</v>
      </c>
      <c r="K99" s="66">
        <v>407000</v>
      </c>
      <c r="L99" s="66">
        <v>98000</v>
      </c>
      <c r="M99" s="66">
        <v>132800</v>
      </c>
      <c r="N99" s="66">
        <f>N73</f>
        <v>0</v>
      </c>
      <c r="O99" s="66">
        <f>O73</f>
        <v>0</v>
      </c>
      <c r="P99" s="66">
        <f t="shared" si="32"/>
        <v>2049444</v>
      </c>
      <c r="Q99" s="149"/>
    </row>
    <row r="100" spans="1:17" s="24" customFormat="1" ht="15" customHeight="1">
      <c r="A100" s="22"/>
      <c r="B100" s="25"/>
      <c r="C100" s="25"/>
      <c r="D100" s="26" t="s">
        <v>96</v>
      </c>
      <c r="E100" s="33">
        <f t="shared" si="30"/>
        <v>1587358</v>
      </c>
      <c r="F100" s="33">
        <f>1653475-72487+1000+5370</f>
        <v>1587358</v>
      </c>
      <c r="G100" s="33">
        <f>1159908+67981+4400</f>
        <v>1232289</v>
      </c>
      <c r="H100" s="33">
        <v>76813</v>
      </c>
      <c r="I100" s="54"/>
      <c r="J100" s="66">
        <f t="shared" si="31"/>
        <v>0</v>
      </c>
      <c r="K100" s="66">
        <f>K74</f>
        <v>0</v>
      </c>
      <c r="L100" s="66">
        <f>L74</f>
        <v>0</v>
      </c>
      <c r="M100" s="66">
        <f>M74</f>
        <v>0</v>
      </c>
      <c r="N100" s="66">
        <f>N74</f>
        <v>0</v>
      </c>
      <c r="O100" s="66">
        <f>O74</f>
        <v>0</v>
      </c>
      <c r="P100" s="66">
        <f t="shared" si="32"/>
        <v>1587358</v>
      </c>
      <c r="Q100" s="149"/>
    </row>
    <row r="101" spans="1:17" s="24" customFormat="1" ht="30">
      <c r="A101" s="22"/>
      <c r="B101" s="34" t="s">
        <v>196</v>
      </c>
      <c r="C101" s="25" t="s">
        <v>58</v>
      </c>
      <c r="D101" s="26" t="s">
        <v>195</v>
      </c>
      <c r="E101" s="33">
        <f t="shared" si="30"/>
        <v>4317260</v>
      </c>
      <c r="F101" s="33">
        <f>5135524-113812-743432+5000+10000+5100+6310+12570</f>
        <v>4317260</v>
      </c>
      <c r="G101" s="33">
        <f>3329538+233048-545438+5172+10300</f>
        <v>3032620</v>
      </c>
      <c r="H101" s="33">
        <v>339954</v>
      </c>
      <c r="I101" s="54"/>
      <c r="J101" s="66">
        <f t="shared" si="31"/>
        <v>4353292</v>
      </c>
      <c r="K101" s="66">
        <v>3353292</v>
      </c>
      <c r="L101" s="66">
        <v>2153375</v>
      </c>
      <c r="M101" s="66">
        <v>166719</v>
      </c>
      <c r="N101" s="66">
        <v>1000000</v>
      </c>
      <c r="O101" s="66">
        <v>1000000</v>
      </c>
      <c r="P101" s="66">
        <f t="shared" si="32"/>
        <v>8670552</v>
      </c>
      <c r="Q101" s="149"/>
    </row>
    <row r="102" spans="1:17" s="24" customFormat="1" ht="15">
      <c r="A102" s="22"/>
      <c r="B102" s="38"/>
      <c r="C102" s="25"/>
      <c r="D102" s="26" t="s">
        <v>96</v>
      </c>
      <c r="E102" s="33">
        <f t="shared" si="30"/>
        <v>4115845</v>
      </c>
      <c r="F102" s="33">
        <f>4212087-113812+5000+12570</f>
        <v>4115845</v>
      </c>
      <c r="G102" s="33">
        <f>2784100+233048+10300</f>
        <v>3027448</v>
      </c>
      <c r="H102" s="33">
        <v>339954</v>
      </c>
      <c r="I102" s="54"/>
      <c r="J102" s="66">
        <f t="shared" si="31"/>
        <v>0</v>
      </c>
      <c r="K102" s="66"/>
      <c r="L102" s="66"/>
      <c r="M102" s="66"/>
      <c r="N102" s="66"/>
      <c r="O102" s="66"/>
      <c r="P102" s="66">
        <f t="shared" si="32"/>
        <v>4115845</v>
      </c>
      <c r="Q102" s="149"/>
    </row>
    <row r="103" spans="1:17" s="24" customFormat="1" ht="15">
      <c r="A103" s="22"/>
      <c r="B103" s="34" t="s">
        <v>198</v>
      </c>
      <c r="C103" s="25" t="s">
        <v>59</v>
      </c>
      <c r="D103" s="26" t="s">
        <v>197</v>
      </c>
      <c r="E103" s="33">
        <f t="shared" si="30"/>
        <v>9368526.94</v>
      </c>
      <c r="F103" s="33">
        <f>10647211-240883-1135554+37700+19000+12676+29890-1513.06</f>
        <v>9368526.94</v>
      </c>
      <c r="G103" s="33">
        <f>6060985+10390+24500</f>
        <v>6095875</v>
      </c>
      <c r="H103" s="33">
        <v>564989</v>
      </c>
      <c r="I103" s="54"/>
      <c r="J103" s="66">
        <f t="shared" si="31"/>
        <v>2587500</v>
      </c>
      <c r="K103" s="66">
        <v>155500</v>
      </c>
      <c r="L103" s="66">
        <v>22000</v>
      </c>
      <c r="M103" s="66">
        <v>19661</v>
      </c>
      <c r="N103" s="66">
        <f>1700000+719000+13000</f>
        <v>2432000</v>
      </c>
      <c r="O103" s="66">
        <f>1700000+719000+13000</f>
        <v>2432000</v>
      </c>
      <c r="P103" s="66">
        <f t="shared" si="32"/>
        <v>11956026.94</v>
      </c>
      <c r="Q103" s="149"/>
    </row>
    <row r="104" spans="1:17" s="24" customFormat="1" ht="15">
      <c r="A104" s="22"/>
      <c r="B104" s="38"/>
      <c r="C104" s="25"/>
      <c r="D104" s="26" t="s">
        <v>96</v>
      </c>
      <c r="E104" s="33">
        <f t="shared" si="30"/>
        <v>8336716.94</v>
      </c>
      <c r="F104" s="33">
        <f>8511523-240883+37700+29890-1513.06</f>
        <v>8336716.94</v>
      </c>
      <c r="G104" s="33">
        <f>6060985+24500</f>
        <v>6085485</v>
      </c>
      <c r="H104" s="33">
        <v>564989</v>
      </c>
      <c r="I104" s="54"/>
      <c r="J104" s="66">
        <f t="shared" si="31"/>
        <v>0</v>
      </c>
      <c r="K104" s="54"/>
      <c r="L104" s="54"/>
      <c r="M104" s="54"/>
      <c r="N104" s="54"/>
      <c r="O104" s="54"/>
      <c r="P104" s="66">
        <f t="shared" si="32"/>
        <v>8336716.94</v>
      </c>
      <c r="Q104" s="149"/>
    </row>
    <row r="105" spans="1:17" s="24" customFormat="1" ht="75">
      <c r="A105" s="22"/>
      <c r="B105" s="25" t="s">
        <v>205</v>
      </c>
      <c r="C105" s="25" t="s">
        <v>61</v>
      </c>
      <c r="D105" s="26" t="s">
        <v>62</v>
      </c>
      <c r="E105" s="33">
        <f t="shared" si="30"/>
        <v>658099</v>
      </c>
      <c r="F105" s="33">
        <f>701177-6802-44101+6000+1825</f>
        <v>658099</v>
      </c>
      <c r="G105" s="33">
        <f>430788+37639-32613+1500</f>
        <v>437314</v>
      </c>
      <c r="H105" s="33">
        <v>18580</v>
      </c>
      <c r="I105" s="54"/>
      <c r="J105" s="66">
        <f t="shared" si="31"/>
        <v>40000</v>
      </c>
      <c r="K105" s="54"/>
      <c r="L105" s="54"/>
      <c r="M105" s="54"/>
      <c r="N105" s="66">
        <v>40000</v>
      </c>
      <c r="O105" s="66">
        <v>40000</v>
      </c>
      <c r="P105" s="66">
        <f t="shared" si="32"/>
        <v>698099</v>
      </c>
      <c r="Q105" s="149"/>
    </row>
    <row r="106" spans="1:17" s="24" customFormat="1" ht="15">
      <c r="A106" s="22"/>
      <c r="B106" s="38"/>
      <c r="C106" s="25"/>
      <c r="D106" s="26" t="s">
        <v>96</v>
      </c>
      <c r="E106" s="33">
        <f t="shared" si="30"/>
        <v>577095</v>
      </c>
      <c r="F106" s="33">
        <f>582072-6802+1825</f>
        <v>577095</v>
      </c>
      <c r="G106" s="33">
        <f>398175+37639+1500</f>
        <v>437314</v>
      </c>
      <c r="H106" s="33">
        <v>18580</v>
      </c>
      <c r="I106" s="54"/>
      <c r="J106" s="66">
        <f t="shared" si="31"/>
        <v>0</v>
      </c>
      <c r="K106" s="54"/>
      <c r="L106" s="54"/>
      <c r="M106" s="54"/>
      <c r="N106" s="54"/>
      <c r="O106" s="54"/>
      <c r="P106" s="66">
        <f t="shared" si="32"/>
        <v>577095</v>
      </c>
      <c r="Q106" s="149"/>
    </row>
    <row r="107" spans="1:17" s="24" customFormat="1" ht="30">
      <c r="A107" s="22"/>
      <c r="B107" s="38">
        <v>1412210</v>
      </c>
      <c r="C107" s="25"/>
      <c r="D107" s="26" t="s">
        <v>362</v>
      </c>
      <c r="E107" s="33">
        <f>E109</f>
        <v>10347290</v>
      </c>
      <c r="F107" s="33">
        <f aca="true" t="shared" si="33" ref="F107:P108">F109</f>
        <v>10347290</v>
      </c>
      <c r="G107" s="33">
        <f t="shared" si="33"/>
        <v>0</v>
      </c>
      <c r="H107" s="33">
        <f t="shared" si="33"/>
        <v>0</v>
      </c>
      <c r="I107" s="33">
        <f t="shared" si="33"/>
        <v>0</v>
      </c>
      <c r="J107" s="33">
        <f t="shared" si="33"/>
        <v>0</v>
      </c>
      <c r="K107" s="33">
        <f t="shared" si="33"/>
        <v>0</v>
      </c>
      <c r="L107" s="33">
        <f t="shared" si="33"/>
        <v>0</v>
      </c>
      <c r="M107" s="33">
        <f t="shared" si="33"/>
        <v>0</v>
      </c>
      <c r="N107" s="33">
        <f t="shared" si="33"/>
        <v>0</v>
      </c>
      <c r="O107" s="33">
        <f t="shared" si="33"/>
        <v>0</v>
      </c>
      <c r="P107" s="33">
        <f t="shared" si="32"/>
        <v>10347290</v>
      </c>
      <c r="Q107" s="149"/>
    </row>
    <row r="108" spans="1:17" s="24" customFormat="1" ht="15">
      <c r="A108" s="22"/>
      <c r="B108" s="38"/>
      <c r="C108" s="25"/>
      <c r="D108" s="26" t="s">
        <v>96</v>
      </c>
      <c r="E108" s="33">
        <f>E110</f>
        <v>10347290</v>
      </c>
      <c r="F108" s="33">
        <f t="shared" si="33"/>
        <v>10347290</v>
      </c>
      <c r="G108" s="33">
        <f t="shared" si="33"/>
        <v>0</v>
      </c>
      <c r="H108" s="33">
        <f t="shared" si="33"/>
        <v>0</v>
      </c>
      <c r="I108" s="33">
        <f t="shared" si="33"/>
        <v>0</v>
      </c>
      <c r="J108" s="33">
        <f t="shared" si="33"/>
        <v>0</v>
      </c>
      <c r="K108" s="33">
        <f t="shared" si="33"/>
        <v>0</v>
      </c>
      <c r="L108" s="33">
        <f t="shared" si="33"/>
        <v>0</v>
      </c>
      <c r="M108" s="33">
        <f t="shared" si="33"/>
        <v>0</v>
      </c>
      <c r="N108" s="33">
        <f t="shared" si="33"/>
        <v>0</v>
      </c>
      <c r="O108" s="33">
        <f t="shared" si="33"/>
        <v>0</v>
      </c>
      <c r="P108" s="33">
        <f t="shared" si="33"/>
        <v>10347290</v>
      </c>
      <c r="Q108" s="149"/>
    </row>
    <row r="109" spans="1:17" s="24" customFormat="1" ht="45">
      <c r="A109" s="22"/>
      <c r="B109" s="70">
        <v>1412214</v>
      </c>
      <c r="C109" s="71" t="s">
        <v>363</v>
      </c>
      <c r="D109" s="72" t="s">
        <v>364</v>
      </c>
      <c r="E109" s="60">
        <f t="shared" si="30"/>
        <v>10347290</v>
      </c>
      <c r="F109" s="60">
        <f>4846847+371153+5129290</f>
        <v>10347290</v>
      </c>
      <c r="G109" s="60"/>
      <c r="H109" s="60"/>
      <c r="I109" s="65"/>
      <c r="J109" s="60">
        <f>J112+J114</f>
        <v>0</v>
      </c>
      <c r="K109" s="65"/>
      <c r="L109" s="65"/>
      <c r="M109" s="65"/>
      <c r="N109" s="65"/>
      <c r="O109" s="65"/>
      <c r="P109" s="60">
        <f t="shared" si="32"/>
        <v>10347290</v>
      </c>
      <c r="Q109" s="149"/>
    </row>
    <row r="110" spans="1:17" s="24" customFormat="1" ht="15">
      <c r="A110" s="22"/>
      <c r="B110" s="70"/>
      <c r="C110" s="71"/>
      <c r="D110" s="72" t="s">
        <v>96</v>
      </c>
      <c r="E110" s="60">
        <f t="shared" si="30"/>
        <v>10347290</v>
      </c>
      <c r="F110" s="60">
        <f>5129290+5218000</f>
        <v>10347290</v>
      </c>
      <c r="G110" s="60"/>
      <c r="H110" s="60"/>
      <c r="I110" s="65"/>
      <c r="J110" s="60"/>
      <c r="K110" s="65"/>
      <c r="L110" s="65"/>
      <c r="M110" s="65"/>
      <c r="N110" s="65"/>
      <c r="O110" s="65"/>
      <c r="P110" s="60">
        <f t="shared" si="32"/>
        <v>10347290</v>
      </c>
      <c r="Q110" s="149"/>
    </row>
    <row r="111" spans="1:17" s="24" customFormat="1" ht="15">
      <c r="A111" s="22"/>
      <c r="B111" s="34" t="s">
        <v>200</v>
      </c>
      <c r="C111" s="25" t="s">
        <v>60</v>
      </c>
      <c r="D111" s="26" t="s">
        <v>199</v>
      </c>
      <c r="E111" s="33">
        <f t="shared" si="30"/>
        <v>2004372.06</v>
      </c>
      <c r="F111" s="33">
        <f>F113+F115</f>
        <v>2004372.06</v>
      </c>
      <c r="G111" s="33">
        <f aca="true" t="shared" si="34" ref="G111:P112">G113+G115</f>
        <v>420777</v>
      </c>
      <c r="H111" s="33">
        <f t="shared" si="34"/>
        <v>11415</v>
      </c>
      <c r="I111" s="33">
        <f t="shared" si="34"/>
        <v>0</v>
      </c>
      <c r="J111" s="33">
        <f t="shared" si="34"/>
        <v>20000</v>
      </c>
      <c r="K111" s="33">
        <f t="shared" si="34"/>
        <v>0</v>
      </c>
      <c r="L111" s="33">
        <f t="shared" si="34"/>
        <v>0</v>
      </c>
      <c r="M111" s="33">
        <f t="shared" si="34"/>
        <v>0</v>
      </c>
      <c r="N111" s="33">
        <f t="shared" si="34"/>
        <v>20000</v>
      </c>
      <c r="O111" s="33">
        <f t="shared" si="34"/>
        <v>20000</v>
      </c>
      <c r="P111" s="33">
        <f t="shared" si="34"/>
        <v>2024372.06</v>
      </c>
      <c r="Q111" s="149"/>
    </row>
    <row r="112" spans="1:17" s="24" customFormat="1" ht="15">
      <c r="A112" s="22"/>
      <c r="B112" s="38"/>
      <c r="C112" s="25"/>
      <c r="D112" s="26" t="s">
        <v>96</v>
      </c>
      <c r="E112" s="33">
        <f t="shared" si="30"/>
        <v>793288.06</v>
      </c>
      <c r="F112" s="33">
        <f>F114+F116</f>
        <v>793288.06</v>
      </c>
      <c r="G112" s="33">
        <f t="shared" si="34"/>
        <v>420777</v>
      </c>
      <c r="H112" s="33">
        <f t="shared" si="34"/>
        <v>11415</v>
      </c>
      <c r="I112" s="33">
        <f t="shared" si="34"/>
        <v>0</v>
      </c>
      <c r="J112" s="33">
        <f t="shared" si="34"/>
        <v>0</v>
      </c>
      <c r="K112" s="33">
        <f t="shared" si="34"/>
        <v>0</v>
      </c>
      <c r="L112" s="33">
        <f t="shared" si="34"/>
        <v>0</v>
      </c>
      <c r="M112" s="33">
        <f t="shared" si="34"/>
        <v>0</v>
      </c>
      <c r="N112" s="33">
        <f t="shared" si="34"/>
        <v>0</v>
      </c>
      <c r="O112" s="33">
        <f t="shared" si="34"/>
        <v>0</v>
      </c>
      <c r="P112" s="33">
        <f t="shared" si="34"/>
        <v>793288.06</v>
      </c>
      <c r="Q112" s="149"/>
    </row>
    <row r="113" spans="1:17" s="80" customFormat="1" ht="30">
      <c r="A113" s="79"/>
      <c r="B113" s="71" t="s">
        <v>203</v>
      </c>
      <c r="C113" s="71" t="s">
        <v>60</v>
      </c>
      <c r="D113" s="72" t="s">
        <v>201</v>
      </c>
      <c r="E113" s="60">
        <f t="shared" si="30"/>
        <v>554765</v>
      </c>
      <c r="F113" s="60">
        <f>605063-9626-42382+1710</f>
        <v>554765</v>
      </c>
      <c r="G113" s="60">
        <f>415979+34677-31279+1400</f>
        <v>420777</v>
      </c>
      <c r="H113" s="60">
        <v>11415</v>
      </c>
      <c r="I113" s="65"/>
      <c r="J113" s="60">
        <f>K113+N113</f>
        <v>20000</v>
      </c>
      <c r="K113" s="65"/>
      <c r="L113" s="65"/>
      <c r="M113" s="65"/>
      <c r="N113" s="65">
        <v>20000</v>
      </c>
      <c r="O113" s="65">
        <v>20000</v>
      </c>
      <c r="P113" s="60">
        <f>E113+J113</f>
        <v>574765</v>
      </c>
      <c r="Q113" s="149"/>
    </row>
    <row r="114" spans="1:17" s="80" customFormat="1" ht="15">
      <c r="A114" s="79"/>
      <c r="B114" s="71"/>
      <c r="C114" s="71"/>
      <c r="D114" s="72" t="s">
        <v>96</v>
      </c>
      <c r="E114" s="60">
        <f t="shared" si="30"/>
        <v>532262</v>
      </c>
      <c r="F114" s="60">
        <f>540178-9626+1710</f>
        <v>532262</v>
      </c>
      <c r="G114" s="60">
        <f>384700+34677+1400</f>
        <v>420777</v>
      </c>
      <c r="H114" s="60">
        <v>11415</v>
      </c>
      <c r="I114" s="65"/>
      <c r="J114" s="60">
        <f>K114+N114</f>
        <v>0</v>
      </c>
      <c r="K114" s="65"/>
      <c r="L114" s="65"/>
      <c r="M114" s="65"/>
      <c r="N114" s="65"/>
      <c r="O114" s="65"/>
      <c r="P114" s="60">
        <f>E114+J114</f>
        <v>532262</v>
      </c>
      <c r="Q114" s="149"/>
    </row>
    <row r="115" spans="1:17" s="80" customFormat="1" ht="30">
      <c r="A115" s="79"/>
      <c r="B115" s="71" t="s">
        <v>204</v>
      </c>
      <c r="C115" s="71" t="s">
        <v>60</v>
      </c>
      <c r="D115" s="72" t="s">
        <v>202</v>
      </c>
      <c r="E115" s="60">
        <f t="shared" si="30"/>
        <v>1449607.06</v>
      </c>
      <c r="F115" s="60">
        <f>1276094+150000+23513.06</f>
        <v>1449607.06</v>
      </c>
      <c r="G115" s="60"/>
      <c r="H115" s="60"/>
      <c r="I115" s="65"/>
      <c r="J115" s="60">
        <f>K115+N115</f>
        <v>0</v>
      </c>
      <c r="K115" s="65"/>
      <c r="L115" s="65"/>
      <c r="M115" s="65"/>
      <c r="N115" s="65"/>
      <c r="O115" s="65"/>
      <c r="P115" s="60">
        <f>E115+J115</f>
        <v>1449607.06</v>
      </c>
      <c r="Q115" s="149"/>
    </row>
    <row r="116" spans="1:17" s="80" customFormat="1" ht="15">
      <c r="A116" s="79"/>
      <c r="B116" s="70"/>
      <c r="C116" s="71"/>
      <c r="D116" s="72" t="s">
        <v>96</v>
      </c>
      <c r="E116" s="60">
        <f t="shared" si="30"/>
        <v>261026.06</v>
      </c>
      <c r="F116" s="60">
        <f>237513+23513.06</f>
        <v>261026.06</v>
      </c>
      <c r="G116" s="60"/>
      <c r="H116" s="60"/>
      <c r="I116" s="65"/>
      <c r="J116" s="60">
        <f>K116+N116</f>
        <v>0</v>
      </c>
      <c r="K116" s="65"/>
      <c r="L116" s="65"/>
      <c r="M116" s="65"/>
      <c r="N116" s="65"/>
      <c r="O116" s="65"/>
      <c r="P116" s="60">
        <f>E116+J116</f>
        <v>261026.06</v>
      </c>
      <c r="Q116" s="149"/>
    </row>
    <row r="117" spans="1:17" s="24" customFormat="1" ht="28.5">
      <c r="A117" s="44"/>
      <c r="B117" s="53" t="s">
        <v>206</v>
      </c>
      <c r="C117" s="29"/>
      <c r="D117" s="30" t="s">
        <v>460</v>
      </c>
      <c r="E117" s="54">
        <f>E118</f>
        <v>776465654.03</v>
      </c>
      <c r="F117" s="54">
        <f aca="true" t="shared" si="35" ref="F117:P117">F118</f>
        <v>776465654.03</v>
      </c>
      <c r="G117" s="54">
        <f t="shared" si="35"/>
        <v>17460357.86</v>
      </c>
      <c r="H117" s="54">
        <f t="shared" si="35"/>
        <v>655383</v>
      </c>
      <c r="I117" s="54">
        <f t="shared" si="35"/>
        <v>0</v>
      </c>
      <c r="J117" s="54">
        <f t="shared" si="35"/>
        <v>1046703</v>
      </c>
      <c r="K117" s="54">
        <f t="shared" si="35"/>
        <v>27800</v>
      </c>
      <c r="L117" s="54">
        <f t="shared" si="35"/>
        <v>18822</v>
      </c>
      <c r="M117" s="54">
        <f t="shared" si="35"/>
        <v>0</v>
      </c>
      <c r="N117" s="54">
        <f t="shared" si="35"/>
        <v>1018903</v>
      </c>
      <c r="O117" s="54">
        <f t="shared" si="35"/>
        <v>1018903</v>
      </c>
      <c r="P117" s="54">
        <f t="shared" si="35"/>
        <v>777512357.03</v>
      </c>
      <c r="Q117" s="149"/>
    </row>
    <row r="118" spans="1:17" s="80" customFormat="1" ht="30">
      <c r="A118" s="79"/>
      <c r="B118" s="85" t="s">
        <v>207</v>
      </c>
      <c r="C118" s="47"/>
      <c r="D118" s="48" t="s">
        <v>460</v>
      </c>
      <c r="E118" s="65">
        <f>E120+E146+E172+E176+E178+E182+E183+E188+E191+E187+E186+E121+E123+E138+E152+E173+E175+E194</f>
        <v>776465654.03</v>
      </c>
      <c r="F118" s="65">
        <f aca="true" t="shared" si="36" ref="F118:P118">F120+F146+F172+F176+F178+F182+F183+F188+F191+F187+F186+F121+F123+F138+F152+F173+F175+F194</f>
        <v>776465654.03</v>
      </c>
      <c r="G118" s="65">
        <f t="shared" si="36"/>
        <v>17460357.86</v>
      </c>
      <c r="H118" s="65">
        <f t="shared" si="36"/>
        <v>655383</v>
      </c>
      <c r="I118" s="65">
        <f t="shared" si="36"/>
        <v>0</v>
      </c>
      <c r="J118" s="65">
        <f t="shared" si="36"/>
        <v>1046703</v>
      </c>
      <c r="K118" s="65">
        <f t="shared" si="36"/>
        <v>27800</v>
      </c>
      <c r="L118" s="65">
        <f t="shared" si="36"/>
        <v>18822</v>
      </c>
      <c r="M118" s="65">
        <f t="shared" si="36"/>
        <v>0</v>
      </c>
      <c r="N118" s="65">
        <f t="shared" si="36"/>
        <v>1018903</v>
      </c>
      <c r="O118" s="65">
        <f t="shared" si="36"/>
        <v>1018903</v>
      </c>
      <c r="P118" s="65">
        <f t="shared" si="36"/>
        <v>777512357.03</v>
      </c>
      <c r="Q118" s="149"/>
    </row>
    <row r="119" spans="1:17" s="80" customFormat="1" ht="15">
      <c r="A119" s="79"/>
      <c r="B119" s="85"/>
      <c r="C119" s="47"/>
      <c r="D119" s="26" t="s">
        <v>41</v>
      </c>
      <c r="E119" s="65">
        <f aca="true" t="shared" si="37" ref="E119:P119">E122+E124+E139+E153+E174</f>
        <v>720910072</v>
      </c>
      <c r="F119" s="65">
        <f t="shared" si="37"/>
        <v>720910072</v>
      </c>
      <c r="G119" s="65">
        <f t="shared" si="37"/>
        <v>0</v>
      </c>
      <c r="H119" s="65">
        <f t="shared" si="37"/>
        <v>0</v>
      </c>
      <c r="I119" s="65">
        <f t="shared" si="37"/>
        <v>0</v>
      </c>
      <c r="J119" s="65">
        <f t="shared" si="37"/>
        <v>0</v>
      </c>
      <c r="K119" s="65">
        <f t="shared" si="37"/>
        <v>0</v>
      </c>
      <c r="L119" s="65">
        <f t="shared" si="37"/>
        <v>0</v>
      </c>
      <c r="M119" s="65">
        <f t="shared" si="37"/>
        <v>0</v>
      </c>
      <c r="N119" s="65">
        <f t="shared" si="37"/>
        <v>0</v>
      </c>
      <c r="O119" s="65">
        <f t="shared" si="37"/>
        <v>0</v>
      </c>
      <c r="P119" s="65">
        <f t="shared" si="37"/>
        <v>720910072</v>
      </c>
      <c r="Q119" s="149"/>
    </row>
    <row r="120" spans="1:17" s="24" customFormat="1" ht="45" customHeight="1">
      <c r="A120" s="44"/>
      <c r="B120" s="53" t="s">
        <v>208</v>
      </c>
      <c r="C120" s="41" t="s">
        <v>9</v>
      </c>
      <c r="D120" s="45" t="s">
        <v>100</v>
      </c>
      <c r="E120" s="66">
        <f>F120+I120</f>
        <v>16088574</v>
      </c>
      <c r="F120" s="33">
        <f>15846830-1812790+360005+30000+943859+412900+307770</f>
        <v>16088574</v>
      </c>
      <c r="G120" s="66">
        <f>10990800-210790+749065+338500</f>
        <v>11867575</v>
      </c>
      <c r="H120" s="66">
        <v>369473</v>
      </c>
      <c r="I120" s="66"/>
      <c r="J120" s="66">
        <f>K120+N120</f>
        <v>342500</v>
      </c>
      <c r="K120" s="66"/>
      <c r="L120" s="66"/>
      <c r="M120" s="66"/>
      <c r="N120" s="66">
        <f>200000+142500</f>
        <v>342500</v>
      </c>
      <c r="O120" s="66">
        <f>200000+142500</f>
        <v>342500</v>
      </c>
      <c r="P120" s="66">
        <f>E120+J120</f>
        <v>16431074</v>
      </c>
      <c r="Q120" s="149"/>
    </row>
    <row r="121" spans="1:17" s="24" customFormat="1" ht="76.5" customHeight="1">
      <c r="A121" s="22"/>
      <c r="B121" s="34" t="s">
        <v>395</v>
      </c>
      <c r="C121" s="25" t="s">
        <v>396</v>
      </c>
      <c r="D121" s="26" t="s">
        <v>397</v>
      </c>
      <c r="E121" s="33">
        <f aca="true" t="shared" si="38" ref="E121:E140">F121+I121</f>
        <v>1678900</v>
      </c>
      <c r="F121" s="33">
        <v>1678900</v>
      </c>
      <c r="G121" s="33"/>
      <c r="H121" s="33"/>
      <c r="I121" s="33"/>
      <c r="J121" s="33"/>
      <c r="K121" s="33"/>
      <c r="L121" s="33"/>
      <c r="M121" s="33"/>
      <c r="N121" s="33"/>
      <c r="O121" s="33"/>
      <c r="P121" s="33">
        <f aca="true" t="shared" si="39" ref="P121:P137">E121+J121</f>
        <v>1678900</v>
      </c>
      <c r="Q121" s="149"/>
    </row>
    <row r="122" spans="1:17" s="24" customFormat="1" ht="27.75" customHeight="1">
      <c r="A122" s="22"/>
      <c r="B122" s="38"/>
      <c r="C122" s="25"/>
      <c r="D122" s="26" t="s">
        <v>41</v>
      </c>
      <c r="E122" s="33">
        <f t="shared" si="38"/>
        <v>1678900</v>
      </c>
      <c r="F122" s="33">
        <v>1678900</v>
      </c>
      <c r="G122" s="33"/>
      <c r="H122" s="33"/>
      <c r="I122" s="33"/>
      <c r="J122" s="33"/>
      <c r="K122" s="33"/>
      <c r="L122" s="33"/>
      <c r="M122" s="33"/>
      <c r="N122" s="33"/>
      <c r="O122" s="33"/>
      <c r="P122" s="33">
        <f t="shared" si="39"/>
        <v>1678900</v>
      </c>
      <c r="Q122" s="149">
        <v>80</v>
      </c>
    </row>
    <row r="123" spans="1:17" s="24" customFormat="1" ht="90">
      <c r="A123" s="22"/>
      <c r="B123" s="38">
        <v>1513010</v>
      </c>
      <c r="C123" s="25"/>
      <c r="D123" s="26" t="s">
        <v>398</v>
      </c>
      <c r="E123" s="33">
        <f aca="true" t="shared" si="40" ref="E123:P123">E125+E127+E130+E132+E134+E136</f>
        <v>458669200</v>
      </c>
      <c r="F123" s="33">
        <f t="shared" si="40"/>
        <v>458669200</v>
      </c>
      <c r="G123" s="33">
        <f t="shared" si="40"/>
        <v>0</v>
      </c>
      <c r="H123" s="33">
        <f t="shared" si="40"/>
        <v>0</v>
      </c>
      <c r="I123" s="33">
        <f t="shared" si="40"/>
        <v>0</v>
      </c>
      <c r="J123" s="33">
        <f t="shared" si="40"/>
        <v>0</v>
      </c>
      <c r="K123" s="33">
        <f t="shared" si="40"/>
        <v>0</v>
      </c>
      <c r="L123" s="33">
        <f t="shared" si="40"/>
        <v>0</v>
      </c>
      <c r="M123" s="33">
        <f t="shared" si="40"/>
        <v>0</v>
      </c>
      <c r="N123" s="33">
        <f t="shared" si="40"/>
        <v>0</v>
      </c>
      <c r="O123" s="33">
        <f t="shared" si="40"/>
        <v>0</v>
      </c>
      <c r="P123" s="33">
        <f t="shared" si="40"/>
        <v>458669200</v>
      </c>
      <c r="Q123" s="149"/>
    </row>
    <row r="124" spans="1:17" s="24" customFormat="1" ht="21.75" customHeight="1">
      <c r="A124" s="22"/>
      <c r="B124" s="38"/>
      <c r="C124" s="25"/>
      <c r="D124" s="26" t="s">
        <v>41</v>
      </c>
      <c r="E124" s="33">
        <f aca="true" t="shared" si="41" ref="E124:P124">E126+E129+E131+E133+E135+E137</f>
        <v>458669200</v>
      </c>
      <c r="F124" s="33">
        <f t="shared" si="41"/>
        <v>458669200</v>
      </c>
      <c r="G124" s="33">
        <f t="shared" si="41"/>
        <v>0</v>
      </c>
      <c r="H124" s="33">
        <f t="shared" si="41"/>
        <v>0</v>
      </c>
      <c r="I124" s="33">
        <f t="shared" si="41"/>
        <v>0</v>
      </c>
      <c r="J124" s="33">
        <f t="shared" si="41"/>
        <v>0</v>
      </c>
      <c r="K124" s="33">
        <f t="shared" si="41"/>
        <v>0</v>
      </c>
      <c r="L124" s="33">
        <f t="shared" si="41"/>
        <v>0</v>
      </c>
      <c r="M124" s="33">
        <f t="shared" si="41"/>
        <v>0</v>
      </c>
      <c r="N124" s="33">
        <f t="shared" si="41"/>
        <v>0</v>
      </c>
      <c r="O124" s="33">
        <f t="shared" si="41"/>
        <v>0</v>
      </c>
      <c r="P124" s="33">
        <f t="shared" si="41"/>
        <v>458669200</v>
      </c>
      <c r="Q124" s="149"/>
    </row>
    <row r="125" spans="1:17" s="24" customFormat="1" ht="257.25" customHeight="1">
      <c r="A125" s="22"/>
      <c r="B125" s="70">
        <v>1513011</v>
      </c>
      <c r="C125" s="71" t="s">
        <v>399</v>
      </c>
      <c r="D125" s="72" t="s">
        <v>400</v>
      </c>
      <c r="E125" s="66">
        <f>F125+I125</f>
        <v>35619200</v>
      </c>
      <c r="F125" s="66">
        <v>35619200</v>
      </c>
      <c r="G125" s="66"/>
      <c r="H125" s="66"/>
      <c r="I125" s="66"/>
      <c r="J125" s="66"/>
      <c r="K125" s="66"/>
      <c r="L125" s="66"/>
      <c r="M125" s="66"/>
      <c r="N125" s="66"/>
      <c r="O125" s="66"/>
      <c r="P125" s="66">
        <f t="shared" si="39"/>
        <v>35619200</v>
      </c>
      <c r="Q125" s="149"/>
    </row>
    <row r="126" spans="1:17" s="24" customFormat="1" ht="24.75" customHeight="1">
      <c r="A126" s="22"/>
      <c r="B126" s="70"/>
      <c r="C126" s="71"/>
      <c r="D126" s="72" t="s">
        <v>41</v>
      </c>
      <c r="E126" s="66">
        <f>F126+I126</f>
        <v>35619200</v>
      </c>
      <c r="F126" s="66">
        <v>35619200</v>
      </c>
      <c r="G126" s="66"/>
      <c r="H126" s="66"/>
      <c r="I126" s="66"/>
      <c r="J126" s="66"/>
      <c r="K126" s="66"/>
      <c r="L126" s="66"/>
      <c r="M126" s="66"/>
      <c r="N126" s="66"/>
      <c r="O126" s="66"/>
      <c r="P126" s="66">
        <f t="shared" si="39"/>
        <v>35619200</v>
      </c>
      <c r="Q126" s="149"/>
    </row>
    <row r="127" spans="1:17" s="24" customFormat="1" ht="213" customHeight="1">
      <c r="A127" s="22"/>
      <c r="B127" s="165">
        <v>1513012</v>
      </c>
      <c r="C127" s="167" t="s">
        <v>401</v>
      </c>
      <c r="D127" s="95" t="s">
        <v>402</v>
      </c>
      <c r="E127" s="163">
        <f>F127+I127</f>
        <v>5469100</v>
      </c>
      <c r="F127" s="163">
        <v>5469100</v>
      </c>
      <c r="G127" s="96"/>
      <c r="H127" s="96"/>
      <c r="I127" s="96"/>
      <c r="J127" s="96"/>
      <c r="K127" s="96"/>
      <c r="L127" s="96"/>
      <c r="M127" s="96"/>
      <c r="N127" s="96"/>
      <c r="O127" s="96"/>
      <c r="P127" s="163">
        <f t="shared" si="39"/>
        <v>5469100</v>
      </c>
      <c r="Q127" s="149"/>
    </row>
    <row r="128" spans="1:17" s="24" customFormat="1" ht="300">
      <c r="A128" s="22"/>
      <c r="B128" s="166"/>
      <c r="C128" s="166"/>
      <c r="D128" s="97" t="s">
        <v>403</v>
      </c>
      <c r="E128" s="164"/>
      <c r="F128" s="164"/>
      <c r="G128" s="98"/>
      <c r="H128" s="98"/>
      <c r="I128" s="98"/>
      <c r="J128" s="98"/>
      <c r="K128" s="98"/>
      <c r="L128" s="98"/>
      <c r="M128" s="98"/>
      <c r="N128" s="98"/>
      <c r="O128" s="98"/>
      <c r="P128" s="164"/>
      <c r="Q128" s="149">
        <v>81</v>
      </c>
    </row>
    <row r="129" spans="1:17" s="24" customFormat="1" ht="15">
      <c r="A129" s="22"/>
      <c r="B129" s="70"/>
      <c r="C129" s="75"/>
      <c r="D129" s="72" t="s">
        <v>41</v>
      </c>
      <c r="E129" s="66">
        <f t="shared" si="38"/>
        <v>5469100</v>
      </c>
      <c r="F129" s="66">
        <v>5469100</v>
      </c>
      <c r="G129" s="66"/>
      <c r="H129" s="66"/>
      <c r="I129" s="66"/>
      <c r="J129" s="66"/>
      <c r="K129" s="66"/>
      <c r="L129" s="66"/>
      <c r="M129" s="66"/>
      <c r="N129" s="66"/>
      <c r="O129" s="66"/>
      <c r="P129" s="66">
        <f t="shared" si="39"/>
        <v>5469100</v>
      </c>
      <c r="Q129" s="149"/>
    </row>
    <row r="130" spans="1:17" s="24" customFormat="1" ht="112.5" customHeight="1">
      <c r="A130" s="22"/>
      <c r="B130" s="70">
        <v>1513013</v>
      </c>
      <c r="C130" s="71" t="s">
        <v>404</v>
      </c>
      <c r="D130" s="72" t="s">
        <v>405</v>
      </c>
      <c r="E130" s="66">
        <f t="shared" si="38"/>
        <v>4278400</v>
      </c>
      <c r="F130" s="66">
        <v>4278400</v>
      </c>
      <c r="G130" s="66"/>
      <c r="H130" s="66"/>
      <c r="I130" s="66"/>
      <c r="J130" s="66"/>
      <c r="K130" s="66"/>
      <c r="L130" s="66"/>
      <c r="M130" s="66"/>
      <c r="N130" s="66"/>
      <c r="O130" s="66"/>
      <c r="P130" s="66">
        <f t="shared" si="39"/>
        <v>4278400</v>
      </c>
      <c r="Q130" s="149"/>
    </row>
    <row r="131" spans="1:17" s="24" customFormat="1" ht="19.5" customHeight="1">
      <c r="A131" s="22"/>
      <c r="B131" s="70"/>
      <c r="C131" s="71"/>
      <c r="D131" s="72" t="s">
        <v>41</v>
      </c>
      <c r="E131" s="66">
        <f t="shared" si="38"/>
        <v>4278400</v>
      </c>
      <c r="F131" s="66">
        <v>4278400</v>
      </c>
      <c r="G131" s="66"/>
      <c r="H131" s="66"/>
      <c r="I131" s="66"/>
      <c r="J131" s="66"/>
      <c r="K131" s="66"/>
      <c r="L131" s="66"/>
      <c r="M131" s="66"/>
      <c r="N131" s="66"/>
      <c r="O131" s="66"/>
      <c r="P131" s="66">
        <f t="shared" si="39"/>
        <v>4278400</v>
      </c>
      <c r="Q131" s="149"/>
    </row>
    <row r="132" spans="1:17" s="24" customFormat="1" ht="212.25" customHeight="1">
      <c r="A132" s="22"/>
      <c r="B132" s="70">
        <v>1513014</v>
      </c>
      <c r="C132" s="71" t="s">
        <v>406</v>
      </c>
      <c r="D132" s="72" t="s">
        <v>407</v>
      </c>
      <c r="E132" s="66">
        <f t="shared" si="38"/>
        <v>110300</v>
      </c>
      <c r="F132" s="66">
        <v>110300</v>
      </c>
      <c r="G132" s="66"/>
      <c r="H132" s="66"/>
      <c r="I132" s="66"/>
      <c r="J132" s="66"/>
      <c r="K132" s="66"/>
      <c r="L132" s="66"/>
      <c r="M132" s="66"/>
      <c r="N132" s="66"/>
      <c r="O132" s="66"/>
      <c r="P132" s="66">
        <f t="shared" si="39"/>
        <v>110300</v>
      </c>
      <c r="Q132" s="149"/>
    </row>
    <row r="133" spans="1:17" s="24" customFormat="1" ht="20.25" customHeight="1">
      <c r="A133" s="22"/>
      <c r="B133" s="70"/>
      <c r="C133" s="71"/>
      <c r="D133" s="72" t="s">
        <v>41</v>
      </c>
      <c r="E133" s="66">
        <f t="shared" si="38"/>
        <v>110300</v>
      </c>
      <c r="F133" s="66">
        <v>110300</v>
      </c>
      <c r="G133" s="66"/>
      <c r="H133" s="66"/>
      <c r="I133" s="66"/>
      <c r="J133" s="66"/>
      <c r="K133" s="66"/>
      <c r="L133" s="66"/>
      <c r="M133" s="66"/>
      <c r="N133" s="66"/>
      <c r="O133" s="66"/>
      <c r="P133" s="66">
        <f t="shared" si="39"/>
        <v>110300</v>
      </c>
      <c r="Q133" s="149"/>
    </row>
    <row r="134" spans="1:17" s="24" customFormat="1" ht="30">
      <c r="A134" s="22"/>
      <c r="B134" s="70">
        <v>1513015</v>
      </c>
      <c r="C134" s="71" t="s">
        <v>408</v>
      </c>
      <c r="D134" s="72" t="s">
        <v>409</v>
      </c>
      <c r="E134" s="66">
        <f t="shared" si="38"/>
        <v>2195200</v>
      </c>
      <c r="F134" s="66">
        <v>2195200</v>
      </c>
      <c r="G134" s="66"/>
      <c r="H134" s="66"/>
      <c r="I134" s="66"/>
      <c r="J134" s="66"/>
      <c r="K134" s="66"/>
      <c r="L134" s="66"/>
      <c r="M134" s="66"/>
      <c r="N134" s="66"/>
      <c r="O134" s="66"/>
      <c r="P134" s="66">
        <f t="shared" si="39"/>
        <v>2195200</v>
      </c>
      <c r="Q134" s="149"/>
    </row>
    <row r="135" spans="1:17" s="24" customFormat="1" ht="20.25" customHeight="1">
      <c r="A135" s="22"/>
      <c r="B135" s="70"/>
      <c r="C135" s="71"/>
      <c r="D135" s="72" t="s">
        <v>41</v>
      </c>
      <c r="E135" s="66">
        <f t="shared" si="38"/>
        <v>2195200</v>
      </c>
      <c r="F135" s="66">
        <v>2195200</v>
      </c>
      <c r="G135" s="66"/>
      <c r="H135" s="66"/>
      <c r="I135" s="66"/>
      <c r="J135" s="66"/>
      <c r="K135" s="66"/>
      <c r="L135" s="66"/>
      <c r="M135" s="66"/>
      <c r="N135" s="66"/>
      <c r="O135" s="66"/>
      <c r="P135" s="66">
        <f t="shared" si="39"/>
        <v>2195200</v>
      </c>
      <c r="Q135" s="149"/>
    </row>
    <row r="136" spans="1:17" s="24" customFormat="1" ht="45">
      <c r="A136" s="22"/>
      <c r="B136" s="70">
        <v>1513016</v>
      </c>
      <c r="C136" s="71" t="s">
        <v>410</v>
      </c>
      <c r="D136" s="72" t="s">
        <v>411</v>
      </c>
      <c r="E136" s="66">
        <f t="shared" si="38"/>
        <v>410997000</v>
      </c>
      <c r="F136" s="66">
        <f>365245700+45751300</f>
        <v>410997000</v>
      </c>
      <c r="G136" s="66"/>
      <c r="H136" s="66"/>
      <c r="I136" s="66"/>
      <c r="J136" s="66"/>
      <c r="K136" s="66"/>
      <c r="L136" s="66"/>
      <c r="M136" s="66"/>
      <c r="N136" s="66"/>
      <c r="O136" s="66"/>
      <c r="P136" s="66">
        <f t="shared" si="39"/>
        <v>410997000</v>
      </c>
      <c r="Q136" s="149"/>
    </row>
    <row r="137" spans="1:17" s="24" customFormat="1" ht="15">
      <c r="A137" s="22"/>
      <c r="B137" s="70"/>
      <c r="C137" s="71"/>
      <c r="D137" s="72" t="s">
        <v>41</v>
      </c>
      <c r="E137" s="66">
        <f t="shared" si="38"/>
        <v>410997000</v>
      </c>
      <c r="F137" s="66">
        <f>365245700+45751300</f>
        <v>410997000</v>
      </c>
      <c r="G137" s="66"/>
      <c r="H137" s="66"/>
      <c r="I137" s="66"/>
      <c r="J137" s="66"/>
      <c r="K137" s="66"/>
      <c r="L137" s="66"/>
      <c r="M137" s="66"/>
      <c r="N137" s="66"/>
      <c r="O137" s="66"/>
      <c r="P137" s="66">
        <f t="shared" si="39"/>
        <v>410997000</v>
      </c>
      <c r="Q137" s="149"/>
    </row>
    <row r="138" spans="1:17" s="24" customFormat="1" ht="40.5" customHeight="1">
      <c r="A138" s="22"/>
      <c r="B138" s="38">
        <v>1513020</v>
      </c>
      <c r="C138" s="76"/>
      <c r="D138" s="26" t="s">
        <v>412</v>
      </c>
      <c r="E138" s="33">
        <f>E140+E142+E144</f>
        <v>164830</v>
      </c>
      <c r="F138" s="33">
        <f aca="true" t="shared" si="42" ref="F138:P138">F140+F142+F144</f>
        <v>164830</v>
      </c>
      <c r="G138" s="33">
        <f t="shared" si="42"/>
        <v>0</v>
      </c>
      <c r="H138" s="33">
        <f t="shared" si="42"/>
        <v>0</v>
      </c>
      <c r="I138" s="33">
        <f t="shared" si="42"/>
        <v>0</v>
      </c>
      <c r="J138" s="33">
        <f t="shared" si="42"/>
        <v>0</v>
      </c>
      <c r="K138" s="33">
        <f t="shared" si="42"/>
        <v>0</v>
      </c>
      <c r="L138" s="33">
        <f t="shared" si="42"/>
        <v>0</v>
      </c>
      <c r="M138" s="33">
        <f t="shared" si="42"/>
        <v>0</v>
      </c>
      <c r="N138" s="33">
        <f t="shared" si="42"/>
        <v>0</v>
      </c>
      <c r="O138" s="33">
        <f t="shared" si="42"/>
        <v>0</v>
      </c>
      <c r="P138" s="33">
        <f t="shared" si="42"/>
        <v>164830</v>
      </c>
      <c r="Q138" s="149">
        <v>82</v>
      </c>
    </row>
    <row r="139" spans="1:17" s="24" customFormat="1" ht="22.5" customHeight="1">
      <c r="A139" s="22"/>
      <c r="B139" s="38"/>
      <c r="C139" s="76"/>
      <c r="D139" s="26" t="s">
        <v>41</v>
      </c>
      <c r="E139" s="33">
        <f>E141+E143+E145</f>
        <v>164830</v>
      </c>
      <c r="F139" s="33">
        <f aca="true" t="shared" si="43" ref="F139:P139">F141+F143+F145</f>
        <v>164830</v>
      </c>
      <c r="G139" s="33">
        <f t="shared" si="43"/>
        <v>0</v>
      </c>
      <c r="H139" s="33">
        <f t="shared" si="43"/>
        <v>0</v>
      </c>
      <c r="I139" s="33">
        <f t="shared" si="43"/>
        <v>0</v>
      </c>
      <c r="J139" s="33">
        <f t="shared" si="43"/>
        <v>0</v>
      </c>
      <c r="K139" s="33">
        <f t="shared" si="43"/>
        <v>0</v>
      </c>
      <c r="L139" s="33">
        <f t="shared" si="43"/>
        <v>0</v>
      </c>
      <c r="M139" s="33">
        <f t="shared" si="43"/>
        <v>0</v>
      </c>
      <c r="N139" s="33">
        <f t="shared" si="43"/>
        <v>0</v>
      </c>
      <c r="O139" s="33">
        <f t="shared" si="43"/>
        <v>0</v>
      </c>
      <c r="P139" s="33">
        <f t="shared" si="43"/>
        <v>164830</v>
      </c>
      <c r="Q139" s="149"/>
    </row>
    <row r="140" spans="1:17" s="24" customFormat="1" ht="231.75" customHeight="1">
      <c r="A140" s="22"/>
      <c r="B140" s="70">
        <v>1513021</v>
      </c>
      <c r="C140" s="71" t="s">
        <v>413</v>
      </c>
      <c r="D140" s="72" t="s">
        <v>414</v>
      </c>
      <c r="E140" s="66">
        <f t="shared" si="38"/>
        <v>23046.23</v>
      </c>
      <c r="F140" s="66">
        <f>16975+5213.3+857.93</f>
        <v>23046.23</v>
      </c>
      <c r="G140" s="66"/>
      <c r="H140" s="66"/>
      <c r="I140" s="66"/>
      <c r="J140" s="66"/>
      <c r="K140" s="66"/>
      <c r="L140" s="66"/>
      <c r="M140" s="66"/>
      <c r="N140" s="66"/>
      <c r="O140" s="66"/>
      <c r="P140" s="66">
        <f aca="true" t="shared" si="44" ref="P140:P145">F140+J140</f>
        <v>23046.23</v>
      </c>
      <c r="Q140" s="149"/>
    </row>
    <row r="141" spans="1:17" s="24" customFormat="1" ht="25.5" customHeight="1">
      <c r="A141" s="22"/>
      <c r="B141" s="70"/>
      <c r="C141" s="71"/>
      <c r="D141" s="72" t="s">
        <v>41</v>
      </c>
      <c r="E141" s="66">
        <f>F141+I141</f>
        <v>23046.23</v>
      </c>
      <c r="F141" s="66">
        <f>16975+5213.3+857.93</f>
        <v>23046.23</v>
      </c>
      <c r="G141" s="66"/>
      <c r="H141" s="66"/>
      <c r="I141" s="66"/>
      <c r="J141" s="66"/>
      <c r="K141" s="66"/>
      <c r="L141" s="66"/>
      <c r="M141" s="66"/>
      <c r="N141" s="66"/>
      <c r="O141" s="66"/>
      <c r="P141" s="66">
        <f t="shared" si="44"/>
        <v>23046.23</v>
      </c>
      <c r="Q141" s="149"/>
    </row>
    <row r="142" spans="1:17" s="24" customFormat="1" ht="45" customHeight="1">
      <c r="A142" s="22"/>
      <c r="B142" s="70">
        <v>1513025</v>
      </c>
      <c r="C142" s="77" t="s">
        <v>415</v>
      </c>
      <c r="D142" s="72" t="s">
        <v>416</v>
      </c>
      <c r="E142" s="66">
        <f>F142+I142</f>
        <v>6754.88</v>
      </c>
      <c r="F142" s="66">
        <f>4412+3103.26-760.38</f>
        <v>6754.88</v>
      </c>
      <c r="G142" s="66"/>
      <c r="H142" s="66"/>
      <c r="I142" s="66"/>
      <c r="J142" s="66"/>
      <c r="K142" s="66"/>
      <c r="L142" s="66"/>
      <c r="M142" s="66"/>
      <c r="N142" s="66"/>
      <c r="O142" s="66"/>
      <c r="P142" s="66">
        <f t="shared" si="44"/>
        <v>6754.88</v>
      </c>
      <c r="Q142" s="149"/>
    </row>
    <row r="143" spans="1:17" s="24" customFormat="1" ht="25.5" customHeight="1">
      <c r="A143" s="22"/>
      <c r="B143" s="70"/>
      <c r="C143" s="77"/>
      <c r="D143" s="72" t="s">
        <v>41</v>
      </c>
      <c r="E143" s="66">
        <f>F143+I143</f>
        <v>6754.88</v>
      </c>
      <c r="F143" s="66">
        <f>4412+3103.26-760.38</f>
        <v>6754.88</v>
      </c>
      <c r="G143" s="66"/>
      <c r="H143" s="66"/>
      <c r="I143" s="66"/>
      <c r="J143" s="66"/>
      <c r="K143" s="66"/>
      <c r="L143" s="66"/>
      <c r="M143" s="66"/>
      <c r="N143" s="66"/>
      <c r="O143" s="66"/>
      <c r="P143" s="66">
        <f t="shared" si="44"/>
        <v>6754.88</v>
      </c>
      <c r="Q143" s="149"/>
    </row>
    <row r="144" spans="1:17" s="24" customFormat="1" ht="60">
      <c r="A144" s="22"/>
      <c r="B144" s="70">
        <v>1513026</v>
      </c>
      <c r="C144" s="71" t="s">
        <v>417</v>
      </c>
      <c r="D144" s="72" t="s">
        <v>418</v>
      </c>
      <c r="E144" s="66">
        <f>F144+I144</f>
        <v>135028.89</v>
      </c>
      <c r="F144" s="66">
        <f>82655+51683.44+690.45</f>
        <v>135028.89</v>
      </c>
      <c r="G144" s="66"/>
      <c r="H144" s="66"/>
      <c r="I144" s="66"/>
      <c r="J144" s="66"/>
      <c r="K144" s="66"/>
      <c r="L144" s="66"/>
      <c r="M144" s="66"/>
      <c r="N144" s="66"/>
      <c r="O144" s="66"/>
      <c r="P144" s="66">
        <f t="shared" si="44"/>
        <v>135028.89</v>
      </c>
      <c r="Q144" s="149"/>
    </row>
    <row r="145" spans="1:17" s="24" customFormat="1" ht="22.5" customHeight="1">
      <c r="A145" s="22"/>
      <c r="B145" s="70"/>
      <c r="C145" s="71"/>
      <c r="D145" s="72" t="s">
        <v>41</v>
      </c>
      <c r="E145" s="66">
        <f>F145+I145</f>
        <v>135028.89</v>
      </c>
      <c r="F145" s="66">
        <f>82655+51683.44+690.45</f>
        <v>135028.89</v>
      </c>
      <c r="G145" s="66"/>
      <c r="H145" s="66"/>
      <c r="I145" s="66"/>
      <c r="J145" s="66"/>
      <c r="K145" s="66"/>
      <c r="L145" s="66"/>
      <c r="M145" s="66"/>
      <c r="N145" s="66"/>
      <c r="O145" s="66"/>
      <c r="P145" s="66">
        <f t="shared" si="44"/>
        <v>135028.89</v>
      </c>
      <c r="Q145" s="149"/>
    </row>
    <row r="146" spans="1:18" s="40" customFormat="1" ht="210">
      <c r="A146" s="51"/>
      <c r="B146" s="38">
        <v>1513030</v>
      </c>
      <c r="D146" s="26" t="s">
        <v>209</v>
      </c>
      <c r="E146" s="43">
        <f aca="true" t="shared" si="45" ref="E146:P146">E151+E147+E148+E149+E150</f>
        <v>16072568</v>
      </c>
      <c r="F146" s="43">
        <f>F151+F147+F148+F149+F150</f>
        <v>16072568</v>
      </c>
      <c r="G146" s="43">
        <f t="shared" si="45"/>
        <v>0</v>
      </c>
      <c r="H146" s="43">
        <f t="shared" si="45"/>
        <v>0</v>
      </c>
      <c r="I146" s="43">
        <f t="shared" si="45"/>
        <v>0</v>
      </c>
      <c r="J146" s="43">
        <f t="shared" si="45"/>
        <v>0</v>
      </c>
      <c r="K146" s="43">
        <f t="shared" si="45"/>
        <v>0</v>
      </c>
      <c r="L146" s="43">
        <f t="shared" si="45"/>
        <v>0</v>
      </c>
      <c r="M146" s="43">
        <f t="shared" si="45"/>
        <v>0</v>
      </c>
      <c r="N146" s="43">
        <f t="shared" si="45"/>
        <v>0</v>
      </c>
      <c r="O146" s="43">
        <f t="shared" si="45"/>
        <v>0</v>
      </c>
      <c r="P146" s="43">
        <f t="shared" si="45"/>
        <v>16072568</v>
      </c>
      <c r="Q146" s="149"/>
      <c r="R146" s="52"/>
    </row>
    <row r="147" spans="1:17" s="119" customFormat="1" ht="263.25" customHeight="1">
      <c r="A147" s="118"/>
      <c r="B147" s="38">
        <v>1513031</v>
      </c>
      <c r="C147" s="71" t="s">
        <v>468</v>
      </c>
      <c r="D147" s="121" t="s">
        <v>482</v>
      </c>
      <c r="E147" s="60">
        <f>F147+I147</f>
        <v>269119</v>
      </c>
      <c r="F147" s="43">
        <v>269119</v>
      </c>
      <c r="G147" s="43"/>
      <c r="H147" s="43"/>
      <c r="I147" s="43"/>
      <c r="J147" s="43"/>
      <c r="K147" s="43"/>
      <c r="L147" s="43"/>
      <c r="M147" s="43"/>
      <c r="N147" s="43"/>
      <c r="O147" s="43"/>
      <c r="P147" s="60">
        <f>E147+J147</f>
        <v>269119</v>
      </c>
      <c r="Q147" s="149">
        <v>83</v>
      </c>
    </row>
    <row r="148" spans="1:17" s="119" customFormat="1" ht="101.25" customHeight="1">
      <c r="A148" s="118"/>
      <c r="B148" s="38">
        <v>1513033</v>
      </c>
      <c r="C148" s="71" t="s">
        <v>469</v>
      </c>
      <c r="D148" s="121" t="s">
        <v>483</v>
      </c>
      <c r="E148" s="60">
        <f>F148+I148</f>
        <v>70400</v>
      </c>
      <c r="F148" s="43">
        <v>70400</v>
      </c>
      <c r="G148" s="43"/>
      <c r="H148" s="43"/>
      <c r="I148" s="43"/>
      <c r="J148" s="43"/>
      <c r="K148" s="43"/>
      <c r="L148" s="43"/>
      <c r="M148" s="43"/>
      <c r="N148" s="43"/>
      <c r="O148" s="43"/>
      <c r="P148" s="60">
        <f>E148+J148</f>
        <v>70400</v>
      </c>
      <c r="Q148" s="149"/>
    </row>
    <row r="149" spans="1:17" s="119" customFormat="1" ht="40.5" customHeight="1">
      <c r="A149" s="118"/>
      <c r="B149" s="38">
        <v>1513034</v>
      </c>
      <c r="C149" s="71" t="s">
        <v>472</v>
      </c>
      <c r="D149" s="121" t="s">
        <v>473</v>
      </c>
      <c r="E149" s="60">
        <f>F149+I149</f>
        <v>1394632</v>
      </c>
      <c r="F149" s="43">
        <v>1394632</v>
      </c>
      <c r="G149" s="43"/>
      <c r="H149" s="43"/>
      <c r="I149" s="43"/>
      <c r="J149" s="43"/>
      <c r="K149" s="43"/>
      <c r="L149" s="43"/>
      <c r="M149" s="43"/>
      <c r="N149" s="43"/>
      <c r="O149" s="43"/>
      <c r="P149" s="60">
        <f>E149+J149</f>
        <v>1394632</v>
      </c>
      <c r="Q149" s="149"/>
    </row>
    <row r="150" spans="1:17" s="119" customFormat="1" ht="55.5" customHeight="1">
      <c r="A150" s="118"/>
      <c r="B150" s="38">
        <v>1513035</v>
      </c>
      <c r="C150" s="71" t="s">
        <v>474</v>
      </c>
      <c r="D150" s="121" t="s">
        <v>484</v>
      </c>
      <c r="E150" s="60">
        <f>F150+I150</f>
        <v>4650759</v>
      </c>
      <c r="F150" s="43">
        <f>3009742+1000000+641017</f>
        <v>4650759</v>
      </c>
      <c r="G150" s="43"/>
      <c r="H150" s="43"/>
      <c r="I150" s="43"/>
      <c r="J150" s="43"/>
      <c r="K150" s="43"/>
      <c r="L150" s="43"/>
      <c r="M150" s="43"/>
      <c r="N150" s="43"/>
      <c r="O150" s="43"/>
      <c r="P150" s="60">
        <f>E150+J150</f>
        <v>4650759</v>
      </c>
      <c r="Q150" s="149"/>
    </row>
    <row r="151" spans="1:17" s="74" customFormat="1" ht="45">
      <c r="A151" s="73"/>
      <c r="B151" s="70">
        <v>1513038</v>
      </c>
      <c r="C151" s="71" t="s">
        <v>72</v>
      </c>
      <c r="D151" s="72" t="s">
        <v>73</v>
      </c>
      <c r="E151" s="60">
        <f>F151+I151</f>
        <v>9687658</v>
      </c>
      <c r="F151" s="122">
        <f>130000+9557658</f>
        <v>9687658</v>
      </c>
      <c r="G151" s="65"/>
      <c r="H151" s="65"/>
      <c r="I151" s="65"/>
      <c r="J151" s="60">
        <f>K151+N151</f>
        <v>0</v>
      </c>
      <c r="K151" s="65"/>
      <c r="L151" s="65"/>
      <c r="M151" s="65"/>
      <c r="N151" s="65"/>
      <c r="O151" s="65"/>
      <c r="P151" s="60">
        <f>E151+J151</f>
        <v>9687658</v>
      </c>
      <c r="Q151" s="149"/>
    </row>
    <row r="152" spans="1:17" s="74" customFormat="1" ht="60">
      <c r="A152" s="73"/>
      <c r="B152" s="50">
        <v>1513040</v>
      </c>
      <c r="C152" s="88"/>
      <c r="D152" s="45" t="s">
        <v>374</v>
      </c>
      <c r="E152" s="66">
        <f>E154+E156+E158+E160+E162+E164+E166+E168+E170</f>
        <v>252670842</v>
      </c>
      <c r="F152" s="66">
        <f aca="true" t="shared" si="46" ref="F152:P152">F154+F156+F158+F160+F162+F164+F166+F168+F170</f>
        <v>252670842</v>
      </c>
      <c r="G152" s="66">
        <f t="shared" si="46"/>
        <v>0</v>
      </c>
      <c r="H152" s="66">
        <f t="shared" si="46"/>
        <v>0</v>
      </c>
      <c r="I152" s="66">
        <f t="shared" si="46"/>
        <v>0</v>
      </c>
      <c r="J152" s="66">
        <f t="shared" si="46"/>
        <v>0</v>
      </c>
      <c r="K152" s="66">
        <f t="shared" si="46"/>
        <v>0</v>
      </c>
      <c r="L152" s="66">
        <f t="shared" si="46"/>
        <v>0</v>
      </c>
      <c r="M152" s="66">
        <f t="shared" si="46"/>
        <v>0</v>
      </c>
      <c r="N152" s="66">
        <f t="shared" si="46"/>
        <v>0</v>
      </c>
      <c r="O152" s="66">
        <f t="shared" si="46"/>
        <v>0</v>
      </c>
      <c r="P152" s="66">
        <f t="shared" si="46"/>
        <v>252670842</v>
      </c>
      <c r="Q152" s="149"/>
    </row>
    <row r="153" spans="1:17" s="74" customFormat="1" ht="15">
      <c r="A153" s="73"/>
      <c r="B153" s="88"/>
      <c r="C153" s="88"/>
      <c r="D153" s="45" t="s">
        <v>41</v>
      </c>
      <c r="E153" s="66">
        <f>E155+E157+E159+E161+E163+E165+E167+E169+E171</f>
        <v>252670842</v>
      </c>
      <c r="F153" s="66">
        <f aca="true" t="shared" si="47" ref="F153:P153">F155+F157+F159+F161+F163+F165+F167+F169+F171</f>
        <v>252670842</v>
      </c>
      <c r="G153" s="66">
        <f t="shared" si="47"/>
        <v>0</v>
      </c>
      <c r="H153" s="66">
        <f t="shared" si="47"/>
        <v>0</v>
      </c>
      <c r="I153" s="66">
        <f t="shared" si="47"/>
        <v>0</v>
      </c>
      <c r="J153" s="66">
        <f t="shared" si="47"/>
        <v>0</v>
      </c>
      <c r="K153" s="66">
        <f t="shared" si="47"/>
        <v>0</v>
      </c>
      <c r="L153" s="66">
        <f t="shared" si="47"/>
        <v>0</v>
      </c>
      <c r="M153" s="66">
        <f t="shared" si="47"/>
        <v>0</v>
      </c>
      <c r="N153" s="66">
        <f t="shared" si="47"/>
        <v>0</v>
      </c>
      <c r="O153" s="66">
        <f t="shared" si="47"/>
        <v>0</v>
      </c>
      <c r="P153" s="66">
        <f t="shared" si="47"/>
        <v>252670842</v>
      </c>
      <c r="Q153" s="149"/>
    </row>
    <row r="154" spans="1:17" s="74" customFormat="1" ht="30">
      <c r="A154" s="73"/>
      <c r="B154" s="70">
        <v>1513041</v>
      </c>
      <c r="C154" s="71" t="s">
        <v>375</v>
      </c>
      <c r="D154" s="72" t="s">
        <v>376</v>
      </c>
      <c r="E154" s="60">
        <f aca="true" t="shared" si="48" ref="E154:E171">F154+I154</f>
        <v>2832400</v>
      </c>
      <c r="F154" s="60">
        <f>2957400-125000</f>
        <v>2832400</v>
      </c>
      <c r="G154" s="65"/>
      <c r="H154" s="65"/>
      <c r="I154" s="65"/>
      <c r="J154" s="60"/>
      <c r="K154" s="65"/>
      <c r="L154" s="65"/>
      <c r="M154" s="65"/>
      <c r="N154" s="65"/>
      <c r="O154" s="65"/>
      <c r="P154" s="60">
        <f aca="true" t="shared" si="49" ref="P154:P169">E154+J154</f>
        <v>2832400</v>
      </c>
      <c r="Q154" s="149"/>
    </row>
    <row r="155" spans="1:17" s="74" customFormat="1" ht="15">
      <c r="A155" s="73"/>
      <c r="B155" s="70"/>
      <c r="C155" s="71"/>
      <c r="D155" s="72" t="s">
        <v>41</v>
      </c>
      <c r="E155" s="60">
        <f t="shared" si="48"/>
        <v>2832400</v>
      </c>
      <c r="F155" s="60">
        <f>2957400-125000</f>
        <v>2832400</v>
      </c>
      <c r="G155" s="65"/>
      <c r="H155" s="65"/>
      <c r="I155" s="65"/>
      <c r="J155" s="60"/>
      <c r="K155" s="65"/>
      <c r="L155" s="65"/>
      <c r="M155" s="65"/>
      <c r="N155" s="65"/>
      <c r="O155" s="65"/>
      <c r="P155" s="60">
        <f t="shared" si="49"/>
        <v>2832400</v>
      </c>
      <c r="Q155" s="149"/>
    </row>
    <row r="156" spans="1:17" s="74" customFormat="1" ht="30">
      <c r="A156" s="73"/>
      <c r="B156" s="70">
        <v>1513042</v>
      </c>
      <c r="C156" s="71" t="s">
        <v>377</v>
      </c>
      <c r="D156" s="72" t="s">
        <v>378</v>
      </c>
      <c r="E156" s="60">
        <f t="shared" si="48"/>
        <v>2302000</v>
      </c>
      <c r="F156" s="60">
        <f>2340000-38000</f>
        <v>2302000</v>
      </c>
      <c r="G156" s="65"/>
      <c r="H156" s="65"/>
      <c r="I156" s="65"/>
      <c r="J156" s="60"/>
      <c r="K156" s="65"/>
      <c r="L156" s="65"/>
      <c r="M156" s="65"/>
      <c r="N156" s="65"/>
      <c r="O156" s="65"/>
      <c r="P156" s="60">
        <f t="shared" si="49"/>
        <v>2302000</v>
      </c>
      <c r="Q156" s="149"/>
    </row>
    <row r="157" spans="1:17" s="74" customFormat="1" ht="15">
      <c r="A157" s="73"/>
      <c r="B157" s="70"/>
      <c r="C157" s="71"/>
      <c r="D157" s="72" t="s">
        <v>41</v>
      </c>
      <c r="E157" s="60">
        <f t="shared" si="48"/>
        <v>2302000</v>
      </c>
      <c r="F157" s="60">
        <f>2340000-38000</f>
        <v>2302000</v>
      </c>
      <c r="G157" s="65"/>
      <c r="H157" s="65"/>
      <c r="I157" s="65"/>
      <c r="J157" s="60"/>
      <c r="K157" s="65"/>
      <c r="L157" s="65"/>
      <c r="M157" s="65"/>
      <c r="N157" s="65"/>
      <c r="O157" s="65"/>
      <c r="P157" s="60">
        <f t="shared" si="49"/>
        <v>2302000</v>
      </c>
      <c r="Q157" s="149"/>
    </row>
    <row r="158" spans="1:17" s="74" customFormat="1" ht="30">
      <c r="A158" s="73"/>
      <c r="B158" s="70">
        <v>1513043</v>
      </c>
      <c r="C158" s="71" t="s">
        <v>379</v>
      </c>
      <c r="D158" s="72" t="s">
        <v>380</v>
      </c>
      <c r="E158" s="60">
        <f t="shared" si="48"/>
        <v>132914300</v>
      </c>
      <c r="F158" s="60">
        <v>132914300</v>
      </c>
      <c r="G158" s="65"/>
      <c r="H158" s="65"/>
      <c r="I158" s="65"/>
      <c r="J158" s="60"/>
      <c r="K158" s="65"/>
      <c r="L158" s="65"/>
      <c r="M158" s="65"/>
      <c r="N158" s="65"/>
      <c r="O158" s="65"/>
      <c r="P158" s="60">
        <f t="shared" si="49"/>
        <v>132914300</v>
      </c>
      <c r="Q158" s="149"/>
    </row>
    <row r="159" spans="1:17" s="74" customFormat="1" ht="15">
      <c r="A159" s="73"/>
      <c r="B159" s="70"/>
      <c r="C159" s="71"/>
      <c r="D159" s="72" t="s">
        <v>41</v>
      </c>
      <c r="E159" s="60">
        <f t="shared" si="48"/>
        <v>132914300</v>
      </c>
      <c r="F159" s="60">
        <v>132914300</v>
      </c>
      <c r="G159" s="65"/>
      <c r="H159" s="65"/>
      <c r="I159" s="65"/>
      <c r="J159" s="60"/>
      <c r="K159" s="65"/>
      <c r="L159" s="65"/>
      <c r="M159" s="65"/>
      <c r="N159" s="65"/>
      <c r="O159" s="65"/>
      <c r="P159" s="60">
        <f t="shared" si="49"/>
        <v>132914300</v>
      </c>
      <c r="Q159" s="149"/>
    </row>
    <row r="160" spans="1:17" s="74" customFormat="1" ht="30">
      <c r="A160" s="73"/>
      <c r="B160" s="70">
        <v>1513044</v>
      </c>
      <c r="C160" s="71" t="s">
        <v>381</v>
      </c>
      <c r="D160" s="72" t="s">
        <v>382</v>
      </c>
      <c r="E160" s="60">
        <f t="shared" si="48"/>
        <v>5786000</v>
      </c>
      <c r="F160" s="60">
        <f>4769000+965000+52000</f>
        <v>5786000</v>
      </c>
      <c r="G160" s="65"/>
      <c r="H160" s="65"/>
      <c r="I160" s="65"/>
      <c r="J160" s="60"/>
      <c r="K160" s="65"/>
      <c r="L160" s="65"/>
      <c r="M160" s="65"/>
      <c r="N160" s="65"/>
      <c r="O160" s="65"/>
      <c r="P160" s="60">
        <f t="shared" si="49"/>
        <v>5786000</v>
      </c>
      <c r="Q160" s="149"/>
    </row>
    <row r="161" spans="1:17" s="74" customFormat="1" ht="15">
      <c r="A161" s="73"/>
      <c r="B161" s="70"/>
      <c r="C161" s="71"/>
      <c r="D161" s="72" t="s">
        <v>41</v>
      </c>
      <c r="E161" s="60">
        <f t="shared" si="48"/>
        <v>5786000</v>
      </c>
      <c r="F161" s="60">
        <f>4769000+965000+52000</f>
        <v>5786000</v>
      </c>
      <c r="G161" s="65"/>
      <c r="H161" s="65"/>
      <c r="I161" s="65"/>
      <c r="J161" s="60"/>
      <c r="K161" s="65"/>
      <c r="L161" s="65"/>
      <c r="M161" s="65"/>
      <c r="N161" s="65"/>
      <c r="O161" s="65"/>
      <c r="P161" s="60">
        <f t="shared" si="49"/>
        <v>5786000</v>
      </c>
      <c r="Q161" s="149"/>
    </row>
    <row r="162" spans="1:17" s="74" customFormat="1" ht="30">
      <c r="A162" s="73"/>
      <c r="B162" s="70">
        <v>1513045</v>
      </c>
      <c r="C162" s="71" t="s">
        <v>383</v>
      </c>
      <c r="D162" s="72" t="s">
        <v>384</v>
      </c>
      <c r="E162" s="60">
        <f t="shared" si="48"/>
        <v>23567842</v>
      </c>
      <c r="F162" s="60">
        <f>22750500+470000+347342</f>
        <v>23567842</v>
      </c>
      <c r="G162" s="65"/>
      <c r="H162" s="65"/>
      <c r="I162" s="65"/>
      <c r="J162" s="60"/>
      <c r="K162" s="65"/>
      <c r="L162" s="65"/>
      <c r="M162" s="65"/>
      <c r="N162" s="65"/>
      <c r="O162" s="65"/>
      <c r="P162" s="60">
        <f t="shared" si="49"/>
        <v>23567842</v>
      </c>
      <c r="Q162" s="149"/>
    </row>
    <row r="163" spans="1:17" s="74" customFormat="1" ht="15">
      <c r="A163" s="73"/>
      <c r="B163" s="70"/>
      <c r="C163" s="71"/>
      <c r="D163" s="72" t="s">
        <v>41</v>
      </c>
      <c r="E163" s="60">
        <f t="shared" si="48"/>
        <v>23567842</v>
      </c>
      <c r="F163" s="60">
        <f>22750500+470000+347342</f>
        <v>23567842</v>
      </c>
      <c r="G163" s="65"/>
      <c r="H163" s="65"/>
      <c r="I163" s="65"/>
      <c r="J163" s="60"/>
      <c r="K163" s="65"/>
      <c r="L163" s="65"/>
      <c r="M163" s="65"/>
      <c r="N163" s="65"/>
      <c r="O163" s="65"/>
      <c r="P163" s="60">
        <f t="shared" si="49"/>
        <v>23567842</v>
      </c>
      <c r="Q163" s="149"/>
    </row>
    <row r="164" spans="1:17" s="74" customFormat="1" ht="30">
      <c r="A164" s="73"/>
      <c r="B164" s="70">
        <v>1513046</v>
      </c>
      <c r="C164" s="71" t="s">
        <v>385</v>
      </c>
      <c r="D164" s="72" t="s">
        <v>386</v>
      </c>
      <c r="E164" s="60">
        <f t="shared" si="48"/>
        <v>1304200</v>
      </c>
      <c r="F164" s="60">
        <f>2174200-870000</f>
        <v>1304200</v>
      </c>
      <c r="G164" s="65"/>
      <c r="H164" s="65"/>
      <c r="I164" s="65"/>
      <c r="J164" s="60"/>
      <c r="K164" s="65"/>
      <c r="L164" s="65"/>
      <c r="M164" s="65"/>
      <c r="N164" s="65"/>
      <c r="O164" s="65"/>
      <c r="P164" s="60">
        <f t="shared" si="49"/>
        <v>1304200</v>
      </c>
      <c r="Q164" s="149"/>
    </row>
    <row r="165" spans="1:17" s="74" customFormat="1" ht="15">
      <c r="A165" s="73"/>
      <c r="B165" s="70"/>
      <c r="C165" s="71"/>
      <c r="D165" s="72" t="s">
        <v>41</v>
      </c>
      <c r="E165" s="60">
        <f t="shared" si="48"/>
        <v>1304200</v>
      </c>
      <c r="F165" s="60">
        <f>2174200-870000</f>
        <v>1304200</v>
      </c>
      <c r="G165" s="65"/>
      <c r="H165" s="65"/>
      <c r="I165" s="65"/>
      <c r="J165" s="60"/>
      <c r="K165" s="65"/>
      <c r="L165" s="65"/>
      <c r="M165" s="65"/>
      <c r="N165" s="65"/>
      <c r="O165" s="65"/>
      <c r="P165" s="60">
        <f t="shared" si="49"/>
        <v>1304200</v>
      </c>
      <c r="Q165" s="149">
        <v>84</v>
      </c>
    </row>
    <row r="166" spans="1:17" s="74" customFormat="1" ht="30">
      <c r="A166" s="73"/>
      <c r="B166" s="70">
        <v>1513047</v>
      </c>
      <c r="C166" s="71" t="s">
        <v>387</v>
      </c>
      <c r="D166" s="72" t="s">
        <v>388</v>
      </c>
      <c r="E166" s="60">
        <f t="shared" si="48"/>
        <v>276200</v>
      </c>
      <c r="F166" s="60">
        <f>312200-36000</f>
        <v>276200</v>
      </c>
      <c r="G166" s="65"/>
      <c r="H166" s="65"/>
      <c r="I166" s="65"/>
      <c r="J166" s="60"/>
      <c r="K166" s="65"/>
      <c r="L166" s="65"/>
      <c r="M166" s="65"/>
      <c r="N166" s="65"/>
      <c r="O166" s="65"/>
      <c r="P166" s="60">
        <f t="shared" si="49"/>
        <v>276200</v>
      </c>
      <c r="Q166" s="149"/>
    </row>
    <row r="167" spans="1:17" s="74" customFormat="1" ht="15">
      <c r="A167" s="73"/>
      <c r="B167" s="70"/>
      <c r="C167" s="71"/>
      <c r="D167" s="72" t="s">
        <v>41</v>
      </c>
      <c r="E167" s="60">
        <f t="shared" si="48"/>
        <v>276200</v>
      </c>
      <c r="F167" s="60">
        <f>312200-36000</f>
        <v>276200</v>
      </c>
      <c r="G167" s="65"/>
      <c r="H167" s="65"/>
      <c r="I167" s="65"/>
      <c r="J167" s="60"/>
      <c r="K167" s="65"/>
      <c r="L167" s="65"/>
      <c r="M167" s="65"/>
      <c r="N167" s="65"/>
      <c r="O167" s="65"/>
      <c r="P167" s="60">
        <f t="shared" si="49"/>
        <v>276200</v>
      </c>
      <c r="Q167" s="149"/>
    </row>
    <row r="168" spans="1:17" s="74" customFormat="1" ht="30">
      <c r="A168" s="73"/>
      <c r="B168" s="70">
        <v>1513048</v>
      </c>
      <c r="C168" s="71" t="s">
        <v>389</v>
      </c>
      <c r="D168" s="72" t="s">
        <v>390</v>
      </c>
      <c r="E168" s="60">
        <f t="shared" si="48"/>
        <v>41248400</v>
      </c>
      <c r="F168" s="60">
        <f>41101000+147400</f>
        <v>41248400</v>
      </c>
      <c r="G168" s="65"/>
      <c r="H168" s="65"/>
      <c r="I168" s="65"/>
      <c r="J168" s="60"/>
      <c r="K168" s="65"/>
      <c r="L168" s="65"/>
      <c r="M168" s="65"/>
      <c r="N168" s="65"/>
      <c r="O168" s="65"/>
      <c r="P168" s="60">
        <f t="shared" si="49"/>
        <v>41248400</v>
      </c>
      <c r="Q168" s="149"/>
    </row>
    <row r="169" spans="1:17" s="74" customFormat="1" ht="15">
      <c r="A169" s="73"/>
      <c r="B169" s="70"/>
      <c r="C169" s="71"/>
      <c r="D169" s="72" t="s">
        <v>41</v>
      </c>
      <c r="E169" s="60">
        <f t="shared" si="48"/>
        <v>41248400</v>
      </c>
      <c r="F169" s="60">
        <f>41101000+147400</f>
        <v>41248400</v>
      </c>
      <c r="G169" s="65"/>
      <c r="H169" s="65"/>
      <c r="I169" s="65"/>
      <c r="J169" s="60"/>
      <c r="K169" s="65"/>
      <c r="L169" s="65"/>
      <c r="M169" s="65"/>
      <c r="N169" s="65"/>
      <c r="O169" s="65"/>
      <c r="P169" s="60">
        <f t="shared" si="49"/>
        <v>41248400</v>
      </c>
      <c r="Q169" s="149"/>
    </row>
    <row r="170" spans="1:17" s="74" customFormat="1" ht="45">
      <c r="A170" s="73"/>
      <c r="B170" s="70">
        <v>1513049</v>
      </c>
      <c r="C170" s="71" t="s">
        <v>391</v>
      </c>
      <c r="D170" s="72" t="s">
        <v>392</v>
      </c>
      <c r="E170" s="60">
        <f t="shared" si="48"/>
        <v>42439500</v>
      </c>
      <c r="F170" s="60">
        <f>43245500-806000</f>
        <v>42439500</v>
      </c>
      <c r="G170" s="65"/>
      <c r="H170" s="65"/>
      <c r="I170" s="65"/>
      <c r="J170" s="60"/>
      <c r="K170" s="65"/>
      <c r="L170" s="65"/>
      <c r="M170" s="65"/>
      <c r="N170" s="65"/>
      <c r="O170" s="65"/>
      <c r="P170" s="60">
        <f aca="true" t="shared" si="50" ref="P170:P175">E170+J170</f>
        <v>42439500</v>
      </c>
      <c r="Q170" s="149"/>
    </row>
    <row r="171" spans="1:17" s="74" customFormat="1" ht="15">
      <c r="A171" s="73"/>
      <c r="B171" s="70"/>
      <c r="C171" s="71"/>
      <c r="D171" s="72" t="s">
        <v>41</v>
      </c>
      <c r="E171" s="60">
        <f t="shared" si="48"/>
        <v>42439500</v>
      </c>
      <c r="F171" s="60">
        <f>43245500-806000</f>
        <v>42439500</v>
      </c>
      <c r="G171" s="65"/>
      <c r="H171" s="65"/>
      <c r="I171" s="65"/>
      <c r="J171" s="60"/>
      <c r="K171" s="65"/>
      <c r="L171" s="65"/>
      <c r="M171" s="65"/>
      <c r="N171" s="65"/>
      <c r="O171" s="65"/>
      <c r="P171" s="60">
        <f t="shared" si="50"/>
        <v>42439500</v>
      </c>
      <c r="Q171" s="149"/>
    </row>
    <row r="172" spans="1:17" s="24" customFormat="1" ht="45">
      <c r="A172" s="44"/>
      <c r="B172" s="50">
        <v>1513050</v>
      </c>
      <c r="C172" s="41" t="s">
        <v>63</v>
      </c>
      <c r="D172" s="45" t="s">
        <v>210</v>
      </c>
      <c r="E172" s="66">
        <f>F172+I172</f>
        <v>882700</v>
      </c>
      <c r="F172" s="66">
        <f>250000+382700+240900+9100</f>
        <v>882700</v>
      </c>
      <c r="G172" s="66"/>
      <c r="H172" s="66"/>
      <c r="I172" s="66"/>
      <c r="J172" s="66">
        <f>K172+N172</f>
        <v>0</v>
      </c>
      <c r="K172" s="66"/>
      <c r="L172" s="66"/>
      <c r="M172" s="66"/>
      <c r="N172" s="66"/>
      <c r="O172" s="66"/>
      <c r="P172" s="66">
        <f t="shared" si="50"/>
        <v>882700</v>
      </c>
      <c r="Q172" s="149"/>
    </row>
    <row r="173" spans="1:17" s="24" customFormat="1" ht="30">
      <c r="A173" s="22"/>
      <c r="B173" s="38">
        <v>1513080</v>
      </c>
      <c r="C173" s="25" t="s">
        <v>393</v>
      </c>
      <c r="D173" s="26" t="s">
        <v>394</v>
      </c>
      <c r="E173" s="33">
        <f>F173+I173</f>
        <v>7726300</v>
      </c>
      <c r="F173" s="33">
        <f>7229000+440000+57300</f>
        <v>7726300</v>
      </c>
      <c r="G173" s="33"/>
      <c r="H173" s="33"/>
      <c r="I173" s="33"/>
      <c r="J173" s="33"/>
      <c r="K173" s="33"/>
      <c r="L173" s="33"/>
      <c r="M173" s="33"/>
      <c r="N173" s="33"/>
      <c r="O173" s="33"/>
      <c r="P173" s="33">
        <f t="shared" si="50"/>
        <v>7726300</v>
      </c>
      <c r="Q173" s="149"/>
    </row>
    <row r="174" spans="1:17" s="24" customFormat="1" ht="15">
      <c r="A174" s="22"/>
      <c r="B174" s="38"/>
      <c r="C174" s="25"/>
      <c r="D174" s="26" t="s">
        <v>41</v>
      </c>
      <c r="E174" s="33">
        <f>F174+I174</f>
        <v>7726300</v>
      </c>
      <c r="F174" s="33">
        <f>7229000+440000+57300</f>
        <v>7726300</v>
      </c>
      <c r="G174" s="33"/>
      <c r="H174" s="33"/>
      <c r="I174" s="33"/>
      <c r="J174" s="33"/>
      <c r="K174" s="33"/>
      <c r="L174" s="33"/>
      <c r="M174" s="33"/>
      <c r="N174" s="33"/>
      <c r="O174" s="33"/>
      <c r="P174" s="33">
        <f t="shared" si="50"/>
        <v>7726300</v>
      </c>
      <c r="Q174" s="149"/>
    </row>
    <row r="175" spans="1:17" s="24" customFormat="1" ht="30">
      <c r="A175" s="22"/>
      <c r="B175" s="38">
        <v>1513090</v>
      </c>
      <c r="C175" s="25" t="s">
        <v>368</v>
      </c>
      <c r="D175" s="26" t="s">
        <v>369</v>
      </c>
      <c r="E175" s="33">
        <f>F175+I175</f>
        <v>181400</v>
      </c>
      <c r="F175" s="33">
        <v>181400</v>
      </c>
      <c r="G175" s="33"/>
      <c r="H175" s="33"/>
      <c r="I175" s="33"/>
      <c r="J175" s="33">
        <f>K175+N175</f>
        <v>0</v>
      </c>
      <c r="K175" s="33"/>
      <c r="L175" s="33"/>
      <c r="M175" s="33"/>
      <c r="N175" s="33"/>
      <c r="O175" s="33"/>
      <c r="P175" s="33">
        <f t="shared" si="50"/>
        <v>181400</v>
      </c>
      <c r="Q175" s="149"/>
    </row>
    <row r="176" spans="1:17" s="24" customFormat="1" ht="60">
      <c r="A176" s="22"/>
      <c r="B176" s="38">
        <v>1513100</v>
      </c>
      <c r="C176" s="40"/>
      <c r="D176" s="26" t="s">
        <v>211</v>
      </c>
      <c r="E176" s="43">
        <f>E177</f>
        <v>5929555</v>
      </c>
      <c r="F176" s="43">
        <f aca="true" t="shared" si="51" ref="F176:P176">F177</f>
        <v>5929555</v>
      </c>
      <c r="G176" s="43">
        <f t="shared" si="51"/>
        <v>4387170</v>
      </c>
      <c r="H176" s="43">
        <f t="shared" si="51"/>
        <v>156566</v>
      </c>
      <c r="I176" s="43">
        <f t="shared" si="51"/>
        <v>0</v>
      </c>
      <c r="J176" s="43">
        <f t="shared" si="51"/>
        <v>460703</v>
      </c>
      <c r="K176" s="43">
        <f t="shared" si="51"/>
        <v>27800</v>
      </c>
      <c r="L176" s="43">
        <f t="shared" si="51"/>
        <v>18822</v>
      </c>
      <c r="M176" s="43">
        <f t="shared" si="51"/>
        <v>0</v>
      </c>
      <c r="N176" s="43">
        <f t="shared" si="51"/>
        <v>432903</v>
      </c>
      <c r="O176" s="43">
        <f t="shared" si="51"/>
        <v>432903</v>
      </c>
      <c r="P176" s="43">
        <f t="shared" si="51"/>
        <v>6390258</v>
      </c>
      <c r="Q176" s="149"/>
    </row>
    <row r="177" spans="1:17" s="80" customFormat="1" ht="75">
      <c r="A177" s="79"/>
      <c r="B177" s="70">
        <v>1513104</v>
      </c>
      <c r="C177" s="71" t="s">
        <v>66</v>
      </c>
      <c r="D177" s="72" t="s">
        <v>212</v>
      </c>
      <c r="E177" s="60">
        <f>F177+I177</f>
        <v>5929555</v>
      </c>
      <c r="F177" s="122">
        <f>6697900+170500-1363300+11000+380200+13000+6000+2000-2842+3097+8000+4000</f>
        <v>5929555</v>
      </c>
      <c r="G177" s="60">
        <f>4614400+54100-591900+312900-2330</f>
        <v>4387170</v>
      </c>
      <c r="H177" s="60">
        <f>154005+2561</f>
        <v>156566</v>
      </c>
      <c r="I177" s="60"/>
      <c r="J177" s="60">
        <f>K177+N177</f>
        <v>460703</v>
      </c>
      <c r="K177" s="60">
        <v>27800</v>
      </c>
      <c r="L177" s="60">
        <v>18822</v>
      </c>
      <c r="M177" s="60"/>
      <c r="N177" s="60">
        <f>297000+11000+132000-3097-4000</f>
        <v>432903</v>
      </c>
      <c r="O177" s="60">
        <f>297000+11000+132000-3097-4000</f>
        <v>432903</v>
      </c>
      <c r="P177" s="60">
        <f>E177+J177</f>
        <v>6390258</v>
      </c>
      <c r="Q177" s="149"/>
    </row>
    <row r="178" spans="1:17" s="24" customFormat="1" ht="90">
      <c r="A178" s="44"/>
      <c r="B178" s="50">
        <v>1513180</v>
      </c>
      <c r="C178" s="88"/>
      <c r="D178" s="45" t="s">
        <v>213</v>
      </c>
      <c r="E178" s="99">
        <f>E179+E180+E181</f>
        <v>1564275</v>
      </c>
      <c r="F178" s="99">
        <f aca="true" t="shared" si="52" ref="F178:P178">F179+F180+F181</f>
        <v>1564275</v>
      </c>
      <c r="G178" s="99">
        <f t="shared" si="52"/>
        <v>0</v>
      </c>
      <c r="H178" s="99">
        <f t="shared" si="52"/>
        <v>0</v>
      </c>
      <c r="I178" s="99">
        <f t="shared" si="52"/>
        <v>0</v>
      </c>
      <c r="J178" s="99">
        <f t="shared" si="52"/>
        <v>0</v>
      </c>
      <c r="K178" s="99">
        <f t="shared" si="52"/>
        <v>0</v>
      </c>
      <c r="L178" s="99">
        <f t="shared" si="52"/>
        <v>0</v>
      </c>
      <c r="M178" s="99">
        <f t="shared" si="52"/>
        <v>0</v>
      </c>
      <c r="N178" s="99">
        <f t="shared" si="52"/>
        <v>0</v>
      </c>
      <c r="O178" s="99">
        <f t="shared" si="52"/>
        <v>0</v>
      </c>
      <c r="P178" s="99">
        <f t="shared" si="52"/>
        <v>1564275</v>
      </c>
      <c r="Q178" s="149"/>
    </row>
    <row r="179" spans="1:17" s="80" customFormat="1" ht="90">
      <c r="A179" s="79"/>
      <c r="B179" s="70">
        <v>1513181</v>
      </c>
      <c r="C179" s="71" t="s">
        <v>67</v>
      </c>
      <c r="D179" s="72" t="s">
        <v>214</v>
      </c>
      <c r="E179" s="60">
        <f>F179+I179</f>
        <v>1397200</v>
      </c>
      <c r="F179" s="60">
        <v>1397200</v>
      </c>
      <c r="G179" s="60"/>
      <c r="H179" s="60"/>
      <c r="I179" s="60"/>
      <c r="J179" s="60">
        <f>K179+N179</f>
        <v>0</v>
      </c>
      <c r="K179" s="60"/>
      <c r="L179" s="60"/>
      <c r="M179" s="60"/>
      <c r="N179" s="60"/>
      <c r="O179" s="60"/>
      <c r="P179" s="60">
        <f>E179+J179</f>
        <v>1397200</v>
      </c>
      <c r="Q179" s="149"/>
    </row>
    <row r="180" spans="1:17" s="80" customFormat="1" ht="75">
      <c r="A180" s="79"/>
      <c r="B180" s="70">
        <v>1513182</v>
      </c>
      <c r="C180" s="71" t="s">
        <v>370</v>
      </c>
      <c r="D180" s="72" t="s">
        <v>371</v>
      </c>
      <c r="E180" s="60">
        <f>F180+I180</f>
        <v>162275</v>
      </c>
      <c r="F180" s="60">
        <v>162275</v>
      </c>
      <c r="G180" s="60"/>
      <c r="H180" s="60"/>
      <c r="I180" s="60"/>
      <c r="J180" s="60"/>
      <c r="K180" s="60"/>
      <c r="L180" s="60"/>
      <c r="M180" s="60"/>
      <c r="N180" s="60"/>
      <c r="O180" s="60"/>
      <c r="P180" s="60">
        <f>E180+J180</f>
        <v>162275</v>
      </c>
      <c r="Q180" s="149"/>
    </row>
    <row r="181" spans="1:17" s="80" customFormat="1" ht="30">
      <c r="A181" s="79"/>
      <c r="B181" s="70">
        <v>1513183</v>
      </c>
      <c r="C181" s="71" t="s">
        <v>372</v>
      </c>
      <c r="D181" s="72" t="s">
        <v>373</v>
      </c>
      <c r="E181" s="60">
        <f>F181+I181</f>
        <v>4800</v>
      </c>
      <c r="F181" s="60">
        <v>4800</v>
      </c>
      <c r="G181" s="60"/>
      <c r="H181" s="60"/>
      <c r="I181" s="60"/>
      <c r="J181" s="60"/>
      <c r="K181" s="60"/>
      <c r="L181" s="60"/>
      <c r="M181" s="60"/>
      <c r="N181" s="60"/>
      <c r="O181" s="60"/>
      <c r="P181" s="60">
        <f>E181+J181</f>
        <v>4800</v>
      </c>
      <c r="Q181" s="149"/>
    </row>
    <row r="182" spans="1:17" s="24" customFormat="1" ht="90">
      <c r="A182" s="44"/>
      <c r="B182" s="50">
        <v>1513190</v>
      </c>
      <c r="C182" s="41" t="s">
        <v>68</v>
      </c>
      <c r="D182" s="45" t="s">
        <v>215</v>
      </c>
      <c r="E182" s="66">
        <f>F182+I182</f>
        <v>2482439</v>
      </c>
      <c r="F182" s="66">
        <f>2446698+35741</f>
        <v>2482439</v>
      </c>
      <c r="G182" s="66"/>
      <c r="H182" s="66"/>
      <c r="I182" s="66"/>
      <c r="J182" s="66">
        <f>K182+N182</f>
        <v>0</v>
      </c>
      <c r="K182" s="66"/>
      <c r="L182" s="66"/>
      <c r="M182" s="66"/>
      <c r="N182" s="66"/>
      <c r="O182" s="66"/>
      <c r="P182" s="66">
        <f>E182+J182</f>
        <v>2482439</v>
      </c>
      <c r="Q182" s="149"/>
    </row>
    <row r="183" spans="1:17" s="24" customFormat="1" ht="21.75" customHeight="1">
      <c r="A183" s="22"/>
      <c r="B183" s="38">
        <v>1513200</v>
      </c>
      <c r="C183" s="40"/>
      <c r="D183" s="26" t="s">
        <v>216</v>
      </c>
      <c r="E183" s="43">
        <f>E184+E185</f>
        <v>2472059</v>
      </c>
      <c r="F183" s="43">
        <f aca="true" t="shared" si="53" ref="F183:P183">F184+F185</f>
        <v>2472059</v>
      </c>
      <c r="G183" s="43">
        <f t="shared" si="53"/>
        <v>0</v>
      </c>
      <c r="H183" s="43">
        <f t="shared" si="53"/>
        <v>0</v>
      </c>
      <c r="I183" s="43">
        <f t="shared" si="53"/>
        <v>0</v>
      </c>
      <c r="J183" s="43">
        <f t="shared" si="53"/>
        <v>0</v>
      </c>
      <c r="K183" s="43">
        <f t="shared" si="53"/>
        <v>0</v>
      </c>
      <c r="L183" s="43">
        <f t="shared" si="53"/>
        <v>0</v>
      </c>
      <c r="M183" s="43">
        <f t="shared" si="53"/>
        <v>0</v>
      </c>
      <c r="N183" s="43">
        <f t="shared" si="53"/>
        <v>0</v>
      </c>
      <c r="O183" s="43">
        <f t="shared" si="53"/>
        <v>0</v>
      </c>
      <c r="P183" s="43">
        <f t="shared" si="53"/>
        <v>2472059</v>
      </c>
      <c r="Q183" s="149"/>
    </row>
    <row r="184" spans="1:17" s="80" customFormat="1" ht="30">
      <c r="A184" s="79"/>
      <c r="B184" s="70">
        <v>1513201</v>
      </c>
      <c r="C184" s="71" t="s">
        <v>64</v>
      </c>
      <c r="D184" s="72" t="s">
        <v>65</v>
      </c>
      <c r="E184" s="60">
        <f>F184+I184</f>
        <v>1673159</v>
      </c>
      <c r="F184" s="60">
        <f>902586+88819-4601+300000+199600+54755+132000</f>
        <v>1673159</v>
      </c>
      <c r="G184" s="60"/>
      <c r="H184" s="60"/>
      <c r="I184" s="60"/>
      <c r="J184" s="60">
        <f>K184+N184</f>
        <v>0</v>
      </c>
      <c r="K184" s="60"/>
      <c r="L184" s="60"/>
      <c r="M184" s="60"/>
      <c r="N184" s="60"/>
      <c r="O184" s="60"/>
      <c r="P184" s="60">
        <f>E184+J184</f>
        <v>1673159</v>
      </c>
      <c r="Q184" s="149">
        <v>85</v>
      </c>
    </row>
    <row r="185" spans="1:17" s="24" customFormat="1" ht="60">
      <c r="A185" s="44"/>
      <c r="B185" s="49">
        <v>1513202</v>
      </c>
      <c r="C185" s="25" t="s">
        <v>69</v>
      </c>
      <c r="D185" s="72" t="s">
        <v>217</v>
      </c>
      <c r="E185" s="60">
        <f>F185+I185</f>
        <v>798900</v>
      </c>
      <c r="F185" s="60">
        <v>798900</v>
      </c>
      <c r="G185" s="60"/>
      <c r="H185" s="60"/>
      <c r="I185" s="60"/>
      <c r="J185" s="60">
        <f>K185+N185</f>
        <v>0</v>
      </c>
      <c r="K185" s="60"/>
      <c r="L185" s="60"/>
      <c r="M185" s="60"/>
      <c r="N185" s="60"/>
      <c r="O185" s="60"/>
      <c r="P185" s="60">
        <f>E185+J185</f>
        <v>798900</v>
      </c>
      <c r="Q185" s="149"/>
    </row>
    <row r="186" spans="1:17" s="24" customFormat="1" ht="45">
      <c r="A186" s="22"/>
      <c r="B186" s="38">
        <v>1513220</v>
      </c>
      <c r="C186" s="25" t="s">
        <v>358</v>
      </c>
      <c r="D186" s="26" t="s">
        <v>359</v>
      </c>
      <c r="E186" s="33">
        <f>F186+I186</f>
        <v>111717</v>
      </c>
      <c r="F186" s="33">
        <f>54417+57300+30000-30000</f>
        <v>111717</v>
      </c>
      <c r="G186" s="33"/>
      <c r="H186" s="33"/>
      <c r="I186" s="33"/>
      <c r="J186" s="33"/>
      <c r="K186" s="33"/>
      <c r="L186" s="33"/>
      <c r="M186" s="33"/>
      <c r="N186" s="33"/>
      <c r="O186" s="33"/>
      <c r="P186" s="60">
        <f>E186+J186</f>
        <v>111717</v>
      </c>
      <c r="Q186" s="149"/>
    </row>
    <row r="187" spans="1:17" s="24" customFormat="1" ht="30">
      <c r="A187" s="22"/>
      <c r="B187" s="41" t="s">
        <v>488</v>
      </c>
      <c r="C187" s="41" t="s">
        <v>338</v>
      </c>
      <c r="D187" s="45" t="s">
        <v>351</v>
      </c>
      <c r="E187" s="64">
        <f>F187+H187</f>
        <v>374903.07</v>
      </c>
      <c r="F187" s="43">
        <f>160429-16831+231305.07</f>
        <v>374903.07</v>
      </c>
      <c r="G187" s="43">
        <f>117703+189509.86</f>
        <v>307212.86</v>
      </c>
      <c r="H187" s="43"/>
      <c r="I187" s="43"/>
      <c r="J187" s="43">
        <f>K187+N187</f>
        <v>0</v>
      </c>
      <c r="K187" s="43"/>
      <c r="L187" s="43"/>
      <c r="M187" s="43"/>
      <c r="N187" s="43"/>
      <c r="O187" s="43"/>
      <c r="P187" s="43">
        <f>J187+E187</f>
        <v>374903.07</v>
      </c>
      <c r="Q187" s="149"/>
    </row>
    <row r="188" spans="1:17" s="24" customFormat="1" ht="22.5" customHeight="1">
      <c r="A188" s="22"/>
      <c r="B188" s="38">
        <v>1513300</v>
      </c>
      <c r="C188" s="25" t="s">
        <v>70</v>
      </c>
      <c r="D188" s="26" t="s">
        <v>71</v>
      </c>
      <c r="E188" s="33">
        <f>E189+E190</f>
        <v>1481942</v>
      </c>
      <c r="F188" s="33">
        <f aca="true" t="shared" si="54" ref="F188:P188">F189+F190</f>
        <v>1481942</v>
      </c>
      <c r="G188" s="33">
        <f t="shared" si="54"/>
        <v>898400</v>
      </c>
      <c r="H188" s="33">
        <f t="shared" si="54"/>
        <v>129344</v>
      </c>
      <c r="I188" s="33">
        <f t="shared" si="54"/>
        <v>0</v>
      </c>
      <c r="J188" s="33">
        <f t="shared" si="54"/>
        <v>243500</v>
      </c>
      <c r="K188" s="33">
        <f t="shared" si="54"/>
        <v>0</v>
      </c>
      <c r="L188" s="33">
        <f t="shared" si="54"/>
        <v>0</v>
      </c>
      <c r="M188" s="33">
        <f t="shared" si="54"/>
        <v>0</v>
      </c>
      <c r="N188" s="33">
        <f t="shared" si="54"/>
        <v>243500</v>
      </c>
      <c r="O188" s="33">
        <f t="shared" si="54"/>
        <v>243500</v>
      </c>
      <c r="P188" s="33">
        <f t="shared" si="54"/>
        <v>1725442</v>
      </c>
      <c r="Q188" s="149"/>
    </row>
    <row r="189" spans="1:17" s="24" customFormat="1" ht="30">
      <c r="A189" s="22"/>
      <c r="B189" s="71" t="s">
        <v>218</v>
      </c>
      <c r="C189" s="71" t="s">
        <v>70</v>
      </c>
      <c r="D189" s="72" t="s">
        <v>360</v>
      </c>
      <c r="E189" s="33">
        <f>F189+I189</f>
        <v>1284100</v>
      </c>
      <c r="F189" s="66">
        <f>1424500-209500+19000+33000+7000+195000+5000-195000+5100</f>
        <v>1284100</v>
      </c>
      <c r="G189" s="66">
        <f>826600-77400+145000-145000+4200</f>
        <v>753400</v>
      </c>
      <c r="H189" s="66">
        <v>127230</v>
      </c>
      <c r="I189" s="99"/>
      <c r="J189" s="99">
        <f>K189+N189</f>
        <v>200000</v>
      </c>
      <c r="K189" s="99"/>
      <c r="L189" s="99"/>
      <c r="M189" s="99"/>
      <c r="N189" s="66">
        <f>200000+43500-43500</f>
        <v>200000</v>
      </c>
      <c r="O189" s="66">
        <f>200000+43500-43500</f>
        <v>200000</v>
      </c>
      <c r="P189" s="99">
        <f>E189+N189</f>
        <v>1484100</v>
      </c>
      <c r="Q189" s="149"/>
    </row>
    <row r="190" spans="1:17" s="24" customFormat="1" ht="75">
      <c r="A190" s="22"/>
      <c r="B190" s="71" t="s">
        <v>459</v>
      </c>
      <c r="C190" s="71" t="s">
        <v>70</v>
      </c>
      <c r="D190" s="72" t="s">
        <v>490</v>
      </c>
      <c r="E190" s="33">
        <f>F190+I190</f>
        <v>197842</v>
      </c>
      <c r="F190" s="66">
        <f>195000+2842</f>
        <v>197842</v>
      </c>
      <c r="G190" s="66">
        <v>145000</v>
      </c>
      <c r="H190" s="66">
        <v>2114</v>
      </c>
      <c r="I190" s="99"/>
      <c r="J190" s="99">
        <f>K190+N190</f>
        <v>43500</v>
      </c>
      <c r="K190" s="99"/>
      <c r="L190" s="99"/>
      <c r="M190" s="99"/>
      <c r="N190" s="66">
        <v>43500</v>
      </c>
      <c r="O190" s="66">
        <v>43500</v>
      </c>
      <c r="P190" s="99">
        <f>E190+N190</f>
        <v>241342</v>
      </c>
      <c r="Q190" s="149"/>
    </row>
    <row r="191" spans="1:17" s="24" customFormat="1" ht="30">
      <c r="A191" s="22"/>
      <c r="B191" s="25" t="s">
        <v>220</v>
      </c>
      <c r="C191" s="25" t="s">
        <v>13</v>
      </c>
      <c r="D191" s="26" t="s">
        <v>14</v>
      </c>
      <c r="E191" s="33">
        <f>E192+E193</f>
        <v>5752793.96</v>
      </c>
      <c r="F191" s="33">
        <f>F192+F193</f>
        <v>5752793.96</v>
      </c>
      <c r="G191" s="33">
        <f aca="true" t="shared" si="55" ref="G191:P191">G192+G193</f>
        <v>0</v>
      </c>
      <c r="H191" s="33">
        <f t="shared" si="55"/>
        <v>0</v>
      </c>
      <c r="I191" s="33">
        <f t="shared" si="55"/>
        <v>0</v>
      </c>
      <c r="J191" s="33">
        <f t="shared" si="55"/>
        <v>0</v>
      </c>
      <c r="K191" s="33">
        <f t="shared" si="55"/>
        <v>0</v>
      </c>
      <c r="L191" s="33">
        <f t="shared" si="55"/>
        <v>0</v>
      </c>
      <c r="M191" s="33">
        <f t="shared" si="55"/>
        <v>0</v>
      </c>
      <c r="N191" s="33">
        <f t="shared" si="55"/>
        <v>0</v>
      </c>
      <c r="O191" s="33">
        <f t="shared" si="55"/>
        <v>0</v>
      </c>
      <c r="P191" s="33">
        <f t="shared" si="55"/>
        <v>5752793.96</v>
      </c>
      <c r="Q191" s="149"/>
    </row>
    <row r="192" spans="1:17" s="80" customFormat="1" ht="45">
      <c r="A192" s="79"/>
      <c r="B192" s="71" t="s">
        <v>219</v>
      </c>
      <c r="C192" s="71" t="s">
        <v>13</v>
      </c>
      <c r="D192" s="72" t="s">
        <v>353</v>
      </c>
      <c r="E192" s="60">
        <f>F192+I192</f>
        <v>5422493.96</v>
      </c>
      <c r="F192" s="122">
        <f>1730323+45128+130000+224000+90870+18000+360000+108700+51390+68890-4499+59000+531692+44646+32027+8680+27216+19000+30000+121934+5000+426400.96+69840+1209360+14896</f>
        <v>5422493.96</v>
      </c>
      <c r="G192" s="60"/>
      <c r="H192" s="60"/>
      <c r="I192" s="60"/>
      <c r="J192" s="60">
        <f>K192+N192</f>
        <v>0</v>
      </c>
      <c r="K192" s="60"/>
      <c r="L192" s="60"/>
      <c r="M192" s="60"/>
      <c r="N192" s="60"/>
      <c r="O192" s="60"/>
      <c r="P192" s="60">
        <f>E192+J192</f>
        <v>5422493.96</v>
      </c>
      <c r="Q192" s="149"/>
    </row>
    <row r="193" spans="1:17" s="80" customFormat="1" ht="40.5" customHeight="1">
      <c r="A193" s="79"/>
      <c r="B193" s="71" t="s">
        <v>434</v>
      </c>
      <c r="C193" s="71" t="s">
        <v>13</v>
      </c>
      <c r="D193" s="72" t="s">
        <v>433</v>
      </c>
      <c r="E193" s="60">
        <f>F193+I193</f>
        <v>330300</v>
      </c>
      <c r="F193" s="122">
        <v>330300</v>
      </c>
      <c r="G193" s="60"/>
      <c r="H193" s="60"/>
      <c r="I193" s="60"/>
      <c r="J193" s="60"/>
      <c r="K193" s="60"/>
      <c r="L193" s="60"/>
      <c r="M193" s="60"/>
      <c r="N193" s="60"/>
      <c r="O193" s="60"/>
      <c r="P193" s="60">
        <f>E193+J193</f>
        <v>330300</v>
      </c>
      <c r="Q193" s="149"/>
    </row>
    <row r="194" spans="1:17" s="24" customFormat="1" ht="25.5" customHeight="1">
      <c r="A194" s="22"/>
      <c r="B194" s="38">
        <v>1518800</v>
      </c>
      <c r="C194" s="25" t="s">
        <v>89</v>
      </c>
      <c r="D194" s="32" t="s">
        <v>90</v>
      </c>
      <c r="E194" s="33">
        <f aca="true" t="shared" si="56" ref="E194:O194">E195</f>
        <v>2160656</v>
      </c>
      <c r="F194" s="33">
        <f t="shared" si="56"/>
        <v>2160656</v>
      </c>
      <c r="G194" s="33">
        <f t="shared" si="56"/>
        <v>0</v>
      </c>
      <c r="H194" s="33">
        <f t="shared" si="56"/>
        <v>0</v>
      </c>
      <c r="I194" s="33">
        <f t="shared" si="56"/>
        <v>0</v>
      </c>
      <c r="J194" s="33">
        <f t="shared" si="56"/>
        <v>0</v>
      </c>
      <c r="K194" s="33">
        <f t="shared" si="56"/>
        <v>0</v>
      </c>
      <c r="L194" s="33">
        <f t="shared" si="56"/>
        <v>0</v>
      </c>
      <c r="M194" s="33">
        <f t="shared" si="56"/>
        <v>0</v>
      </c>
      <c r="N194" s="33">
        <f t="shared" si="56"/>
        <v>0</v>
      </c>
      <c r="O194" s="33">
        <f t="shared" si="56"/>
        <v>0</v>
      </c>
      <c r="P194" s="43">
        <f>J194+E194</f>
        <v>2160656</v>
      </c>
      <c r="Q194" s="149"/>
    </row>
    <row r="195" spans="1:17" s="24" customFormat="1" ht="69.75" customHeight="1">
      <c r="A195" s="44"/>
      <c r="B195" s="71" t="s">
        <v>475</v>
      </c>
      <c r="C195" s="71" t="s">
        <v>89</v>
      </c>
      <c r="D195" s="101" t="s">
        <v>485</v>
      </c>
      <c r="E195" s="64">
        <f>F195+H195</f>
        <v>2160656</v>
      </c>
      <c r="F195" s="43">
        <v>2160656</v>
      </c>
      <c r="G195" s="43"/>
      <c r="H195" s="43"/>
      <c r="I195" s="43"/>
      <c r="J195" s="43"/>
      <c r="K195" s="43"/>
      <c r="L195" s="43"/>
      <c r="M195" s="43"/>
      <c r="N195" s="43"/>
      <c r="O195" s="43"/>
      <c r="P195" s="120">
        <f>J195+E195</f>
        <v>2160656</v>
      </c>
      <c r="Q195" s="149"/>
    </row>
    <row r="196" spans="1:17" s="24" customFormat="1" ht="28.5">
      <c r="A196" s="22"/>
      <c r="B196" s="25" t="s">
        <v>221</v>
      </c>
      <c r="C196" s="29"/>
      <c r="D196" s="30" t="s">
        <v>223</v>
      </c>
      <c r="E196" s="54">
        <f>E197</f>
        <v>1116736</v>
      </c>
      <c r="F196" s="54">
        <f aca="true" t="shared" si="57" ref="F196:P196">F197</f>
        <v>1116736</v>
      </c>
      <c r="G196" s="54">
        <f t="shared" si="57"/>
        <v>808347</v>
      </c>
      <c r="H196" s="54">
        <f t="shared" si="57"/>
        <v>32719</v>
      </c>
      <c r="I196" s="54">
        <f t="shared" si="57"/>
        <v>0</v>
      </c>
      <c r="J196" s="54">
        <f t="shared" si="57"/>
        <v>0</v>
      </c>
      <c r="K196" s="54">
        <f t="shared" si="57"/>
        <v>0</v>
      </c>
      <c r="L196" s="54">
        <f t="shared" si="57"/>
        <v>0</v>
      </c>
      <c r="M196" s="54">
        <f t="shared" si="57"/>
        <v>0</v>
      </c>
      <c r="N196" s="54">
        <f t="shared" si="57"/>
        <v>0</v>
      </c>
      <c r="O196" s="54">
        <f t="shared" si="57"/>
        <v>0</v>
      </c>
      <c r="P196" s="54">
        <f t="shared" si="57"/>
        <v>1116736</v>
      </c>
      <c r="Q196" s="149"/>
    </row>
    <row r="197" spans="1:17" s="80" customFormat="1" ht="30">
      <c r="A197" s="79"/>
      <c r="B197" s="71" t="s">
        <v>222</v>
      </c>
      <c r="C197" s="47"/>
      <c r="D197" s="48" t="s">
        <v>223</v>
      </c>
      <c r="E197" s="65">
        <f>E198+E199</f>
        <v>1116736</v>
      </c>
      <c r="F197" s="65">
        <f aca="true" t="shared" si="58" ref="F197:P197">F198+F199</f>
        <v>1116736</v>
      </c>
      <c r="G197" s="65">
        <f t="shared" si="58"/>
        <v>808347</v>
      </c>
      <c r="H197" s="65">
        <f t="shared" si="58"/>
        <v>32719</v>
      </c>
      <c r="I197" s="65">
        <f t="shared" si="58"/>
        <v>0</v>
      </c>
      <c r="J197" s="65">
        <f t="shared" si="58"/>
        <v>0</v>
      </c>
      <c r="K197" s="65">
        <f t="shared" si="58"/>
        <v>0</v>
      </c>
      <c r="L197" s="65">
        <f t="shared" si="58"/>
        <v>0</v>
      </c>
      <c r="M197" s="65">
        <f t="shared" si="58"/>
        <v>0</v>
      </c>
      <c r="N197" s="65">
        <f t="shared" si="58"/>
        <v>0</v>
      </c>
      <c r="O197" s="65">
        <f t="shared" si="58"/>
        <v>0</v>
      </c>
      <c r="P197" s="65">
        <f t="shared" si="58"/>
        <v>1116736</v>
      </c>
      <c r="Q197" s="149"/>
    </row>
    <row r="198" spans="1:17" s="24" customFormat="1" ht="45">
      <c r="A198" s="44"/>
      <c r="B198" s="53" t="s">
        <v>224</v>
      </c>
      <c r="C198" s="41" t="s">
        <v>9</v>
      </c>
      <c r="D198" s="45" t="s">
        <v>100</v>
      </c>
      <c r="E198" s="66">
        <f>F198+I198</f>
        <v>1066736</v>
      </c>
      <c r="F198" s="66">
        <f>1121770-144320+40086+18000+31200</f>
        <v>1066736</v>
      </c>
      <c r="G198" s="66">
        <f>782730-32840+32857+25600</f>
        <v>808347</v>
      </c>
      <c r="H198" s="66">
        <v>32719</v>
      </c>
      <c r="I198" s="66"/>
      <c r="J198" s="66">
        <f>K198+N198</f>
        <v>0</v>
      </c>
      <c r="K198" s="66"/>
      <c r="L198" s="66"/>
      <c r="M198" s="66"/>
      <c r="N198" s="66">
        <f>18000-18000</f>
        <v>0</v>
      </c>
      <c r="O198" s="66">
        <f>18000-18000</f>
        <v>0</v>
      </c>
      <c r="P198" s="66">
        <f>E198+J198</f>
        <v>1066736</v>
      </c>
      <c r="Q198" s="149"/>
    </row>
    <row r="199" spans="1:17" s="24" customFormat="1" ht="30">
      <c r="A199" s="22"/>
      <c r="B199" s="34" t="s">
        <v>229</v>
      </c>
      <c r="C199" s="25"/>
      <c r="D199" s="26" t="s">
        <v>228</v>
      </c>
      <c r="E199" s="33">
        <f>E200</f>
        <v>50000</v>
      </c>
      <c r="F199" s="33">
        <f aca="true" t="shared" si="59" ref="F199:P199">F200</f>
        <v>50000</v>
      </c>
      <c r="G199" s="33">
        <f t="shared" si="59"/>
        <v>0</v>
      </c>
      <c r="H199" s="33">
        <f t="shared" si="59"/>
        <v>0</v>
      </c>
      <c r="I199" s="33">
        <f t="shared" si="59"/>
        <v>0</v>
      </c>
      <c r="J199" s="33">
        <f t="shared" si="59"/>
        <v>0</v>
      </c>
      <c r="K199" s="33">
        <f t="shared" si="59"/>
        <v>0</v>
      </c>
      <c r="L199" s="33">
        <f t="shared" si="59"/>
        <v>0</v>
      </c>
      <c r="M199" s="33">
        <f t="shared" si="59"/>
        <v>0</v>
      </c>
      <c r="N199" s="33">
        <f t="shared" si="59"/>
        <v>0</v>
      </c>
      <c r="O199" s="33">
        <f t="shared" si="59"/>
        <v>0</v>
      </c>
      <c r="P199" s="33">
        <f t="shared" si="59"/>
        <v>50000</v>
      </c>
      <c r="Q199" s="149"/>
    </row>
    <row r="200" spans="1:17" s="80" customFormat="1" ht="30">
      <c r="A200" s="79"/>
      <c r="B200" s="85" t="s">
        <v>226</v>
      </c>
      <c r="C200" s="71" t="s">
        <v>74</v>
      </c>
      <c r="D200" s="72" t="s">
        <v>225</v>
      </c>
      <c r="E200" s="60">
        <f>F200+I200</f>
        <v>50000</v>
      </c>
      <c r="F200" s="60">
        <v>50000</v>
      </c>
      <c r="G200" s="65"/>
      <c r="H200" s="65"/>
      <c r="I200" s="65"/>
      <c r="J200" s="60">
        <f>K200+N200</f>
        <v>0</v>
      </c>
      <c r="K200" s="65"/>
      <c r="L200" s="65"/>
      <c r="M200" s="65"/>
      <c r="N200" s="65"/>
      <c r="O200" s="65"/>
      <c r="P200" s="60">
        <f>E200+J200</f>
        <v>50000</v>
      </c>
      <c r="Q200" s="149"/>
    </row>
    <row r="201" spans="1:17" s="24" customFormat="1" ht="28.5">
      <c r="A201" s="44"/>
      <c r="B201" s="53" t="s">
        <v>230</v>
      </c>
      <c r="C201" s="29"/>
      <c r="D201" s="30" t="s">
        <v>227</v>
      </c>
      <c r="E201" s="54">
        <f>E202</f>
        <v>29894298</v>
      </c>
      <c r="F201" s="54">
        <f aca="true" t="shared" si="60" ref="F201:P201">F202</f>
        <v>29894298</v>
      </c>
      <c r="G201" s="54">
        <f t="shared" si="60"/>
        <v>21051734</v>
      </c>
      <c r="H201" s="54">
        <f t="shared" si="60"/>
        <v>1776764</v>
      </c>
      <c r="I201" s="54">
        <f t="shared" si="60"/>
        <v>0</v>
      </c>
      <c r="J201" s="54">
        <f t="shared" si="60"/>
        <v>2489920</v>
      </c>
      <c r="K201" s="54">
        <f t="shared" si="60"/>
        <v>1320320</v>
      </c>
      <c r="L201" s="54">
        <f t="shared" si="60"/>
        <v>953732</v>
      </c>
      <c r="M201" s="54">
        <f t="shared" si="60"/>
        <v>0</v>
      </c>
      <c r="N201" s="54">
        <f t="shared" si="60"/>
        <v>1169600</v>
      </c>
      <c r="O201" s="54">
        <f t="shared" si="60"/>
        <v>1165000</v>
      </c>
      <c r="P201" s="54">
        <f t="shared" si="60"/>
        <v>32384218</v>
      </c>
      <c r="Q201" s="149"/>
    </row>
    <row r="202" spans="1:17" s="80" customFormat="1" ht="30">
      <c r="A202" s="79"/>
      <c r="B202" s="85" t="s">
        <v>231</v>
      </c>
      <c r="C202" s="47"/>
      <c r="D202" s="48" t="s">
        <v>227</v>
      </c>
      <c r="E202" s="65">
        <f aca="true" t="shared" si="61" ref="E202:P202">E203+E204+E205+E206+E207</f>
        <v>29894298</v>
      </c>
      <c r="F202" s="65">
        <f t="shared" si="61"/>
        <v>29894298</v>
      </c>
      <c r="G202" s="65">
        <f t="shared" si="61"/>
        <v>21051734</v>
      </c>
      <c r="H202" s="65">
        <f t="shared" si="61"/>
        <v>1776764</v>
      </c>
      <c r="I202" s="65">
        <f t="shared" si="61"/>
        <v>0</v>
      </c>
      <c r="J202" s="65">
        <f t="shared" si="61"/>
        <v>2489920</v>
      </c>
      <c r="K202" s="65">
        <f t="shared" si="61"/>
        <v>1320320</v>
      </c>
      <c r="L202" s="65">
        <f t="shared" si="61"/>
        <v>953732</v>
      </c>
      <c r="M202" s="65">
        <f t="shared" si="61"/>
        <v>0</v>
      </c>
      <c r="N202" s="65">
        <f t="shared" si="61"/>
        <v>1169600</v>
      </c>
      <c r="O202" s="65">
        <f t="shared" si="61"/>
        <v>1165000</v>
      </c>
      <c r="P202" s="65">
        <f t="shared" si="61"/>
        <v>32384218</v>
      </c>
      <c r="Q202" s="149"/>
    </row>
    <row r="203" spans="1:17" s="24" customFormat="1" ht="45">
      <c r="A203" s="44"/>
      <c r="B203" s="53" t="s">
        <v>232</v>
      </c>
      <c r="C203" s="41" t="s">
        <v>9</v>
      </c>
      <c r="D203" s="45" t="s">
        <v>100</v>
      </c>
      <c r="E203" s="66">
        <f>F203+I203</f>
        <v>501281</v>
      </c>
      <c r="F203" s="66">
        <f>514810-66130+41301+11300</f>
        <v>501281</v>
      </c>
      <c r="G203" s="66">
        <f>324590-16160+33853+9300</f>
        <v>351583</v>
      </c>
      <c r="H203" s="66">
        <v>13469</v>
      </c>
      <c r="I203" s="66"/>
      <c r="J203" s="66">
        <f>K203+N203</f>
        <v>20000</v>
      </c>
      <c r="K203" s="66"/>
      <c r="L203" s="66"/>
      <c r="M203" s="66"/>
      <c r="N203" s="66">
        <v>20000</v>
      </c>
      <c r="O203" s="66">
        <v>20000</v>
      </c>
      <c r="P203" s="66">
        <f>E203+J203</f>
        <v>521281</v>
      </c>
      <c r="Q203" s="149"/>
    </row>
    <row r="204" spans="1:17" s="24" customFormat="1" ht="30">
      <c r="A204" s="22"/>
      <c r="B204" s="34" t="s">
        <v>234</v>
      </c>
      <c r="C204" s="25" t="s">
        <v>75</v>
      </c>
      <c r="D204" s="26" t="s">
        <v>233</v>
      </c>
      <c r="E204" s="33">
        <f>F204+I204</f>
        <v>1145000</v>
      </c>
      <c r="F204" s="55">
        <f>1000000+30000+45000+70000</f>
        <v>1145000</v>
      </c>
      <c r="G204" s="55"/>
      <c r="H204" s="55"/>
      <c r="I204" s="55"/>
      <c r="J204" s="33">
        <f>K204+N204</f>
        <v>0</v>
      </c>
      <c r="K204" s="54"/>
      <c r="L204" s="54"/>
      <c r="M204" s="54"/>
      <c r="N204" s="54"/>
      <c r="O204" s="54"/>
      <c r="P204" s="66">
        <f>E204+J204</f>
        <v>1145000</v>
      </c>
      <c r="Q204" s="149">
        <v>86</v>
      </c>
    </row>
    <row r="205" spans="1:17" s="24" customFormat="1" ht="15">
      <c r="A205" s="22"/>
      <c r="B205" s="34" t="s">
        <v>236</v>
      </c>
      <c r="C205" s="25" t="s">
        <v>76</v>
      </c>
      <c r="D205" s="26" t="s">
        <v>235</v>
      </c>
      <c r="E205" s="33">
        <f>F205+I205</f>
        <v>10519452</v>
      </c>
      <c r="F205" s="55">
        <v>10519452</v>
      </c>
      <c r="G205" s="55">
        <f>7153760-76280+13952</f>
        <v>7091432</v>
      </c>
      <c r="H205" s="55">
        <v>1039633</v>
      </c>
      <c r="I205" s="55"/>
      <c r="J205" s="33">
        <f>K205+N205</f>
        <v>705500</v>
      </c>
      <c r="K205" s="33">
        <v>21000</v>
      </c>
      <c r="L205" s="33">
        <v>5000</v>
      </c>
      <c r="M205" s="54"/>
      <c r="N205" s="87">
        <f>534500+95000+8500+20000+20000+10000-8500+5000</f>
        <v>684500</v>
      </c>
      <c r="O205" s="87">
        <f>534500+95000+8500+20000+20000+10000-8500+5000</f>
        <v>684500</v>
      </c>
      <c r="P205" s="66">
        <f>E205+J205</f>
        <v>11224952</v>
      </c>
      <c r="Q205" s="149"/>
    </row>
    <row r="206" spans="1:17" s="24" customFormat="1" ht="15">
      <c r="A206" s="22"/>
      <c r="B206" s="34" t="s">
        <v>238</v>
      </c>
      <c r="C206" s="25" t="s">
        <v>77</v>
      </c>
      <c r="D206" s="26" t="s">
        <v>237</v>
      </c>
      <c r="E206" s="33">
        <f>F206+I206</f>
        <v>16969240</v>
      </c>
      <c r="F206" s="55">
        <f>18381740-1481664+16000+3000+33000+18000-20000+14164+5000</f>
        <v>16969240</v>
      </c>
      <c r="G206" s="55">
        <f>12769020+299020+11610</f>
        <v>13079650</v>
      </c>
      <c r="H206" s="55">
        <v>702306</v>
      </c>
      <c r="I206" s="55"/>
      <c r="J206" s="33">
        <f>K206+N206</f>
        <v>1741420</v>
      </c>
      <c r="K206" s="33">
        <v>1299320</v>
      </c>
      <c r="L206" s="33">
        <v>948732</v>
      </c>
      <c r="M206" s="33"/>
      <c r="N206" s="55">
        <f>440100-18000+20000</f>
        <v>442100</v>
      </c>
      <c r="O206" s="55">
        <f>435500-18000+20000</f>
        <v>437500</v>
      </c>
      <c r="P206" s="33">
        <f>E206+J206</f>
        <v>18710660</v>
      </c>
      <c r="Q206" s="149"/>
    </row>
    <row r="207" spans="1:17" s="24" customFormat="1" ht="15">
      <c r="A207" s="22"/>
      <c r="B207" s="34" t="s">
        <v>239</v>
      </c>
      <c r="C207" s="25" t="s">
        <v>23</v>
      </c>
      <c r="D207" s="26" t="s">
        <v>116</v>
      </c>
      <c r="E207" s="33">
        <f>E208</f>
        <v>759325</v>
      </c>
      <c r="F207" s="33">
        <f aca="true" t="shared" si="62" ref="F207:P207">F208</f>
        <v>759325</v>
      </c>
      <c r="G207" s="33">
        <f t="shared" si="62"/>
        <v>529069</v>
      </c>
      <c r="H207" s="33">
        <f t="shared" si="62"/>
        <v>21356</v>
      </c>
      <c r="I207" s="33">
        <f t="shared" si="62"/>
        <v>0</v>
      </c>
      <c r="J207" s="33">
        <f t="shared" si="62"/>
        <v>23000</v>
      </c>
      <c r="K207" s="33">
        <f t="shared" si="62"/>
        <v>0</v>
      </c>
      <c r="L207" s="33">
        <f t="shared" si="62"/>
        <v>0</v>
      </c>
      <c r="M207" s="33">
        <f t="shared" si="62"/>
        <v>0</v>
      </c>
      <c r="N207" s="33">
        <f t="shared" si="62"/>
        <v>23000</v>
      </c>
      <c r="O207" s="33">
        <f t="shared" si="62"/>
        <v>23000</v>
      </c>
      <c r="P207" s="33">
        <f t="shared" si="62"/>
        <v>782325</v>
      </c>
      <c r="Q207" s="149"/>
    </row>
    <row r="208" spans="1:17" s="24" customFormat="1" ht="45">
      <c r="A208" s="22"/>
      <c r="B208" s="71" t="s">
        <v>306</v>
      </c>
      <c r="C208" s="71" t="s">
        <v>23</v>
      </c>
      <c r="D208" s="72" t="s">
        <v>240</v>
      </c>
      <c r="E208" s="66">
        <f>F208+I208</f>
        <v>759325</v>
      </c>
      <c r="F208" s="87">
        <f>967780-215588+7000+133</f>
        <v>759325</v>
      </c>
      <c r="G208" s="87">
        <f>631635-102675+109</f>
        <v>529069</v>
      </c>
      <c r="H208" s="87">
        <v>21356</v>
      </c>
      <c r="I208" s="87"/>
      <c r="J208" s="66">
        <f>K208+N208</f>
        <v>23000</v>
      </c>
      <c r="K208" s="54"/>
      <c r="L208" s="54"/>
      <c r="M208" s="54"/>
      <c r="N208" s="87">
        <f>30000-7000</f>
        <v>23000</v>
      </c>
      <c r="O208" s="87">
        <f>30000-7000</f>
        <v>23000</v>
      </c>
      <c r="P208" s="66">
        <f>E208+J208</f>
        <v>782325</v>
      </c>
      <c r="Q208" s="149"/>
    </row>
    <row r="209" spans="1:17" s="24" customFormat="1" ht="28.5">
      <c r="A209" s="22"/>
      <c r="B209" s="34" t="s">
        <v>242</v>
      </c>
      <c r="C209" s="29"/>
      <c r="D209" s="30" t="s">
        <v>241</v>
      </c>
      <c r="E209" s="54">
        <f>E210</f>
        <v>43552996.83</v>
      </c>
      <c r="F209" s="54">
        <f aca="true" t="shared" si="63" ref="F209:P209">F210</f>
        <v>19538526.65</v>
      </c>
      <c r="G209" s="54">
        <f t="shared" si="63"/>
        <v>2769935</v>
      </c>
      <c r="H209" s="54">
        <f t="shared" si="63"/>
        <v>7296375</v>
      </c>
      <c r="I209" s="54">
        <f t="shared" si="63"/>
        <v>24014470.18</v>
      </c>
      <c r="J209" s="54">
        <f t="shared" si="63"/>
        <v>126776852.66</v>
      </c>
      <c r="K209" s="54">
        <f t="shared" si="63"/>
        <v>1191544</v>
      </c>
      <c r="L209" s="54">
        <f t="shared" si="63"/>
        <v>0</v>
      </c>
      <c r="M209" s="54">
        <f t="shared" si="63"/>
        <v>0</v>
      </c>
      <c r="N209" s="54">
        <f t="shared" si="63"/>
        <v>125585308.66</v>
      </c>
      <c r="O209" s="54">
        <f t="shared" si="63"/>
        <v>120691841.34</v>
      </c>
      <c r="P209" s="54">
        <f t="shared" si="63"/>
        <v>170329849.49</v>
      </c>
      <c r="Q209" s="149"/>
    </row>
    <row r="210" spans="1:17" s="80" customFormat="1" ht="30">
      <c r="A210" s="79"/>
      <c r="B210" s="85" t="s">
        <v>243</v>
      </c>
      <c r="C210" s="47"/>
      <c r="D210" s="48" t="s">
        <v>241</v>
      </c>
      <c r="E210" s="65">
        <f>E211+E214+E217+E219+E225+E226+E233+E236+E228+E227+E231+E223+E213+E224+E234+E235+E220+E212+E221+E222</f>
        <v>43552996.83</v>
      </c>
      <c r="F210" s="65">
        <f aca="true" t="shared" si="64" ref="F210:P210">F211+F214+F217+F219+F225+F226+F233+F236+F228+F227+F231+F223+F213+F224+F234+F235+F220+F212+F221+F222</f>
        <v>19538526.65</v>
      </c>
      <c r="G210" s="65">
        <f t="shared" si="64"/>
        <v>2769935</v>
      </c>
      <c r="H210" s="65">
        <f t="shared" si="64"/>
        <v>7296375</v>
      </c>
      <c r="I210" s="65">
        <f t="shared" si="64"/>
        <v>24014470.18</v>
      </c>
      <c r="J210" s="65">
        <f t="shared" si="64"/>
        <v>126776852.66</v>
      </c>
      <c r="K210" s="65">
        <f t="shared" si="64"/>
        <v>1191544</v>
      </c>
      <c r="L210" s="65">
        <f t="shared" si="64"/>
        <v>0</v>
      </c>
      <c r="M210" s="65">
        <f t="shared" si="64"/>
        <v>0</v>
      </c>
      <c r="N210" s="65">
        <f t="shared" si="64"/>
        <v>125585308.66</v>
      </c>
      <c r="O210" s="65">
        <f t="shared" si="64"/>
        <v>120691841.34</v>
      </c>
      <c r="P210" s="65">
        <f t="shared" si="64"/>
        <v>170329849.49</v>
      </c>
      <c r="Q210" s="149"/>
    </row>
    <row r="211" spans="1:17" s="24" customFormat="1" ht="45">
      <c r="A211" s="44"/>
      <c r="B211" s="53" t="s">
        <v>244</v>
      </c>
      <c r="C211" s="41" t="s">
        <v>9</v>
      </c>
      <c r="D211" s="45" t="s">
        <v>100</v>
      </c>
      <c r="E211" s="66">
        <f>F211+I211</f>
        <v>3794889</v>
      </c>
      <c r="F211" s="66">
        <f>3961890-402720+2500+9255+89813+8189-158571+99700+49608+135225</f>
        <v>3794889</v>
      </c>
      <c r="G211" s="66">
        <f>2675410-22930+59940-129976+81700+105791</f>
        <v>2769935</v>
      </c>
      <c r="H211" s="66">
        <v>118075</v>
      </c>
      <c r="I211" s="66"/>
      <c r="J211" s="66">
        <f>K211+N211</f>
        <v>30000</v>
      </c>
      <c r="K211" s="66"/>
      <c r="L211" s="66"/>
      <c r="M211" s="66"/>
      <c r="N211" s="66">
        <f>30000</f>
        <v>30000</v>
      </c>
      <c r="O211" s="66">
        <f>30000</f>
        <v>30000</v>
      </c>
      <c r="P211" s="66">
        <f>E211+J211</f>
        <v>3824889</v>
      </c>
      <c r="Q211" s="149"/>
    </row>
    <row r="212" spans="1:17" s="24" customFormat="1" ht="30">
      <c r="A212" s="22"/>
      <c r="B212" s="25" t="s">
        <v>444</v>
      </c>
      <c r="C212" s="25" t="s">
        <v>338</v>
      </c>
      <c r="D212" s="26" t="s">
        <v>351</v>
      </c>
      <c r="E212" s="33">
        <f>F212+I212</f>
        <v>350000</v>
      </c>
      <c r="F212" s="33">
        <v>350000</v>
      </c>
      <c r="G212" s="33"/>
      <c r="H212" s="33"/>
      <c r="I212" s="33"/>
      <c r="J212" s="33"/>
      <c r="K212" s="33"/>
      <c r="L212" s="33"/>
      <c r="M212" s="33"/>
      <c r="N212" s="33"/>
      <c r="O212" s="33"/>
      <c r="P212" s="33">
        <f>E212+J212</f>
        <v>350000</v>
      </c>
      <c r="Q212" s="149"/>
    </row>
    <row r="213" spans="1:17" s="24" customFormat="1" ht="45">
      <c r="A213" s="22"/>
      <c r="B213" s="34" t="s">
        <v>354</v>
      </c>
      <c r="C213" s="25" t="s">
        <v>355</v>
      </c>
      <c r="D213" s="26" t="s">
        <v>356</v>
      </c>
      <c r="E213" s="33">
        <f>F213+I213</f>
        <v>1680000</v>
      </c>
      <c r="F213" s="33">
        <f>180000+1500000</f>
        <v>1680000</v>
      </c>
      <c r="G213" s="33"/>
      <c r="H213" s="33"/>
      <c r="I213" s="33"/>
      <c r="J213" s="33">
        <f>K213+N213</f>
        <v>0</v>
      </c>
      <c r="K213" s="33"/>
      <c r="L213" s="33"/>
      <c r="M213" s="33"/>
      <c r="N213" s="33"/>
      <c r="O213" s="33"/>
      <c r="P213" s="33">
        <f>E213+J213</f>
        <v>1680000</v>
      </c>
      <c r="Q213" s="149"/>
    </row>
    <row r="214" spans="1:17" s="24" customFormat="1" ht="30">
      <c r="A214" s="22"/>
      <c r="B214" s="34" t="s">
        <v>246</v>
      </c>
      <c r="C214" s="25"/>
      <c r="D214" s="26" t="s">
        <v>245</v>
      </c>
      <c r="E214" s="33">
        <f>E215+E216</f>
        <v>390000</v>
      </c>
      <c r="F214" s="33">
        <f aca="true" t="shared" si="65" ref="F214:P214">F215+F216</f>
        <v>390000</v>
      </c>
      <c r="G214" s="33">
        <f t="shared" si="65"/>
        <v>0</v>
      </c>
      <c r="H214" s="33">
        <f t="shared" si="65"/>
        <v>0</v>
      </c>
      <c r="I214" s="33">
        <f t="shared" si="65"/>
        <v>0</v>
      </c>
      <c r="J214" s="33">
        <f t="shared" si="65"/>
        <v>66315444.14</v>
      </c>
      <c r="K214" s="33">
        <f t="shared" si="65"/>
        <v>0</v>
      </c>
      <c r="L214" s="33">
        <f t="shared" si="65"/>
        <v>0</v>
      </c>
      <c r="M214" s="33">
        <f t="shared" si="65"/>
        <v>0</v>
      </c>
      <c r="N214" s="33">
        <f t="shared" si="65"/>
        <v>66315444.14</v>
      </c>
      <c r="O214" s="33">
        <f t="shared" si="65"/>
        <v>66315444.14</v>
      </c>
      <c r="P214" s="33">
        <f t="shared" si="65"/>
        <v>66705444.14</v>
      </c>
      <c r="Q214" s="149"/>
    </row>
    <row r="215" spans="1:17" s="80" customFormat="1" ht="15">
      <c r="A215" s="79"/>
      <c r="B215" s="85" t="s">
        <v>248</v>
      </c>
      <c r="C215" s="71" t="s">
        <v>78</v>
      </c>
      <c r="D215" s="72" t="s">
        <v>247</v>
      </c>
      <c r="E215" s="60">
        <f>F215+I215</f>
        <v>390000</v>
      </c>
      <c r="F215" s="60">
        <f>195000+195000</f>
        <v>390000</v>
      </c>
      <c r="G215" s="65"/>
      <c r="H215" s="65"/>
      <c r="I215" s="65"/>
      <c r="J215" s="60">
        <f>K215+N215</f>
        <v>59315444.14</v>
      </c>
      <c r="K215" s="65"/>
      <c r="L215" s="65"/>
      <c r="M215" s="65"/>
      <c r="N215" s="122">
        <f>30000000+6285.14-100000+8250000-1000000+11000000+3000000+81197+34241+43208+1500000+1902000+170702+146800+2000000+80000+2000000+201011</f>
        <v>59315444.14</v>
      </c>
      <c r="O215" s="122">
        <f>30000000+6285.14-100000+8250000-1000000+11000000+3000000+81197+34241+43208+1500000+1902000+170702+146800+2000000+80000+2000000+201011</f>
        <v>59315444.14</v>
      </c>
      <c r="P215" s="60">
        <f>E215+J215</f>
        <v>59705444.14</v>
      </c>
      <c r="Q215" s="149"/>
    </row>
    <row r="216" spans="1:17" s="80" customFormat="1" ht="45">
      <c r="A216" s="79"/>
      <c r="B216" s="85" t="s">
        <v>250</v>
      </c>
      <c r="C216" s="71" t="s">
        <v>79</v>
      </c>
      <c r="D216" s="72" t="s">
        <v>249</v>
      </c>
      <c r="E216" s="60">
        <f>F216+I216</f>
        <v>0</v>
      </c>
      <c r="F216" s="65"/>
      <c r="G216" s="65"/>
      <c r="H216" s="65"/>
      <c r="I216" s="65"/>
      <c r="J216" s="60">
        <f>K216+N216</f>
        <v>7000000</v>
      </c>
      <c r="K216" s="60"/>
      <c r="L216" s="60"/>
      <c r="M216" s="60"/>
      <c r="N216" s="60">
        <f>2000000+1000000+3000000+1000000</f>
        <v>7000000</v>
      </c>
      <c r="O216" s="60">
        <f>2000000+1000000+3000000+1000000</f>
        <v>7000000</v>
      </c>
      <c r="P216" s="60">
        <f>E216+J216</f>
        <v>7000000</v>
      </c>
      <c r="Q216" s="149"/>
    </row>
    <row r="217" spans="1:17" s="24" customFormat="1" ht="30">
      <c r="A217" s="44"/>
      <c r="B217" s="53" t="s">
        <v>253</v>
      </c>
      <c r="C217" s="41"/>
      <c r="D217" s="45" t="s">
        <v>252</v>
      </c>
      <c r="E217" s="66">
        <f>E218</f>
        <v>5174103</v>
      </c>
      <c r="F217" s="66">
        <f aca="true" t="shared" si="66" ref="F217:P217">F218</f>
        <v>0</v>
      </c>
      <c r="G217" s="66">
        <f t="shared" si="66"/>
        <v>0</v>
      </c>
      <c r="H217" s="66">
        <f t="shared" si="66"/>
        <v>0</v>
      </c>
      <c r="I217" s="66">
        <f t="shared" si="66"/>
        <v>5174103</v>
      </c>
      <c r="J217" s="66">
        <f t="shared" si="66"/>
        <v>4269334</v>
      </c>
      <c r="K217" s="66">
        <f t="shared" si="66"/>
        <v>0</v>
      </c>
      <c r="L217" s="66">
        <f t="shared" si="66"/>
        <v>0</v>
      </c>
      <c r="M217" s="66">
        <f t="shared" si="66"/>
        <v>0</v>
      </c>
      <c r="N217" s="66">
        <f t="shared" si="66"/>
        <v>4269334</v>
      </c>
      <c r="O217" s="66">
        <f t="shared" si="66"/>
        <v>4269334</v>
      </c>
      <c r="P217" s="66">
        <f t="shared" si="66"/>
        <v>9443437</v>
      </c>
      <c r="Q217" s="149"/>
    </row>
    <row r="218" spans="1:17" s="80" customFormat="1" ht="45">
      <c r="A218" s="79"/>
      <c r="B218" s="85" t="s">
        <v>254</v>
      </c>
      <c r="C218" s="71" t="s">
        <v>80</v>
      </c>
      <c r="D218" s="72" t="s">
        <v>251</v>
      </c>
      <c r="E218" s="60">
        <f aca="true" t="shared" si="67" ref="E218:E233">F218+I218</f>
        <v>5174103</v>
      </c>
      <c r="F218" s="60"/>
      <c r="G218" s="65"/>
      <c r="H218" s="65"/>
      <c r="I218" s="60">
        <f>1825100+120003+350000+150000+2729000</f>
        <v>5174103</v>
      </c>
      <c r="J218" s="60">
        <f aca="true" t="shared" si="68" ref="J218:J226">K218+N218</f>
        <v>4269334</v>
      </c>
      <c r="K218" s="65"/>
      <c r="L218" s="65"/>
      <c r="M218" s="65"/>
      <c r="N218" s="60">
        <f>1499312+1630100+300790+664532+174600</f>
        <v>4269334</v>
      </c>
      <c r="O218" s="60">
        <f>1499312+1630100+300790+664532+174600</f>
        <v>4269334</v>
      </c>
      <c r="P218" s="60">
        <f aca="true" t="shared" si="69" ref="P218:P227">E218+J218</f>
        <v>9443437</v>
      </c>
      <c r="Q218" s="149"/>
    </row>
    <row r="219" spans="1:17" s="24" customFormat="1" ht="21.75" customHeight="1">
      <c r="A219" s="44"/>
      <c r="B219" s="53" t="s">
        <v>255</v>
      </c>
      <c r="C219" s="41" t="s">
        <v>21</v>
      </c>
      <c r="D219" s="45" t="s">
        <v>137</v>
      </c>
      <c r="E219" s="66">
        <f t="shared" si="67"/>
        <v>26589549.83</v>
      </c>
      <c r="F219" s="66">
        <f>9272300+200000-224000+3000000-9255-365036-1747.2-663250-130000-392229-483368.8+200000-282375+26000-11719-184201.18-419848-121017+20000+30000-141277-6200-125209.4+17600-354993.77-5697-154854-5000-49608-193340-6000+48700-70500+2500</f>
        <v>8416374.65</v>
      </c>
      <c r="G219" s="66"/>
      <c r="H219" s="66">
        <f>4106300+3000000</f>
        <v>7106300</v>
      </c>
      <c r="I219" s="33">
        <f>15895612+1700000-350000+130000+128000+250000+184201.18-30000+49955+200000+15407</f>
        <v>18173175.18</v>
      </c>
      <c r="J219" s="66">
        <f t="shared" si="68"/>
        <v>20227216.2</v>
      </c>
      <c r="K219" s="66"/>
      <c r="L219" s="66"/>
      <c r="M219" s="66"/>
      <c r="N219" s="144">
        <f>16250000+6500000-731714+1747.2-461123-287161-248820+25000-234505+11719-245322-20000+121017-55500+6200+200000-238002+5697-146800-49000-115000+755000-317234-206011-231972-20000-41000</f>
        <v>20227216.2</v>
      </c>
      <c r="O219" s="144">
        <f>16250000+6500000-731714+1747.2-461123-287161-248820+25000-234505+11719-245322-20000+121017-55500+6200+200000-238002+5697-146800-49000-115000+755000-317234-206011-231972-20000-41000</f>
        <v>20227216.2</v>
      </c>
      <c r="P219" s="66">
        <f t="shared" si="69"/>
        <v>46816766.03</v>
      </c>
      <c r="Q219" s="149"/>
    </row>
    <row r="220" spans="1:17" s="24" customFormat="1" ht="45">
      <c r="A220" s="22"/>
      <c r="B220" s="34" t="s">
        <v>430</v>
      </c>
      <c r="C220" s="25" t="s">
        <v>431</v>
      </c>
      <c r="D220" s="26" t="s">
        <v>432</v>
      </c>
      <c r="E220" s="66">
        <f t="shared" si="67"/>
        <v>0</v>
      </c>
      <c r="F220" s="33"/>
      <c r="G220" s="33"/>
      <c r="H220" s="33"/>
      <c r="I220" s="33"/>
      <c r="J220" s="33">
        <f t="shared" si="68"/>
        <v>845938</v>
      </c>
      <c r="K220" s="33"/>
      <c r="L220" s="33"/>
      <c r="M220" s="33"/>
      <c r="N220" s="33">
        <v>845938</v>
      </c>
      <c r="O220" s="33">
        <v>845938</v>
      </c>
      <c r="P220" s="33">
        <f t="shared" si="69"/>
        <v>845938</v>
      </c>
      <c r="Q220" s="149"/>
    </row>
    <row r="221" spans="1:17" s="24" customFormat="1" ht="75">
      <c r="A221" s="22"/>
      <c r="B221" s="34" t="s">
        <v>451</v>
      </c>
      <c r="C221" s="111" t="s">
        <v>452</v>
      </c>
      <c r="D221" s="112" t="s">
        <v>453</v>
      </c>
      <c r="E221" s="66">
        <f t="shared" si="67"/>
        <v>100000</v>
      </c>
      <c r="F221" s="33"/>
      <c r="G221" s="33"/>
      <c r="H221" s="33"/>
      <c r="I221" s="33">
        <v>100000</v>
      </c>
      <c r="J221" s="33">
        <f t="shared" si="68"/>
        <v>0</v>
      </c>
      <c r="K221" s="33"/>
      <c r="L221" s="33"/>
      <c r="M221" s="33"/>
      <c r="N221" s="33"/>
      <c r="O221" s="33"/>
      <c r="P221" s="33">
        <f t="shared" si="69"/>
        <v>100000</v>
      </c>
      <c r="Q221" s="149"/>
    </row>
    <row r="222" spans="1:17" s="24" customFormat="1" ht="30">
      <c r="A222" s="22"/>
      <c r="B222" s="34" t="s">
        <v>489</v>
      </c>
      <c r="C222" s="111" t="s">
        <v>85</v>
      </c>
      <c r="D222" s="112" t="s">
        <v>271</v>
      </c>
      <c r="E222" s="66">
        <f t="shared" si="67"/>
        <v>0</v>
      </c>
      <c r="F222" s="33"/>
      <c r="G222" s="33"/>
      <c r="H222" s="33"/>
      <c r="I222" s="33"/>
      <c r="J222" s="33">
        <f t="shared" si="68"/>
        <v>2014000</v>
      </c>
      <c r="K222" s="33"/>
      <c r="L222" s="33"/>
      <c r="M222" s="33"/>
      <c r="N222" s="33">
        <f>500000+1473000+41000</f>
        <v>2014000</v>
      </c>
      <c r="O222" s="33">
        <f>500000+1473000+41000</f>
        <v>2014000</v>
      </c>
      <c r="P222" s="33">
        <f t="shared" si="69"/>
        <v>2014000</v>
      </c>
      <c r="Q222" s="149"/>
    </row>
    <row r="223" spans="1:17" s="80" customFormat="1" ht="30">
      <c r="A223" s="79"/>
      <c r="B223" s="53" t="s">
        <v>341</v>
      </c>
      <c r="C223" s="41" t="s">
        <v>317</v>
      </c>
      <c r="D223" s="45" t="s">
        <v>318</v>
      </c>
      <c r="E223" s="64">
        <f>F223+I223</f>
        <v>499370</v>
      </c>
      <c r="F223" s="64"/>
      <c r="G223" s="64"/>
      <c r="H223" s="64"/>
      <c r="I223" s="64">
        <f>465000+34370</f>
        <v>499370</v>
      </c>
      <c r="J223" s="64"/>
      <c r="K223" s="64"/>
      <c r="L223" s="64"/>
      <c r="M223" s="64"/>
      <c r="N223" s="64"/>
      <c r="O223" s="64"/>
      <c r="P223" s="33">
        <f t="shared" si="69"/>
        <v>499370</v>
      </c>
      <c r="Q223" s="149"/>
    </row>
    <row r="224" spans="1:17" s="80" customFormat="1" ht="24.75" customHeight="1">
      <c r="A224" s="79"/>
      <c r="B224" s="53" t="s">
        <v>357</v>
      </c>
      <c r="C224" s="41" t="s">
        <v>81</v>
      </c>
      <c r="D224" s="45" t="s">
        <v>256</v>
      </c>
      <c r="E224" s="66">
        <f t="shared" si="67"/>
        <v>1717822</v>
      </c>
      <c r="F224" s="66">
        <f>180000+1500000</f>
        <v>1680000</v>
      </c>
      <c r="G224" s="64"/>
      <c r="H224" s="64"/>
      <c r="I224" s="33">
        <f>10851+26971</f>
        <v>37822</v>
      </c>
      <c r="J224" s="64"/>
      <c r="K224" s="64"/>
      <c r="L224" s="64"/>
      <c r="M224" s="64"/>
      <c r="N224" s="64"/>
      <c r="O224" s="64"/>
      <c r="P224" s="33">
        <f t="shared" si="69"/>
        <v>1717822</v>
      </c>
      <c r="Q224" s="149"/>
    </row>
    <row r="225" spans="1:17" s="24" customFormat="1" ht="24.75" customHeight="1">
      <c r="A225" s="44"/>
      <c r="B225" s="53" t="s">
        <v>258</v>
      </c>
      <c r="C225" s="41" t="s">
        <v>82</v>
      </c>
      <c r="D225" s="45" t="s">
        <v>257</v>
      </c>
      <c r="E225" s="66">
        <f t="shared" si="67"/>
        <v>1030000</v>
      </c>
      <c r="F225" s="66">
        <f>530000+500000-30000</f>
        <v>1000000</v>
      </c>
      <c r="G225" s="54"/>
      <c r="H225" s="54"/>
      <c r="I225" s="33">
        <v>30000</v>
      </c>
      <c r="J225" s="66">
        <f t="shared" si="68"/>
        <v>0</v>
      </c>
      <c r="K225" s="54"/>
      <c r="L225" s="54"/>
      <c r="M225" s="54"/>
      <c r="N225" s="54"/>
      <c r="O225" s="54"/>
      <c r="P225" s="66">
        <f t="shared" si="69"/>
        <v>1030000</v>
      </c>
      <c r="Q225" s="149"/>
    </row>
    <row r="226" spans="1:17" s="24" customFormat="1" ht="24.75" customHeight="1">
      <c r="A226" s="22"/>
      <c r="B226" s="34" t="s">
        <v>259</v>
      </c>
      <c r="C226" s="25" t="s">
        <v>34</v>
      </c>
      <c r="D226" s="26" t="s">
        <v>142</v>
      </c>
      <c r="E226" s="33">
        <f t="shared" si="67"/>
        <v>0</v>
      </c>
      <c r="F226" s="54"/>
      <c r="G226" s="54"/>
      <c r="H226" s="54"/>
      <c r="I226" s="54"/>
      <c r="J226" s="66">
        <f t="shared" si="68"/>
        <v>26239409</v>
      </c>
      <c r="K226" s="54"/>
      <c r="L226" s="54"/>
      <c r="M226" s="54"/>
      <c r="N226" s="66">
        <f>12363400+2550000+4260750+319200+14159+292000+4969900+1470000</f>
        <v>26239409</v>
      </c>
      <c r="O226" s="66">
        <f>12363400+2550000+4260750+319200+14159+292000+4969900+1470000</f>
        <v>26239409</v>
      </c>
      <c r="P226" s="66">
        <f t="shared" si="69"/>
        <v>26239409</v>
      </c>
      <c r="Q226" s="149"/>
    </row>
    <row r="227" spans="1:17" s="24" customFormat="1" ht="24.75" customHeight="1">
      <c r="A227" s="22"/>
      <c r="B227" s="100" t="s">
        <v>319</v>
      </c>
      <c r="C227" s="25" t="s">
        <v>320</v>
      </c>
      <c r="D227" s="26" t="s">
        <v>55</v>
      </c>
      <c r="E227" s="33">
        <f t="shared" si="67"/>
        <v>158800</v>
      </c>
      <c r="F227" s="33">
        <f>410000-251200</f>
        <v>158800</v>
      </c>
      <c r="G227" s="33"/>
      <c r="H227" s="33"/>
      <c r="I227" s="33"/>
      <c r="J227" s="33"/>
      <c r="K227" s="33"/>
      <c r="L227" s="33"/>
      <c r="M227" s="33"/>
      <c r="N227" s="33"/>
      <c r="O227" s="33"/>
      <c r="P227" s="33">
        <f t="shared" si="69"/>
        <v>158800</v>
      </c>
      <c r="Q227" s="149"/>
    </row>
    <row r="228" spans="1:17" s="24" customFormat="1" ht="24.75" customHeight="1">
      <c r="A228" s="22"/>
      <c r="B228" s="31" t="s">
        <v>263</v>
      </c>
      <c r="C228" s="25" t="s">
        <v>42</v>
      </c>
      <c r="D228" s="26" t="s">
        <v>19</v>
      </c>
      <c r="E228" s="33">
        <f>E229+E230</f>
        <v>1838963</v>
      </c>
      <c r="F228" s="33">
        <f aca="true" t="shared" si="70" ref="F228:P228">F229+F230</f>
        <v>1838963</v>
      </c>
      <c r="G228" s="33">
        <f t="shared" si="70"/>
        <v>0</v>
      </c>
      <c r="H228" s="33">
        <f t="shared" si="70"/>
        <v>72000</v>
      </c>
      <c r="I228" s="33">
        <f t="shared" si="70"/>
        <v>0</v>
      </c>
      <c r="J228" s="33">
        <f t="shared" si="70"/>
        <v>0</v>
      </c>
      <c r="K228" s="33">
        <f t="shared" si="70"/>
        <v>0</v>
      </c>
      <c r="L228" s="33">
        <f t="shared" si="70"/>
        <v>0</v>
      </c>
      <c r="M228" s="33">
        <f t="shared" si="70"/>
        <v>0</v>
      </c>
      <c r="N228" s="33">
        <f t="shared" si="70"/>
        <v>0</v>
      </c>
      <c r="O228" s="33">
        <f t="shared" si="70"/>
        <v>0</v>
      </c>
      <c r="P228" s="33">
        <f t="shared" si="70"/>
        <v>1838963</v>
      </c>
      <c r="Q228" s="149"/>
    </row>
    <row r="229" spans="1:17" s="24" customFormat="1" ht="87" customHeight="1">
      <c r="A229" s="22"/>
      <c r="B229" s="71" t="s">
        <v>264</v>
      </c>
      <c r="C229" s="71" t="s">
        <v>42</v>
      </c>
      <c r="D229" s="101" t="s">
        <v>340</v>
      </c>
      <c r="E229" s="60">
        <f>F229+I229</f>
        <v>258120</v>
      </c>
      <c r="F229" s="60">
        <v>258120</v>
      </c>
      <c r="G229" s="65"/>
      <c r="H229" s="65"/>
      <c r="I229" s="65"/>
      <c r="J229" s="60"/>
      <c r="K229" s="65"/>
      <c r="L229" s="65"/>
      <c r="M229" s="65"/>
      <c r="N229" s="65"/>
      <c r="O229" s="65"/>
      <c r="P229" s="33">
        <f>E229+J229</f>
        <v>258120</v>
      </c>
      <c r="Q229" s="149">
        <v>87</v>
      </c>
    </row>
    <row r="230" spans="1:17" s="24" customFormat="1" ht="60">
      <c r="A230" s="22"/>
      <c r="B230" s="71" t="s">
        <v>265</v>
      </c>
      <c r="C230" s="71" t="s">
        <v>42</v>
      </c>
      <c r="D230" s="81" t="s">
        <v>339</v>
      </c>
      <c r="E230" s="60">
        <f>F230+I230</f>
        <v>1580843</v>
      </c>
      <c r="F230" s="60">
        <f>1429000+1920+67223+82700</f>
        <v>1580843</v>
      </c>
      <c r="G230" s="65"/>
      <c r="H230" s="33">
        <v>72000</v>
      </c>
      <c r="I230" s="65"/>
      <c r="J230" s="60"/>
      <c r="K230" s="65"/>
      <c r="L230" s="65"/>
      <c r="M230" s="65"/>
      <c r="N230" s="65"/>
      <c r="O230" s="65"/>
      <c r="P230" s="33">
        <f>E230+J230</f>
        <v>1580843</v>
      </c>
      <c r="Q230" s="149"/>
    </row>
    <row r="231" spans="1:17" s="24" customFormat="1" ht="15">
      <c r="A231" s="22"/>
      <c r="B231" s="38">
        <v>4118800</v>
      </c>
      <c r="C231" s="25" t="s">
        <v>89</v>
      </c>
      <c r="D231" s="32" t="s">
        <v>90</v>
      </c>
      <c r="E231" s="33">
        <f>E232</f>
        <v>229500</v>
      </c>
      <c r="F231" s="33">
        <f aca="true" t="shared" si="71" ref="F231:P231">F232</f>
        <v>229500</v>
      </c>
      <c r="G231" s="33">
        <f t="shared" si="71"/>
        <v>0</v>
      </c>
      <c r="H231" s="33">
        <f t="shared" si="71"/>
        <v>0</v>
      </c>
      <c r="I231" s="33">
        <f t="shared" si="71"/>
        <v>0</v>
      </c>
      <c r="J231" s="33">
        <f t="shared" si="71"/>
        <v>750500</v>
      </c>
      <c r="K231" s="33">
        <f t="shared" si="71"/>
        <v>0</v>
      </c>
      <c r="L231" s="33">
        <f t="shared" si="71"/>
        <v>0</v>
      </c>
      <c r="M231" s="33">
        <f t="shared" si="71"/>
        <v>0</v>
      </c>
      <c r="N231" s="33">
        <f t="shared" si="71"/>
        <v>750500</v>
      </c>
      <c r="O231" s="33">
        <f t="shared" si="71"/>
        <v>750500</v>
      </c>
      <c r="P231" s="33">
        <f t="shared" si="71"/>
        <v>980000</v>
      </c>
      <c r="Q231" s="149"/>
    </row>
    <row r="232" spans="1:17" s="24" customFormat="1" ht="114.75" customHeight="1">
      <c r="A232" s="22"/>
      <c r="B232" s="71" t="s">
        <v>321</v>
      </c>
      <c r="C232" s="71" t="s">
        <v>89</v>
      </c>
      <c r="D232" s="101" t="s">
        <v>302</v>
      </c>
      <c r="E232" s="120">
        <f>F232+I232</f>
        <v>229500</v>
      </c>
      <c r="F232" s="66">
        <v>229500</v>
      </c>
      <c r="G232" s="54"/>
      <c r="H232" s="54"/>
      <c r="I232" s="54"/>
      <c r="J232" s="66">
        <f>K232+N232</f>
        <v>750500</v>
      </c>
      <c r="K232" s="54"/>
      <c r="L232" s="54"/>
      <c r="M232" s="54"/>
      <c r="N232" s="66">
        <v>750500</v>
      </c>
      <c r="O232" s="66">
        <v>750500</v>
      </c>
      <c r="P232" s="66">
        <f>E232+J232</f>
        <v>980000</v>
      </c>
      <c r="Q232" s="149"/>
    </row>
    <row r="233" spans="1:17" s="24" customFormat="1" ht="30">
      <c r="A233" s="22"/>
      <c r="B233" s="34" t="s">
        <v>260</v>
      </c>
      <c r="C233" s="25" t="s">
        <v>83</v>
      </c>
      <c r="D233" s="26" t="s">
        <v>84</v>
      </c>
      <c r="E233" s="33">
        <f t="shared" si="67"/>
        <v>0</v>
      </c>
      <c r="F233" s="33">
        <f>220000-220000</f>
        <v>0</v>
      </c>
      <c r="G233" s="33"/>
      <c r="H233" s="33"/>
      <c r="I233" s="33"/>
      <c r="J233" s="33">
        <f>K233+N233</f>
        <v>5346082</v>
      </c>
      <c r="K233" s="33">
        <f>350000+120000+145344</f>
        <v>615344</v>
      </c>
      <c r="L233" s="33"/>
      <c r="M233" s="33"/>
      <c r="N233" s="33">
        <f>54000+1184200+3492538</f>
        <v>4730738</v>
      </c>
      <c r="O233" s="33">
        <f>868800-868800</f>
        <v>0</v>
      </c>
      <c r="P233" s="33">
        <f>E233+J233</f>
        <v>5346082</v>
      </c>
      <c r="Q233" s="149"/>
    </row>
    <row r="234" spans="1:17" s="24" customFormat="1" ht="20.25" customHeight="1">
      <c r="A234" s="22"/>
      <c r="B234" s="34" t="s">
        <v>419</v>
      </c>
      <c r="C234" s="25" t="s">
        <v>420</v>
      </c>
      <c r="D234" s="26" t="s">
        <v>421</v>
      </c>
      <c r="E234" s="33"/>
      <c r="F234" s="33"/>
      <c r="G234" s="33"/>
      <c r="H234" s="33"/>
      <c r="I234" s="33"/>
      <c r="J234" s="33">
        <f>K234+N234</f>
        <v>250000</v>
      </c>
      <c r="K234" s="33">
        <v>250000</v>
      </c>
      <c r="L234" s="33"/>
      <c r="M234" s="33"/>
      <c r="N234" s="33"/>
      <c r="O234" s="33"/>
      <c r="P234" s="33">
        <f>E234+J234</f>
        <v>250000</v>
      </c>
      <c r="Q234" s="149"/>
    </row>
    <row r="235" spans="1:17" s="24" customFormat="1" ht="20.25" customHeight="1">
      <c r="A235" s="22"/>
      <c r="B235" s="34" t="s">
        <v>424</v>
      </c>
      <c r="C235" s="25" t="s">
        <v>425</v>
      </c>
      <c r="D235" s="26" t="s">
        <v>55</v>
      </c>
      <c r="E235" s="33"/>
      <c r="F235" s="33"/>
      <c r="G235" s="33"/>
      <c r="H235" s="33"/>
      <c r="I235" s="33"/>
      <c r="J235" s="33">
        <f>K235+N235</f>
        <v>251200</v>
      </c>
      <c r="K235" s="33">
        <v>251200</v>
      </c>
      <c r="L235" s="33"/>
      <c r="M235" s="33"/>
      <c r="N235" s="33"/>
      <c r="O235" s="33"/>
      <c r="P235" s="33">
        <f>E235+J235</f>
        <v>251200</v>
      </c>
      <c r="Q235" s="149"/>
    </row>
    <row r="236" spans="1:17" s="24" customFormat="1" ht="60">
      <c r="A236" s="22"/>
      <c r="B236" s="34" t="s">
        <v>261</v>
      </c>
      <c r="C236" s="25" t="s">
        <v>39</v>
      </c>
      <c r="D236" s="26" t="s">
        <v>40</v>
      </c>
      <c r="E236" s="33">
        <f>E237</f>
        <v>0</v>
      </c>
      <c r="F236" s="33">
        <f aca="true" t="shared" si="72" ref="F236:P236">F237</f>
        <v>0</v>
      </c>
      <c r="G236" s="33">
        <f t="shared" si="72"/>
        <v>0</v>
      </c>
      <c r="H236" s="33">
        <f t="shared" si="72"/>
        <v>0</v>
      </c>
      <c r="I236" s="33">
        <f t="shared" si="72"/>
        <v>0</v>
      </c>
      <c r="J236" s="33">
        <f t="shared" si="72"/>
        <v>237729.32</v>
      </c>
      <c r="K236" s="33">
        <f t="shared" si="72"/>
        <v>75000</v>
      </c>
      <c r="L236" s="33">
        <f t="shared" si="72"/>
        <v>0</v>
      </c>
      <c r="M236" s="33">
        <f t="shared" si="72"/>
        <v>0</v>
      </c>
      <c r="N236" s="33">
        <f t="shared" si="72"/>
        <v>162729.32</v>
      </c>
      <c r="O236" s="33">
        <f t="shared" si="72"/>
        <v>0</v>
      </c>
      <c r="P236" s="33">
        <f t="shared" si="72"/>
        <v>237729.32</v>
      </c>
      <c r="Q236" s="149"/>
    </row>
    <row r="237" spans="1:17" s="24" customFormat="1" ht="60">
      <c r="A237" s="22"/>
      <c r="B237" s="78" t="s">
        <v>262</v>
      </c>
      <c r="C237" s="71" t="s">
        <v>39</v>
      </c>
      <c r="D237" s="72" t="s">
        <v>40</v>
      </c>
      <c r="E237" s="66">
        <f>F237+I237</f>
        <v>0</v>
      </c>
      <c r="F237" s="66"/>
      <c r="G237" s="66"/>
      <c r="H237" s="66"/>
      <c r="I237" s="66"/>
      <c r="J237" s="66">
        <f>K237+N237</f>
        <v>237729.32</v>
      </c>
      <c r="K237" s="66">
        <f>75000</f>
        <v>75000</v>
      </c>
      <c r="L237" s="66"/>
      <c r="M237" s="66"/>
      <c r="N237" s="66">
        <v>162729.32</v>
      </c>
      <c r="O237" s="54"/>
      <c r="P237" s="66">
        <f>E237+J237</f>
        <v>237729.32</v>
      </c>
      <c r="Q237" s="149"/>
    </row>
    <row r="238" spans="1:17" s="24" customFormat="1" ht="28.5">
      <c r="A238" s="22"/>
      <c r="B238" s="34" t="s">
        <v>270</v>
      </c>
      <c r="C238" s="29"/>
      <c r="D238" s="30" t="s">
        <v>267</v>
      </c>
      <c r="E238" s="54">
        <f>E239</f>
        <v>1116779.27</v>
      </c>
      <c r="F238" s="54">
        <f aca="true" t="shared" si="73" ref="F238:P238">F239</f>
        <v>1116779.27</v>
      </c>
      <c r="G238" s="54">
        <f t="shared" si="73"/>
        <v>668264</v>
      </c>
      <c r="H238" s="54">
        <f t="shared" si="73"/>
        <v>86525</v>
      </c>
      <c r="I238" s="54">
        <f t="shared" si="73"/>
        <v>0</v>
      </c>
      <c r="J238" s="54">
        <f t="shared" si="73"/>
        <v>0</v>
      </c>
      <c r="K238" s="54">
        <f t="shared" si="73"/>
        <v>0</v>
      </c>
      <c r="L238" s="54">
        <f t="shared" si="73"/>
        <v>0</v>
      </c>
      <c r="M238" s="54">
        <f t="shared" si="73"/>
        <v>0</v>
      </c>
      <c r="N238" s="54">
        <f t="shared" si="73"/>
        <v>0</v>
      </c>
      <c r="O238" s="54">
        <f t="shared" si="73"/>
        <v>0</v>
      </c>
      <c r="P238" s="54">
        <f t="shared" si="73"/>
        <v>1116779.27</v>
      </c>
      <c r="Q238" s="149"/>
    </row>
    <row r="239" spans="1:17" s="80" customFormat="1" ht="30">
      <c r="A239" s="79"/>
      <c r="B239" s="85" t="s">
        <v>269</v>
      </c>
      <c r="C239" s="47"/>
      <c r="D239" s="48" t="s">
        <v>267</v>
      </c>
      <c r="E239" s="65">
        <f>E240+E241+E242</f>
        <v>1116779.27</v>
      </c>
      <c r="F239" s="65">
        <f aca="true" t="shared" si="74" ref="F239:P239">F240+F241+F242</f>
        <v>1116779.27</v>
      </c>
      <c r="G239" s="65">
        <f t="shared" si="74"/>
        <v>668264</v>
      </c>
      <c r="H239" s="65">
        <f t="shared" si="74"/>
        <v>86525</v>
      </c>
      <c r="I239" s="65">
        <f t="shared" si="74"/>
        <v>0</v>
      </c>
      <c r="J239" s="65">
        <f t="shared" si="74"/>
        <v>0</v>
      </c>
      <c r="K239" s="65">
        <f t="shared" si="74"/>
        <v>0</v>
      </c>
      <c r="L239" s="65">
        <f t="shared" si="74"/>
        <v>0</v>
      </c>
      <c r="M239" s="65">
        <f t="shared" si="74"/>
        <v>0</v>
      </c>
      <c r="N239" s="65">
        <f t="shared" si="74"/>
        <v>0</v>
      </c>
      <c r="O239" s="65">
        <f t="shared" si="74"/>
        <v>0</v>
      </c>
      <c r="P239" s="65">
        <f t="shared" si="74"/>
        <v>1116779.27</v>
      </c>
      <c r="Q239" s="149"/>
    </row>
    <row r="240" spans="1:17" s="24" customFormat="1" ht="45">
      <c r="A240" s="44"/>
      <c r="B240" s="53" t="s">
        <v>268</v>
      </c>
      <c r="C240" s="41" t="s">
        <v>9</v>
      </c>
      <c r="D240" s="45" t="s">
        <v>100</v>
      </c>
      <c r="E240" s="66">
        <f>F240+I240</f>
        <v>994690</v>
      </c>
      <c r="F240" s="66">
        <f>2737690-357480-1385520</f>
        <v>994690</v>
      </c>
      <c r="G240" s="66">
        <f>1763030-86370-1008396</f>
        <v>668264</v>
      </c>
      <c r="H240" s="66">
        <f>154189-67664</f>
        <v>86525</v>
      </c>
      <c r="I240" s="66"/>
      <c r="J240" s="66">
        <f>K240+N240</f>
        <v>0</v>
      </c>
      <c r="K240" s="66"/>
      <c r="L240" s="66"/>
      <c r="M240" s="66"/>
      <c r="N240" s="66">
        <f>20000-20000</f>
        <v>0</v>
      </c>
      <c r="O240" s="66">
        <f>20000-20000</f>
        <v>0</v>
      </c>
      <c r="P240" s="66">
        <f>E240+J240</f>
        <v>994690</v>
      </c>
      <c r="Q240" s="149"/>
    </row>
    <row r="241" spans="1:17" s="24" customFormat="1" ht="27" customHeight="1">
      <c r="A241" s="22"/>
      <c r="B241" s="34" t="s">
        <v>272</v>
      </c>
      <c r="C241" s="25" t="s">
        <v>81</v>
      </c>
      <c r="D241" s="26" t="s">
        <v>256</v>
      </c>
      <c r="E241" s="33">
        <f>F241+I241</f>
        <v>9300</v>
      </c>
      <c r="F241" s="33">
        <f>10500-1200</f>
        <v>9300</v>
      </c>
      <c r="G241" s="54"/>
      <c r="H241" s="54"/>
      <c r="I241" s="54"/>
      <c r="J241" s="66">
        <f>K241+N241</f>
        <v>0</v>
      </c>
      <c r="K241" s="54"/>
      <c r="L241" s="54"/>
      <c r="M241" s="54"/>
      <c r="N241" s="54"/>
      <c r="O241" s="54"/>
      <c r="P241" s="66">
        <f>E241+J241</f>
        <v>9300</v>
      </c>
      <c r="Q241" s="149"/>
    </row>
    <row r="242" spans="1:17" s="24" customFormat="1" ht="27" customHeight="1">
      <c r="A242" s="22"/>
      <c r="B242" s="31" t="s">
        <v>273</v>
      </c>
      <c r="C242" s="25" t="s">
        <v>42</v>
      </c>
      <c r="D242" s="26" t="s">
        <v>19</v>
      </c>
      <c r="E242" s="43">
        <f>E243</f>
        <v>112789.26999999999</v>
      </c>
      <c r="F242" s="43">
        <f aca="true" t="shared" si="75" ref="F242:P242">F243</f>
        <v>112789.26999999999</v>
      </c>
      <c r="G242" s="43">
        <f t="shared" si="75"/>
        <v>0</v>
      </c>
      <c r="H242" s="43">
        <f t="shared" si="75"/>
        <v>0</v>
      </c>
      <c r="I242" s="43">
        <f t="shared" si="75"/>
        <v>0</v>
      </c>
      <c r="J242" s="43">
        <f t="shared" si="75"/>
        <v>0</v>
      </c>
      <c r="K242" s="43">
        <f t="shared" si="75"/>
        <v>0</v>
      </c>
      <c r="L242" s="43">
        <f t="shared" si="75"/>
        <v>0</v>
      </c>
      <c r="M242" s="43">
        <f t="shared" si="75"/>
        <v>0</v>
      </c>
      <c r="N242" s="54"/>
      <c r="O242" s="43">
        <f t="shared" si="75"/>
        <v>0</v>
      </c>
      <c r="P242" s="43">
        <f t="shared" si="75"/>
        <v>112789.26999999999</v>
      </c>
      <c r="Q242" s="149"/>
    </row>
    <row r="243" spans="1:17" s="24" customFormat="1" ht="90">
      <c r="A243" s="22"/>
      <c r="B243" s="71" t="s">
        <v>274</v>
      </c>
      <c r="C243" s="71" t="s">
        <v>42</v>
      </c>
      <c r="D243" s="72" t="s">
        <v>480</v>
      </c>
      <c r="E243" s="66">
        <f>F243+I243</f>
        <v>112789.26999999999</v>
      </c>
      <c r="F243" s="66">
        <f>360000-247210.73</f>
        <v>112789.26999999999</v>
      </c>
      <c r="G243" s="66"/>
      <c r="H243" s="66"/>
      <c r="I243" s="54"/>
      <c r="J243" s="66">
        <f>K243+N243</f>
        <v>0</v>
      </c>
      <c r="K243" s="54"/>
      <c r="L243" s="54"/>
      <c r="M243" s="54"/>
      <c r="N243" s="54"/>
      <c r="O243" s="54"/>
      <c r="P243" s="66">
        <f>E243+J243</f>
        <v>112789.26999999999</v>
      </c>
      <c r="Q243" s="149"/>
    </row>
    <row r="244" spans="1:17" s="24" customFormat="1" ht="28.5">
      <c r="A244" s="22"/>
      <c r="B244" s="34" t="s">
        <v>270</v>
      </c>
      <c r="C244" s="29"/>
      <c r="D244" s="30" t="s">
        <v>461</v>
      </c>
      <c r="E244" s="54">
        <f>E245</f>
        <v>2591768.95</v>
      </c>
      <c r="F244" s="54">
        <f aca="true" t="shared" si="76" ref="F244:P244">F245</f>
        <v>2591768.95</v>
      </c>
      <c r="G244" s="54">
        <f t="shared" si="76"/>
        <v>1714298.93</v>
      </c>
      <c r="H244" s="54">
        <f t="shared" si="76"/>
        <v>109253</v>
      </c>
      <c r="I244" s="54">
        <f t="shared" si="76"/>
        <v>0</v>
      </c>
      <c r="J244" s="54">
        <f t="shared" si="76"/>
        <v>481000</v>
      </c>
      <c r="K244" s="54">
        <f t="shared" si="76"/>
        <v>0</v>
      </c>
      <c r="L244" s="54">
        <f t="shared" si="76"/>
        <v>0</v>
      </c>
      <c r="M244" s="54">
        <f t="shared" si="76"/>
        <v>0</v>
      </c>
      <c r="N244" s="54">
        <f t="shared" si="76"/>
        <v>481000</v>
      </c>
      <c r="O244" s="54">
        <f t="shared" si="76"/>
        <v>481000</v>
      </c>
      <c r="P244" s="54">
        <f t="shared" si="76"/>
        <v>3072768.95</v>
      </c>
      <c r="Q244" s="149"/>
    </row>
    <row r="245" spans="1:17" s="24" customFormat="1" ht="30">
      <c r="A245" s="22"/>
      <c r="B245" s="85" t="s">
        <v>269</v>
      </c>
      <c r="C245" s="47"/>
      <c r="D245" s="72" t="s">
        <v>461</v>
      </c>
      <c r="E245" s="65">
        <f>E246+E248+E247</f>
        <v>2591768.95</v>
      </c>
      <c r="F245" s="65">
        <f aca="true" t="shared" si="77" ref="F245:P245">F246+F248+F247</f>
        <v>2591768.95</v>
      </c>
      <c r="G245" s="65">
        <f t="shared" si="77"/>
        <v>1714298.93</v>
      </c>
      <c r="H245" s="65">
        <f t="shared" si="77"/>
        <v>109253</v>
      </c>
      <c r="I245" s="65">
        <f t="shared" si="77"/>
        <v>0</v>
      </c>
      <c r="J245" s="65">
        <f t="shared" si="77"/>
        <v>481000</v>
      </c>
      <c r="K245" s="65">
        <f t="shared" si="77"/>
        <v>0</v>
      </c>
      <c r="L245" s="65">
        <f t="shared" si="77"/>
        <v>0</v>
      </c>
      <c r="M245" s="65">
        <f t="shared" si="77"/>
        <v>0</v>
      </c>
      <c r="N245" s="65">
        <f t="shared" si="77"/>
        <v>481000</v>
      </c>
      <c r="O245" s="65">
        <f t="shared" si="77"/>
        <v>481000</v>
      </c>
      <c r="P245" s="65">
        <f t="shared" si="77"/>
        <v>3072768.95</v>
      </c>
      <c r="Q245" s="149"/>
    </row>
    <row r="246" spans="1:17" s="24" customFormat="1" ht="15">
      <c r="A246" s="22"/>
      <c r="B246" s="53" t="s">
        <v>268</v>
      </c>
      <c r="C246" s="25" t="s">
        <v>9</v>
      </c>
      <c r="D246" s="26" t="s">
        <v>462</v>
      </c>
      <c r="E246" s="66">
        <f>F246+I246</f>
        <v>2343358.22</v>
      </c>
      <c r="F246" s="66">
        <f>2416448+21930-95019.78</f>
        <v>2343358.22</v>
      </c>
      <c r="G246" s="66">
        <f>1792184-77885.07</f>
        <v>1714298.93</v>
      </c>
      <c r="H246" s="66">
        <v>109253</v>
      </c>
      <c r="I246" s="66"/>
      <c r="J246" s="66">
        <f>K246+N246</f>
        <v>340000</v>
      </c>
      <c r="K246" s="66"/>
      <c r="L246" s="66"/>
      <c r="M246" s="66"/>
      <c r="N246" s="66">
        <f>240000+100000</f>
        <v>340000</v>
      </c>
      <c r="O246" s="66">
        <f>240000+100000</f>
        <v>340000</v>
      </c>
      <c r="P246" s="66">
        <f>E246+J246</f>
        <v>2683358.22</v>
      </c>
      <c r="Q246" s="149"/>
    </row>
    <row r="247" spans="1:17" s="24" customFormat="1" ht="15">
      <c r="A247" s="22"/>
      <c r="B247" s="34" t="s">
        <v>272</v>
      </c>
      <c r="C247" s="25" t="s">
        <v>81</v>
      </c>
      <c r="D247" s="26" t="s">
        <v>463</v>
      </c>
      <c r="E247" s="66">
        <f>F247+I247</f>
        <v>1200</v>
      </c>
      <c r="F247" s="66">
        <v>1200</v>
      </c>
      <c r="G247" s="66"/>
      <c r="H247" s="66"/>
      <c r="I247" s="54"/>
      <c r="J247" s="66">
        <f>K247+N247</f>
        <v>141000</v>
      </c>
      <c r="K247" s="54"/>
      <c r="L247" s="54"/>
      <c r="M247" s="54"/>
      <c r="N247" s="33">
        <v>141000</v>
      </c>
      <c r="O247" s="33">
        <v>141000</v>
      </c>
      <c r="P247" s="66">
        <f>E247+J247</f>
        <v>142200</v>
      </c>
      <c r="Q247" s="149"/>
    </row>
    <row r="248" spans="1:17" s="24" customFormat="1" ht="15">
      <c r="A248" s="22"/>
      <c r="B248" s="31" t="s">
        <v>273</v>
      </c>
      <c r="C248" s="25" t="s">
        <v>42</v>
      </c>
      <c r="D248" s="26" t="s">
        <v>19</v>
      </c>
      <c r="E248" s="66">
        <f>E249</f>
        <v>247210.73</v>
      </c>
      <c r="F248" s="66">
        <f aca="true" t="shared" si="78" ref="F248:P248">F249</f>
        <v>247210.73</v>
      </c>
      <c r="G248" s="66">
        <f t="shared" si="78"/>
        <v>0</v>
      </c>
      <c r="H248" s="66">
        <f t="shared" si="78"/>
        <v>0</v>
      </c>
      <c r="I248" s="66">
        <f t="shared" si="78"/>
        <v>0</v>
      </c>
      <c r="J248" s="66">
        <f t="shared" si="78"/>
        <v>0</v>
      </c>
      <c r="K248" s="66">
        <f t="shared" si="78"/>
        <v>0</v>
      </c>
      <c r="L248" s="66">
        <f t="shared" si="78"/>
        <v>0</v>
      </c>
      <c r="M248" s="66">
        <f t="shared" si="78"/>
        <v>0</v>
      </c>
      <c r="N248" s="66">
        <f t="shared" si="78"/>
        <v>0</v>
      </c>
      <c r="O248" s="66">
        <f t="shared" si="78"/>
        <v>0</v>
      </c>
      <c r="P248" s="66">
        <f t="shared" si="78"/>
        <v>247210.73</v>
      </c>
      <c r="Q248" s="149">
        <v>88</v>
      </c>
    </row>
    <row r="249" spans="1:17" s="80" customFormat="1" ht="90">
      <c r="A249" s="79"/>
      <c r="B249" s="71" t="s">
        <v>274</v>
      </c>
      <c r="C249" s="71" t="s">
        <v>42</v>
      </c>
      <c r="D249" s="72" t="s">
        <v>480</v>
      </c>
      <c r="E249" s="60">
        <f>F249+I249</f>
        <v>247210.73</v>
      </c>
      <c r="F249" s="60">
        <v>247210.73</v>
      </c>
      <c r="G249" s="60"/>
      <c r="H249" s="60"/>
      <c r="I249" s="65"/>
      <c r="J249" s="60"/>
      <c r="K249" s="65"/>
      <c r="L249" s="65"/>
      <c r="M249" s="65"/>
      <c r="N249" s="65"/>
      <c r="O249" s="65"/>
      <c r="P249" s="60">
        <f>E249+J249</f>
        <v>247210.73</v>
      </c>
      <c r="Q249" s="149"/>
    </row>
    <row r="250" spans="1:17" s="80" customFormat="1" ht="42.75">
      <c r="A250" s="79"/>
      <c r="B250" s="50">
        <v>4600000</v>
      </c>
      <c r="C250" s="29"/>
      <c r="D250" s="30" t="s">
        <v>494</v>
      </c>
      <c r="E250" s="54">
        <f>E251</f>
        <v>779230</v>
      </c>
      <c r="F250" s="54">
        <f aca="true" t="shared" si="79" ref="F250:P251">F251</f>
        <v>779230</v>
      </c>
      <c r="G250" s="54">
        <f t="shared" si="79"/>
        <v>486832</v>
      </c>
      <c r="H250" s="54">
        <f t="shared" si="79"/>
        <v>34232</v>
      </c>
      <c r="I250" s="54">
        <f t="shared" si="79"/>
        <v>0</v>
      </c>
      <c r="J250" s="54">
        <f t="shared" si="79"/>
        <v>182700</v>
      </c>
      <c r="K250" s="54">
        <f t="shared" si="79"/>
        <v>0</v>
      </c>
      <c r="L250" s="54">
        <f t="shared" si="79"/>
        <v>0</v>
      </c>
      <c r="M250" s="54">
        <f t="shared" si="79"/>
        <v>0</v>
      </c>
      <c r="N250" s="54">
        <f t="shared" si="79"/>
        <v>182700</v>
      </c>
      <c r="O250" s="54">
        <f t="shared" si="79"/>
        <v>182700</v>
      </c>
      <c r="P250" s="54">
        <f t="shared" si="79"/>
        <v>961930</v>
      </c>
      <c r="Q250" s="149"/>
    </row>
    <row r="251" spans="1:17" s="80" customFormat="1" ht="45">
      <c r="A251" s="79"/>
      <c r="B251" s="70">
        <v>4610000</v>
      </c>
      <c r="C251" s="47"/>
      <c r="D251" s="72" t="s">
        <v>361</v>
      </c>
      <c r="E251" s="60">
        <f>E252</f>
        <v>779230</v>
      </c>
      <c r="F251" s="60">
        <f t="shared" si="79"/>
        <v>779230</v>
      </c>
      <c r="G251" s="60">
        <f t="shared" si="79"/>
        <v>486832</v>
      </c>
      <c r="H251" s="60">
        <f t="shared" si="79"/>
        <v>34232</v>
      </c>
      <c r="I251" s="60">
        <f t="shared" si="79"/>
        <v>0</v>
      </c>
      <c r="J251" s="60">
        <f t="shared" si="79"/>
        <v>182700</v>
      </c>
      <c r="K251" s="60">
        <f t="shared" si="79"/>
        <v>0</v>
      </c>
      <c r="L251" s="60">
        <f t="shared" si="79"/>
        <v>0</v>
      </c>
      <c r="M251" s="60">
        <f t="shared" si="79"/>
        <v>0</v>
      </c>
      <c r="N251" s="60">
        <f t="shared" si="79"/>
        <v>182700</v>
      </c>
      <c r="O251" s="60">
        <f t="shared" si="79"/>
        <v>182700</v>
      </c>
      <c r="P251" s="60">
        <f>J251+E251</f>
        <v>961930</v>
      </c>
      <c r="Q251" s="149"/>
    </row>
    <row r="252" spans="1:17" s="80" customFormat="1" ht="45">
      <c r="A252" s="79"/>
      <c r="B252" s="53" t="s">
        <v>486</v>
      </c>
      <c r="C252" s="41" t="s">
        <v>9</v>
      </c>
      <c r="D252" s="45" t="s">
        <v>100</v>
      </c>
      <c r="E252" s="60">
        <f>F252+I252</f>
        <v>779230</v>
      </c>
      <c r="F252" s="60">
        <f>710680-62060+66138+38872+25600</f>
        <v>779230</v>
      </c>
      <c r="G252" s="60">
        <f>433970+31862+21000</f>
        <v>486832</v>
      </c>
      <c r="H252" s="60">
        <v>34232</v>
      </c>
      <c r="I252" s="60"/>
      <c r="J252" s="60">
        <f>K252+N252</f>
        <v>182700</v>
      </c>
      <c r="K252" s="60"/>
      <c r="L252" s="60"/>
      <c r="M252" s="60"/>
      <c r="N252" s="60">
        <f>134100+48600</f>
        <v>182700</v>
      </c>
      <c r="O252" s="60">
        <f>134100+48600</f>
        <v>182700</v>
      </c>
      <c r="P252" s="60">
        <f>J252+E252</f>
        <v>961930</v>
      </c>
      <c r="Q252" s="149"/>
    </row>
    <row r="253" spans="1:17" s="24" customFormat="1" ht="42.75">
      <c r="A253" s="22"/>
      <c r="B253" s="34" t="s">
        <v>276</v>
      </c>
      <c r="C253" s="29"/>
      <c r="D253" s="30" t="s">
        <v>275</v>
      </c>
      <c r="E253" s="54">
        <f>E254</f>
        <v>60807926</v>
      </c>
      <c r="F253" s="54">
        <f aca="true" t="shared" si="80" ref="F253:P253">F254</f>
        <v>60607926</v>
      </c>
      <c r="G253" s="54">
        <f t="shared" si="80"/>
        <v>0</v>
      </c>
      <c r="H253" s="54">
        <f t="shared" si="80"/>
        <v>0</v>
      </c>
      <c r="I253" s="54">
        <f t="shared" si="80"/>
        <v>200000</v>
      </c>
      <c r="J253" s="54">
        <f t="shared" si="80"/>
        <v>238965512.47</v>
      </c>
      <c r="K253" s="54">
        <f t="shared" si="80"/>
        <v>2316191.53</v>
      </c>
      <c r="L253" s="54">
        <f t="shared" si="80"/>
        <v>1455770</v>
      </c>
      <c r="M253" s="54">
        <f t="shared" si="80"/>
        <v>50946</v>
      </c>
      <c r="N253" s="54">
        <f t="shared" si="80"/>
        <v>236649320.94</v>
      </c>
      <c r="O253" s="54">
        <f t="shared" si="80"/>
        <v>234202490.94</v>
      </c>
      <c r="P253" s="54">
        <f t="shared" si="80"/>
        <v>299773438.46999997</v>
      </c>
      <c r="Q253" s="149"/>
    </row>
    <row r="254" spans="1:17" s="80" customFormat="1" ht="45">
      <c r="A254" s="79"/>
      <c r="B254" s="85" t="s">
        <v>277</v>
      </c>
      <c r="C254" s="47"/>
      <c r="D254" s="48" t="s">
        <v>275</v>
      </c>
      <c r="E254" s="65">
        <f aca="true" t="shared" si="81" ref="E254:P254">E255+E256+E257+E258+E264+E268+E266+E263+E270+E261+E269+E262+E259</f>
        <v>60807926</v>
      </c>
      <c r="F254" s="65">
        <f t="shared" si="81"/>
        <v>60607926</v>
      </c>
      <c r="G254" s="65">
        <f t="shared" si="81"/>
        <v>0</v>
      </c>
      <c r="H254" s="65">
        <f t="shared" si="81"/>
        <v>0</v>
      </c>
      <c r="I254" s="65">
        <f t="shared" si="81"/>
        <v>200000</v>
      </c>
      <c r="J254" s="65">
        <f t="shared" si="81"/>
        <v>238965512.47</v>
      </c>
      <c r="K254" s="65">
        <f t="shared" si="81"/>
        <v>2316191.53</v>
      </c>
      <c r="L254" s="65">
        <f t="shared" si="81"/>
        <v>1455770</v>
      </c>
      <c r="M254" s="65">
        <f t="shared" si="81"/>
        <v>50946</v>
      </c>
      <c r="N254" s="65">
        <f t="shared" si="81"/>
        <v>236649320.94</v>
      </c>
      <c r="O254" s="65">
        <f t="shared" si="81"/>
        <v>234202490.94</v>
      </c>
      <c r="P254" s="65">
        <f t="shared" si="81"/>
        <v>299773438.46999997</v>
      </c>
      <c r="Q254" s="149"/>
    </row>
    <row r="255" spans="1:17" s="24" customFormat="1" ht="45">
      <c r="A255" s="44"/>
      <c r="B255" s="53" t="s">
        <v>278</v>
      </c>
      <c r="C255" s="41" t="s">
        <v>9</v>
      </c>
      <c r="D255" s="45" t="s">
        <v>100</v>
      </c>
      <c r="E255" s="66">
        <f>F255+I255</f>
        <v>0</v>
      </c>
      <c r="F255" s="66"/>
      <c r="G255" s="66"/>
      <c r="H255" s="66"/>
      <c r="I255" s="66"/>
      <c r="J255" s="66">
        <f>K255+N255</f>
        <v>2380664</v>
      </c>
      <c r="K255" s="66">
        <v>2280164</v>
      </c>
      <c r="L255" s="66">
        <f>1413770+42000</f>
        <v>1455770</v>
      </c>
      <c r="M255" s="66">
        <v>50946</v>
      </c>
      <c r="N255" s="66">
        <v>100500</v>
      </c>
      <c r="O255" s="66"/>
      <c r="P255" s="66">
        <f aca="true" t="shared" si="82" ref="P255:P263">E255+J255</f>
        <v>2380664</v>
      </c>
      <c r="Q255" s="149"/>
    </row>
    <row r="256" spans="1:17" s="24" customFormat="1" ht="30">
      <c r="A256" s="22"/>
      <c r="B256" s="34" t="s">
        <v>279</v>
      </c>
      <c r="C256" s="25" t="s">
        <v>56</v>
      </c>
      <c r="D256" s="26" t="s">
        <v>191</v>
      </c>
      <c r="E256" s="33"/>
      <c r="F256" s="33"/>
      <c r="G256" s="33"/>
      <c r="H256" s="33"/>
      <c r="I256" s="33"/>
      <c r="J256" s="33">
        <f>K256+N256</f>
        <v>1724000</v>
      </c>
      <c r="K256" s="33"/>
      <c r="L256" s="33"/>
      <c r="M256" s="33"/>
      <c r="N256" s="33">
        <v>1724000</v>
      </c>
      <c r="O256" s="33">
        <v>1724000</v>
      </c>
      <c r="P256" s="33">
        <f t="shared" si="82"/>
        <v>1724000</v>
      </c>
      <c r="Q256" s="149"/>
    </row>
    <row r="257" spans="1:17" s="24" customFormat="1" ht="25.5" customHeight="1">
      <c r="A257" s="22"/>
      <c r="B257" s="34" t="s">
        <v>280</v>
      </c>
      <c r="C257" s="25" t="s">
        <v>21</v>
      </c>
      <c r="D257" s="26" t="s">
        <v>22</v>
      </c>
      <c r="E257" s="33">
        <f>F257+I257</f>
        <v>60300000</v>
      </c>
      <c r="F257" s="33">
        <f>30000000+30000000+300000</f>
        <v>60300000</v>
      </c>
      <c r="G257" s="54"/>
      <c r="H257" s="54"/>
      <c r="I257" s="54"/>
      <c r="J257" s="66">
        <f>K257+N257</f>
        <v>75252200</v>
      </c>
      <c r="K257" s="54"/>
      <c r="L257" s="54"/>
      <c r="M257" s="54"/>
      <c r="N257" s="66">
        <f>35000000+16252200+20000000+2000000+2000000</f>
        <v>75252200</v>
      </c>
      <c r="O257" s="66">
        <f>35000000+16252200+20000000+2000000+2000000</f>
        <v>75252200</v>
      </c>
      <c r="P257" s="66">
        <f t="shared" si="82"/>
        <v>135552200</v>
      </c>
      <c r="Q257" s="149"/>
    </row>
    <row r="258" spans="1:17" s="24" customFormat="1" ht="30">
      <c r="A258" s="22"/>
      <c r="B258" s="34" t="s">
        <v>281</v>
      </c>
      <c r="C258" s="25" t="s">
        <v>85</v>
      </c>
      <c r="D258" s="26" t="s">
        <v>271</v>
      </c>
      <c r="E258" s="33">
        <f>F258+I258</f>
        <v>0</v>
      </c>
      <c r="F258" s="54"/>
      <c r="G258" s="54"/>
      <c r="H258" s="54"/>
      <c r="I258" s="54"/>
      <c r="J258" s="66">
        <f>K258+N258</f>
        <v>145026290.94</v>
      </c>
      <c r="K258" s="66"/>
      <c r="L258" s="66"/>
      <c r="M258" s="66"/>
      <c r="N258" s="66">
        <f>76917041.94+15082000+19829065.59+2000000+472250+8122934.41+7365000+185923+9210370+1480000+50000+87000-200000+43500+300000+120000+115000+150000+223234+50000+231972+255000+2936000</f>
        <v>145026290.94</v>
      </c>
      <c r="O258" s="66">
        <f>76917041.94+15082000+19829065.59+2000000+472250+8122934.41+7365000+185923+9210370+1480000+50000+87000-200000+43500+300000+120000+115000+150000+223234+50000+231972+2936000+255000</f>
        <v>145026290.94</v>
      </c>
      <c r="P258" s="66">
        <f t="shared" si="82"/>
        <v>145026290.94</v>
      </c>
      <c r="Q258" s="149"/>
    </row>
    <row r="259" spans="1:17" s="24" customFormat="1" ht="24.75" customHeight="1">
      <c r="A259" s="22"/>
      <c r="B259" s="34" t="s">
        <v>476</v>
      </c>
      <c r="C259" s="25"/>
      <c r="D259" s="26" t="s">
        <v>477</v>
      </c>
      <c r="E259" s="33">
        <f>E260</f>
        <v>0</v>
      </c>
      <c r="F259" s="33">
        <f aca="true" t="shared" si="83" ref="F259:P259">F260</f>
        <v>0</v>
      </c>
      <c r="G259" s="33">
        <f t="shared" si="83"/>
        <v>0</v>
      </c>
      <c r="H259" s="33">
        <f t="shared" si="83"/>
        <v>0</v>
      </c>
      <c r="I259" s="33">
        <f t="shared" si="83"/>
        <v>0</v>
      </c>
      <c r="J259" s="33">
        <f t="shared" si="83"/>
        <v>200000</v>
      </c>
      <c r="K259" s="33">
        <f t="shared" si="83"/>
        <v>0</v>
      </c>
      <c r="L259" s="33">
        <f t="shared" si="83"/>
        <v>0</v>
      </c>
      <c r="M259" s="33">
        <f t="shared" si="83"/>
        <v>0</v>
      </c>
      <c r="N259" s="33">
        <f t="shared" si="83"/>
        <v>200000</v>
      </c>
      <c r="O259" s="33">
        <f t="shared" si="83"/>
        <v>200000</v>
      </c>
      <c r="P259" s="33">
        <f t="shared" si="83"/>
        <v>200000</v>
      </c>
      <c r="Q259" s="149"/>
    </row>
    <row r="260" spans="1:17" s="80" customFormat="1" ht="34.5" customHeight="1">
      <c r="A260" s="79"/>
      <c r="B260" s="85" t="s">
        <v>478</v>
      </c>
      <c r="C260" s="71" t="s">
        <v>470</v>
      </c>
      <c r="D260" s="72" t="s">
        <v>481</v>
      </c>
      <c r="E260" s="60">
        <f>F260+I260</f>
        <v>0</v>
      </c>
      <c r="F260" s="65"/>
      <c r="G260" s="65"/>
      <c r="H260" s="65"/>
      <c r="I260" s="65"/>
      <c r="J260" s="60">
        <f>K260+N260</f>
        <v>200000</v>
      </c>
      <c r="K260" s="60"/>
      <c r="L260" s="60"/>
      <c r="M260" s="60"/>
      <c r="N260" s="60">
        <f>200000</f>
        <v>200000</v>
      </c>
      <c r="O260" s="60">
        <f>200000</f>
        <v>200000</v>
      </c>
      <c r="P260" s="60">
        <f t="shared" si="82"/>
        <v>200000</v>
      </c>
      <c r="Q260" s="149"/>
    </row>
    <row r="261" spans="1:17" s="24" customFormat="1" ht="27" customHeight="1">
      <c r="A261" s="22"/>
      <c r="B261" s="34" t="s">
        <v>447</v>
      </c>
      <c r="C261" s="25" t="s">
        <v>317</v>
      </c>
      <c r="D261" s="26" t="s">
        <v>318</v>
      </c>
      <c r="E261" s="33">
        <f>F261+I261</f>
        <v>200000</v>
      </c>
      <c r="F261" s="33"/>
      <c r="G261" s="54"/>
      <c r="H261" s="54"/>
      <c r="I261" s="33">
        <v>200000</v>
      </c>
      <c r="J261" s="66"/>
      <c r="K261" s="66"/>
      <c r="L261" s="66"/>
      <c r="M261" s="66"/>
      <c r="N261" s="66"/>
      <c r="O261" s="66"/>
      <c r="P261" s="66">
        <f t="shared" si="82"/>
        <v>200000</v>
      </c>
      <c r="Q261" s="149"/>
    </row>
    <row r="262" spans="1:17" s="24" customFormat="1" ht="24.75" customHeight="1">
      <c r="A262" s="22"/>
      <c r="B262" s="53" t="s">
        <v>456</v>
      </c>
      <c r="C262" s="41" t="s">
        <v>81</v>
      </c>
      <c r="D262" s="45" t="s">
        <v>256</v>
      </c>
      <c r="E262" s="33">
        <f>F262+I262</f>
        <v>35000</v>
      </c>
      <c r="F262" s="33">
        <v>35000</v>
      </c>
      <c r="G262" s="54"/>
      <c r="H262" s="54"/>
      <c r="I262" s="65"/>
      <c r="J262" s="66"/>
      <c r="K262" s="66"/>
      <c r="L262" s="66"/>
      <c r="M262" s="66"/>
      <c r="N262" s="66"/>
      <c r="O262" s="66"/>
      <c r="P262" s="66">
        <f t="shared" si="82"/>
        <v>35000</v>
      </c>
      <c r="Q262" s="149"/>
    </row>
    <row r="263" spans="1:17" s="24" customFormat="1" ht="30">
      <c r="A263" s="22"/>
      <c r="B263" s="31" t="s">
        <v>429</v>
      </c>
      <c r="C263" s="25" t="s">
        <v>34</v>
      </c>
      <c r="D263" s="26" t="s">
        <v>142</v>
      </c>
      <c r="E263" s="33"/>
      <c r="F263" s="54"/>
      <c r="G263" s="54"/>
      <c r="H263" s="54"/>
      <c r="I263" s="54"/>
      <c r="J263" s="66">
        <f>K263+N263</f>
        <v>12000000</v>
      </c>
      <c r="K263" s="66"/>
      <c r="L263" s="66"/>
      <c r="M263" s="66"/>
      <c r="N263" s="66">
        <f>6750000+5250000</f>
        <v>12000000</v>
      </c>
      <c r="O263" s="66">
        <f>6750000+5250000</f>
        <v>12000000</v>
      </c>
      <c r="P263" s="66">
        <f t="shared" si="82"/>
        <v>12000000</v>
      </c>
      <c r="Q263" s="149"/>
    </row>
    <row r="264" spans="1:17" s="24" customFormat="1" ht="45">
      <c r="A264" s="22"/>
      <c r="B264" s="25" t="s">
        <v>307</v>
      </c>
      <c r="C264" s="25"/>
      <c r="D264" s="26" t="s">
        <v>284</v>
      </c>
      <c r="E264" s="33">
        <f>E265</f>
        <v>84905</v>
      </c>
      <c r="F264" s="33">
        <f aca="true" t="shared" si="84" ref="F264:P264">F265</f>
        <v>84905</v>
      </c>
      <c r="G264" s="33">
        <f t="shared" si="84"/>
        <v>0</v>
      </c>
      <c r="H264" s="33">
        <f t="shared" si="84"/>
        <v>0</v>
      </c>
      <c r="I264" s="33">
        <f t="shared" si="84"/>
        <v>0</v>
      </c>
      <c r="J264" s="33">
        <f t="shared" si="84"/>
        <v>36027.53</v>
      </c>
      <c r="K264" s="33">
        <f t="shared" si="84"/>
        <v>36027.53</v>
      </c>
      <c r="L264" s="33">
        <f t="shared" si="84"/>
        <v>0</v>
      </c>
      <c r="M264" s="33">
        <f t="shared" si="84"/>
        <v>0</v>
      </c>
      <c r="N264" s="33">
        <f t="shared" si="84"/>
        <v>0</v>
      </c>
      <c r="O264" s="33">
        <f t="shared" si="84"/>
        <v>0</v>
      </c>
      <c r="P264" s="33">
        <f t="shared" si="84"/>
        <v>120932.53</v>
      </c>
      <c r="Q264" s="149"/>
    </row>
    <row r="265" spans="1:17" s="24" customFormat="1" ht="75">
      <c r="A265" s="22"/>
      <c r="B265" s="85" t="s">
        <v>283</v>
      </c>
      <c r="C265" s="77" t="s">
        <v>86</v>
      </c>
      <c r="D265" s="72" t="s">
        <v>282</v>
      </c>
      <c r="E265" s="60">
        <f>F265+I265</f>
        <v>84905</v>
      </c>
      <c r="F265" s="60">
        <v>84905</v>
      </c>
      <c r="G265" s="60"/>
      <c r="H265" s="60"/>
      <c r="I265" s="60"/>
      <c r="J265" s="60">
        <f>K265+N265</f>
        <v>36027.53</v>
      </c>
      <c r="K265" s="60">
        <f>30069+10915.53-4957</f>
        <v>36027.53</v>
      </c>
      <c r="L265" s="65"/>
      <c r="M265" s="65"/>
      <c r="N265" s="65"/>
      <c r="O265" s="65"/>
      <c r="P265" s="60">
        <f>E265+J265</f>
        <v>120932.53</v>
      </c>
      <c r="Q265" s="149"/>
    </row>
    <row r="266" spans="1:17" s="24" customFormat="1" ht="22.5" customHeight="1">
      <c r="A266" s="22"/>
      <c r="B266" s="31" t="s">
        <v>342</v>
      </c>
      <c r="C266" s="25" t="s">
        <v>42</v>
      </c>
      <c r="D266" s="26" t="s">
        <v>19</v>
      </c>
      <c r="E266" s="60">
        <f>E267</f>
        <v>188021</v>
      </c>
      <c r="F266" s="60">
        <f aca="true" t="shared" si="85" ref="F266:P266">F267</f>
        <v>188021</v>
      </c>
      <c r="G266" s="60">
        <f t="shared" si="85"/>
        <v>0</v>
      </c>
      <c r="H266" s="60">
        <f t="shared" si="85"/>
        <v>0</v>
      </c>
      <c r="I266" s="60">
        <f t="shared" si="85"/>
        <v>0</v>
      </c>
      <c r="J266" s="60">
        <f t="shared" si="85"/>
        <v>0</v>
      </c>
      <c r="K266" s="60">
        <f t="shared" si="85"/>
        <v>0</v>
      </c>
      <c r="L266" s="60">
        <f t="shared" si="85"/>
        <v>0</v>
      </c>
      <c r="M266" s="60">
        <f t="shared" si="85"/>
        <v>0</v>
      </c>
      <c r="N266" s="60">
        <f t="shared" si="85"/>
        <v>0</v>
      </c>
      <c r="O266" s="60">
        <f t="shared" si="85"/>
        <v>0</v>
      </c>
      <c r="P266" s="60">
        <f t="shared" si="85"/>
        <v>188021</v>
      </c>
      <c r="Q266" s="149"/>
    </row>
    <row r="267" spans="1:17" s="24" customFormat="1" ht="51.75" customHeight="1">
      <c r="A267" s="22"/>
      <c r="B267" s="71" t="s">
        <v>343</v>
      </c>
      <c r="C267" s="71" t="s">
        <v>42</v>
      </c>
      <c r="D267" s="72" t="s">
        <v>458</v>
      </c>
      <c r="E267" s="60">
        <f>F267+I267</f>
        <v>188021</v>
      </c>
      <c r="F267" s="60">
        <v>188021</v>
      </c>
      <c r="G267" s="60"/>
      <c r="H267" s="60"/>
      <c r="I267" s="60"/>
      <c r="J267" s="60"/>
      <c r="K267" s="60"/>
      <c r="L267" s="65"/>
      <c r="M267" s="65"/>
      <c r="N267" s="65"/>
      <c r="O267" s="65"/>
      <c r="P267" s="60">
        <f>J267+E267</f>
        <v>188021</v>
      </c>
      <c r="Q267" s="149"/>
    </row>
    <row r="268" spans="1:17" s="24" customFormat="1" ht="30">
      <c r="A268" s="22"/>
      <c r="B268" s="34" t="s">
        <v>322</v>
      </c>
      <c r="C268" s="25" t="s">
        <v>83</v>
      </c>
      <c r="D268" s="26" t="s">
        <v>84</v>
      </c>
      <c r="E268" s="33"/>
      <c r="F268" s="33"/>
      <c r="G268" s="33"/>
      <c r="H268" s="33"/>
      <c r="I268" s="33"/>
      <c r="J268" s="33">
        <f>K268+N268</f>
        <v>606000</v>
      </c>
      <c r="K268" s="33"/>
      <c r="L268" s="54"/>
      <c r="M268" s="54"/>
      <c r="N268" s="66">
        <f>126000+480000</f>
        <v>606000</v>
      </c>
      <c r="O268" s="54"/>
      <c r="P268" s="66">
        <f>E268+J268</f>
        <v>606000</v>
      </c>
      <c r="Q268" s="149">
        <v>89</v>
      </c>
    </row>
    <row r="269" spans="1:17" s="24" customFormat="1" ht="45">
      <c r="A269" s="22"/>
      <c r="B269" s="34" t="s">
        <v>450</v>
      </c>
      <c r="C269" s="25" t="s">
        <v>449</v>
      </c>
      <c r="D269" s="26" t="s">
        <v>448</v>
      </c>
      <c r="E269" s="33"/>
      <c r="F269" s="33"/>
      <c r="G269" s="33"/>
      <c r="H269" s="33"/>
      <c r="I269" s="33"/>
      <c r="J269" s="33">
        <f>K269+N269</f>
        <v>1340330</v>
      </c>
      <c r="K269" s="33"/>
      <c r="L269" s="54"/>
      <c r="M269" s="54"/>
      <c r="N269" s="66">
        <v>1340330</v>
      </c>
      <c r="O269" s="54"/>
      <c r="P269" s="66">
        <f>E269+J269</f>
        <v>1340330</v>
      </c>
      <c r="Q269" s="149"/>
    </row>
    <row r="270" spans="1:17" s="24" customFormat="1" ht="27" customHeight="1">
      <c r="A270" s="22"/>
      <c r="B270" s="34" t="s">
        <v>445</v>
      </c>
      <c r="C270" s="25" t="s">
        <v>425</v>
      </c>
      <c r="D270" s="26" t="s">
        <v>55</v>
      </c>
      <c r="E270" s="33"/>
      <c r="F270" s="33"/>
      <c r="G270" s="33"/>
      <c r="H270" s="33"/>
      <c r="I270" s="33"/>
      <c r="J270" s="33">
        <f>K270+N270</f>
        <v>400000</v>
      </c>
      <c r="K270" s="33"/>
      <c r="L270" s="54"/>
      <c r="M270" s="54"/>
      <c r="N270" s="66">
        <v>400000</v>
      </c>
      <c r="O270" s="54"/>
      <c r="P270" s="66">
        <f>E270+J270</f>
        <v>400000</v>
      </c>
      <c r="Q270" s="149"/>
    </row>
    <row r="271" spans="1:17" s="24" customFormat="1" ht="35.25" customHeight="1">
      <c r="A271" s="22"/>
      <c r="B271" s="38">
        <v>4800000</v>
      </c>
      <c r="C271" s="29"/>
      <c r="D271" s="30" t="s">
        <v>285</v>
      </c>
      <c r="E271" s="54">
        <f>E272</f>
        <v>2064043.27</v>
      </c>
      <c r="F271" s="54">
        <f aca="true" t="shared" si="86" ref="F271:P271">F272</f>
        <v>2064043.27</v>
      </c>
      <c r="G271" s="54">
        <f t="shared" si="86"/>
        <v>1517352.59</v>
      </c>
      <c r="H271" s="54">
        <f t="shared" si="86"/>
        <v>84319</v>
      </c>
      <c r="I271" s="54">
        <f t="shared" si="86"/>
        <v>0</v>
      </c>
      <c r="J271" s="54">
        <f t="shared" si="86"/>
        <v>278600</v>
      </c>
      <c r="K271" s="54">
        <f t="shared" si="86"/>
        <v>108255</v>
      </c>
      <c r="L271" s="54">
        <f t="shared" si="86"/>
        <v>0</v>
      </c>
      <c r="M271" s="54">
        <f t="shared" si="86"/>
        <v>0</v>
      </c>
      <c r="N271" s="54">
        <f t="shared" si="86"/>
        <v>170345</v>
      </c>
      <c r="O271" s="54">
        <f t="shared" si="86"/>
        <v>37000</v>
      </c>
      <c r="P271" s="54">
        <f t="shared" si="86"/>
        <v>2342643.27</v>
      </c>
      <c r="Q271" s="149"/>
    </row>
    <row r="272" spans="1:17" s="80" customFormat="1" ht="45">
      <c r="A272" s="79"/>
      <c r="B272" s="70">
        <v>4810000</v>
      </c>
      <c r="C272" s="47"/>
      <c r="D272" s="48" t="s">
        <v>285</v>
      </c>
      <c r="E272" s="65">
        <f>E273+E274+E278+E275</f>
        <v>2064043.27</v>
      </c>
      <c r="F272" s="65">
        <f aca="true" t="shared" si="87" ref="F272:P272">F273+F274+F278+F275</f>
        <v>2064043.27</v>
      </c>
      <c r="G272" s="65">
        <f t="shared" si="87"/>
        <v>1517352.59</v>
      </c>
      <c r="H272" s="65">
        <f t="shared" si="87"/>
        <v>84319</v>
      </c>
      <c r="I272" s="65">
        <f t="shared" si="87"/>
        <v>0</v>
      </c>
      <c r="J272" s="65">
        <f t="shared" si="87"/>
        <v>278600</v>
      </c>
      <c r="K272" s="65">
        <f t="shared" si="87"/>
        <v>108255</v>
      </c>
      <c r="L272" s="65">
        <f t="shared" si="87"/>
        <v>0</v>
      </c>
      <c r="M272" s="65">
        <f t="shared" si="87"/>
        <v>0</v>
      </c>
      <c r="N272" s="65">
        <f t="shared" si="87"/>
        <v>170345</v>
      </c>
      <c r="O272" s="65">
        <f t="shared" si="87"/>
        <v>37000</v>
      </c>
      <c r="P272" s="65">
        <f t="shared" si="87"/>
        <v>2342643.27</v>
      </c>
      <c r="Q272" s="149"/>
    </row>
    <row r="273" spans="1:17" s="24" customFormat="1" ht="45">
      <c r="A273" s="44"/>
      <c r="B273" s="53" t="s">
        <v>286</v>
      </c>
      <c r="C273" s="41" t="s">
        <v>9</v>
      </c>
      <c r="D273" s="45" t="s">
        <v>100</v>
      </c>
      <c r="E273" s="66">
        <f>F273+I273</f>
        <v>2030193.27</v>
      </c>
      <c r="F273" s="66">
        <f>4520200-427090-2252198+189281.27</f>
        <v>2030193.27</v>
      </c>
      <c r="G273" s="66">
        <f>2986650-1650946+26500+155148.59</f>
        <v>1517352.59</v>
      </c>
      <c r="H273" s="66">
        <f>167498-83179</f>
        <v>84319</v>
      </c>
      <c r="I273" s="66"/>
      <c r="J273" s="66">
        <f>K273+N273</f>
        <v>30000</v>
      </c>
      <c r="K273" s="66"/>
      <c r="L273" s="66"/>
      <c r="M273" s="66"/>
      <c r="N273" s="66">
        <f>250000-220000</f>
        <v>30000</v>
      </c>
      <c r="O273" s="66">
        <f>250000-220000</f>
        <v>30000</v>
      </c>
      <c r="P273" s="66">
        <f>E273+J273</f>
        <v>2060193.27</v>
      </c>
      <c r="Q273" s="149"/>
    </row>
    <row r="274" spans="1:17" s="24" customFormat="1" ht="21.75" customHeight="1">
      <c r="A274" s="22"/>
      <c r="B274" s="34" t="s">
        <v>287</v>
      </c>
      <c r="C274" s="25" t="s">
        <v>81</v>
      </c>
      <c r="D274" s="26" t="s">
        <v>256</v>
      </c>
      <c r="E274" s="66">
        <f>F274+I274</f>
        <v>0</v>
      </c>
      <c r="F274" s="54"/>
      <c r="G274" s="54"/>
      <c r="H274" s="54"/>
      <c r="I274" s="54"/>
      <c r="J274" s="66">
        <f>K274+N274</f>
        <v>7000</v>
      </c>
      <c r="K274" s="66"/>
      <c r="L274" s="66"/>
      <c r="M274" s="66"/>
      <c r="N274" s="66">
        <f>148000-141000</f>
        <v>7000</v>
      </c>
      <c r="O274" s="66">
        <f>148000-141000</f>
        <v>7000</v>
      </c>
      <c r="P274" s="66">
        <f>E274+J274</f>
        <v>7000</v>
      </c>
      <c r="Q274" s="149"/>
    </row>
    <row r="275" spans="1:17" s="24" customFormat="1" ht="27.75" customHeight="1">
      <c r="A275" s="22"/>
      <c r="B275" s="71" t="s">
        <v>295</v>
      </c>
      <c r="C275" s="41" t="s">
        <v>42</v>
      </c>
      <c r="D275" s="45" t="s">
        <v>19</v>
      </c>
      <c r="E275" s="66">
        <f>E276+E277</f>
        <v>33850</v>
      </c>
      <c r="F275" s="66">
        <f aca="true" t="shared" si="88" ref="F275:P275">F276+F277</f>
        <v>33850</v>
      </c>
      <c r="G275" s="66">
        <f t="shared" si="88"/>
        <v>0</v>
      </c>
      <c r="H275" s="66">
        <f t="shared" si="88"/>
        <v>0</v>
      </c>
      <c r="I275" s="66">
        <f t="shared" si="88"/>
        <v>0</v>
      </c>
      <c r="J275" s="66">
        <f>K275+N275</f>
        <v>0</v>
      </c>
      <c r="K275" s="66">
        <f t="shared" si="88"/>
        <v>0</v>
      </c>
      <c r="L275" s="66">
        <f t="shared" si="88"/>
        <v>0</v>
      </c>
      <c r="M275" s="66">
        <f t="shared" si="88"/>
        <v>0</v>
      </c>
      <c r="N275" s="66">
        <f t="shared" si="88"/>
        <v>0</v>
      </c>
      <c r="O275" s="66">
        <f t="shared" si="88"/>
        <v>0</v>
      </c>
      <c r="P275" s="66">
        <f t="shared" si="88"/>
        <v>33850</v>
      </c>
      <c r="Q275" s="149"/>
    </row>
    <row r="276" spans="1:17" s="80" customFormat="1" ht="60">
      <c r="A276" s="79"/>
      <c r="B276" s="71" t="s">
        <v>296</v>
      </c>
      <c r="C276" s="71" t="s">
        <v>42</v>
      </c>
      <c r="D276" s="81" t="s">
        <v>266</v>
      </c>
      <c r="E276" s="60">
        <f>F276+I276</f>
        <v>18750</v>
      </c>
      <c r="F276" s="60">
        <f>170000-151250</f>
        <v>18750</v>
      </c>
      <c r="G276" s="65"/>
      <c r="H276" s="65"/>
      <c r="I276" s="65"/>
      <c r="J276" s="66">
        <f>K276+N276</f>
        <v>0</v>
      </c>
      <c r="K276" s="65"/>
      <c r="L276" s="65"/>
      <c r="M276" s="65"/>
      <c r="N276" s="65"/>
      <c r="O276" s="65"/>
      <c r="P276" s="60">
        <f>E276+J276</f>
        <v>18750</v>
      </c>
      <c r="Q276" s="149"/>
    </row>
    <row r="277" spans="1:17" s="80" customFormat="1" ht="45">
      <c r="A277" s="79"/>
      <c r="B277" s="71" t="s">
        <v>440</v>
      </c>
      <c r="C277" s="71" t="s">
        <v>42</v>
      </c>
      <c r="D277" s="82" t="s">
        <v>334</v>
      </c>
      <c r="E277" s="60">
        <f>F277+I277</f>
        <v>15100</v>
      </c>
      <c r="F277" s="60">
        <v>15100</v>
      </c>
      <c r="G277" s="65"/>
      <c r="H277" s="65"/>
      <c r="I277" s="65"/>
      <c r="J277" s="66">
        <f>K277+N277</f>
        <v>0</v>
      </c>
      <c r="K277" s="65"/>
      <c r="L277" s="65"/>
      <c r="M277" s="65"/>
      <c r="N277" s="65"/>
      <c r="O277" s="65"/>
      <c r="P277" s="60">
        <f>E277+J277</f>
        <v>15100</v>
      </c>
      <c r="Q277" s="149"/>
    </row>
    <row r="278" spans="1:17" s="24" customFormat="1" ht="60">
      <c r="A278" s="44"/>
      <c r="B278" s="53" t="s">
        <v>288</v>
      </c>
      <c r="C278" s="41" t="s">
        <v>39</v>
      </c>
      <c r="D278" s="45" t="s">
        <v>40</v>
      </c>
      <c r="E278" s="66">
        <f aca="true" t="shared" si="89" ref="E278:P278">E279</f>
        <v>0</v>
      </c>
      <c r="F278" s="66">
        <f t="shared" si="89"/>
        <v>0</v>
      </c>
      <c r="G278" s="66">
        <f t="shared" si="89"/>
        <v>0</v>
      </c>
      <c r="H278" s="66">
        <f t="shared" si="89"/>
        <v>0</v>
      </c>
      <c r="I278" s="66">
        <f t="shared" si="89"/>
        <v>0</v>
      </c>
      <c r="J278" s="66">
        <f t="shared" si="89"/>
        <v>241600</v>
      </c>
      <c r="K278" s="66">
        <f t="shared" si="89"/>
        <v>108255</v>
      </c>
      <c r="L278" s="66">
        <f t="shared" si="89"/>
        <v>0</v>
      </c>
      <c r="M278" s="66">
        <f t="shared" si="89"/>
        <v>0</v>
      </c>
      <c r="N278" s="66">
        <f t="shared" si="89"/>
        <v>133345</v>
      </c>
      <c r="O278" s="66">
        <f t="shared" si="89"/>
        <v>0</v>
      </c>
      <c r="P278" s="66">
        <f t="shared" si="89"/>
        <v>241600</v>
      </c>
      <c r="Q278" s="149"/>
    </row>
    <row r="279" spans="1:17" s="80" customFormat="1" ht="60">
      <c r="A279" s="79"/>
      <c r="B279" s="78" t="s">
        <v>289</v>
      </c>
      <c r="C279" s="71" t="s">
        <v>39</v>
      </c>
      <c r="D279" s="72" t="s">
        <v>40</v>
      </c>
      <c r="E279" s="60">
        <f>F279+I279</f>
        <v>0</v>
      </c>
      <c r="F279" s="65"/>
      <c r="G279" s="65"/>
      <c r="H279" s="65"/>
      <c r="I279" s="65"/>
      <c r="J279" s="60">
        <f>K279+N279</f>
        <v>241600</v>
      </c>
      <c r="K279" s="60">
        <f>725000-309500-307245</f>
        <v>108255</v>
      </c>
      <c r="L279" s="65"/>
      <c r="M279" s="65"/>
      <c r="N279" s="65">
        <f>309500+199000-199000-176155</f>
        <v>133345</v>
      </c>
      <c r="O279" s="65"/>
      <c r="P279" s="60">
        <f>E279+J279</f>
        <v>241600</v>
      </c>
      <c r="Q279" s="149"/>
    </row>
    <row r="280" spans="1:17" s="126" customFormat="1" ht="28.5">
      <c r="A280" s="125"/>
      <c r="B280" s="123">
        <v>4800000</v>
      </c>
      <c r="C280" s="29"/>
      <c r="D280" s="30" t="s">
        <v>464</v>
      </c>
      <c r="E280" s="54">
        <f>E281</f>
        <v>1278258.51</v>
      </c>
      <c r="F280" s="54">
        <f aca="true" t="shared" si="90" ref="F280:P280">F281</f>
        <v>1278258.51</v>
      </c>
      <c r="G280" s="54">
        <f t="shared" si="90"/>
        <v>789894.48</v>
      </c>
      <c r="H280" s="54">
        <f t="shared" si="90"/>
        <v>41590</v>
      </c>
      <c r="I280" s="54">
        <f t="shared" si="90"/>
        <v>0</v>
      </c>
      <c r="J280" s="54">
        <f t="shared" si="90"/>
        <v>621900</v>
      </c>
      <c r="K280" s="54">
        <f t="shared" si="90"/>
        <v>307245</v>
      </c>
      <c r="L280" s="54">
        <f t="shared" si="90"/>
        <v>0</v>
      </c>
      <c r="M280" s="54">
        <f t="shared" si="90"/>
        <v>0</v>
      </c>
      <c r="N280" s="54">
        <f t="shared" si="90"/>
        <v>314655</v>
      </c>
      <c r="O280" s="54">
        <f t="shared" si="90"/>
        <v>138500</v>
      </c>
      <c r="P280" s="54">
        <f t="shared" si="90"/>
        <v>1900158.51</v>
      </c>
      <c r="Q280" s="149"/>
    </row>
    <row r="281" spans="1:17" s="80" customFormat="1" ht="30">
      <c r="A281" s="79"/>
      <c r="B281" s="70">
        <v>4810000</v>
      </c>
      <c r="C281" s="47"/>
      <c r="D281" s="72" t="s">
        <v>464</v>
      </c>
      <c r="E281" s="60">
        <f>E282+E284+E286+E288+E283</f>
        <v>1278258.51</v>
      </c>
      <c r="F281" s="60">
        <f aca="true" t="shared" si="91" ref="F281:P281">F282+F284+F286+F288+F283</f>
        <v>1278258.51</v>
      </c>
      <c r="G281" s="60">
        <f t="shared" si="91"/>
        <v>789894.48</v>
      </c>
      <c r="H281" s="60">
        <f t="shared" si="91"/>
        <v>41590</v>
      </c>
      <c r="I281" s="60">
        <f t="shared" si="91"/>
        <v>0</v>
      </c>
      <c r="J281" s="60">
        <f t="shared" si="91"/>
        <v>621900</v>
      </c>
      <c r="K281" s="60">
        <f t="shared" si="91"/>
        <v>307245</v>
      </c>
      <c r="L281" s="60">
        <f t="shared" si="91"/>
        <v>0</v>
      </c>
      <c r="M281" s="60">
        <f t="shared" si="91"/>
        <v>0</v>
      </c>
      <c r="N281" s="60">
        <f t="shared" si="91"/>
        <v>314655</v>
      </c>
      <c r="O281" s="60">
        <f t="shared" si="91"/>
        <v>138500</v>
      </c>
      <c r="P281" s="60">
        <f t="shared" si="91"/>
        <v>1900158.51</v>
      </c>
      <c r="Q281" s="149"/>
    </row>
    <row r="282" spans="1:17" s="24" customFormat="1" ht="24.75" customHeight="1">
      <c r="A282" s="22"/>
      <c r="B282" s="34" t="s">
        <v>286</v>
      </c>
      <c r="C282" s="25" t="s">
        <v>9</v>
      </c>
      <c r="D282" s="26" t="s">
        <v>462</v>
      </c>
      <c r="E282" s="33">
        <f>F282+I282</f>
        <v>1127008.51</v>
      </c>
      <c r="F282" s="33">
        <f>1221270-94261.49</f>
        <v>1127008.51</v>
      </c>
      <c r="G282" s="33">
        <f>867158-77263.52</f>
        <v>789894.48</v>
      </c>
      <c r="H282" s="33">
        <v>41590</v>
      </c>
      <c r="I282" s="54"/>
      <c r="J282" s="33">
        <f>K282+N282</f>
        <v>0</v>
      </c>
      <c r="K282" s="54"/>
      <c r="L282" s="54"/>
      <c r="M282" s="54"/>
      <c r="N282" s="33">
        <f>99500-99500</f>
        <v>0</v>
      </c>
      <c r="O282" s="33">
        <f>99500-99500</f>
        <v>0</v>
      </c>
      <c r="P282" s="33">
        <f>E282+J282</f>
        <v>1127008.51</v>
      </c>
      <c r="Q282" s="149"/>
    </row>
    <row r="283" spans="1:17" s="24" customFormat="1" ht="30">
      <c r="A283" s="22"/>
      <c r="B283" s="34" t="s">
        <v>457</v>
      </c>
      <c r="C283" s="25" t="s">
        <v>34</v>
      </c>
      <c r="D283" s="26" t="s">
        <v>142</v>
      </c>
      <c r="E283" s="33">
        <f>F283+I283</f>
        <v>0</v>
      </c>
      <c r="F283" s="33"/>
      <c r="G283" s="33"/>
      <c r="H283" s="33"/>
      <c r="I283" s="54"/>
      <c r="J283" s="33">
        <f>K283+N283</f>
        <v>39000</v>
      </c>
      <c r="K283" s="54"/>
      <c r="L283" s="54"/>
      <c r="M283" s="54"/>
      <c r="N283" s="33">
        <v>39000</v>
      </c>
      <c r="O283" s="33">
        <v>39000</v>
      </c>
      <c r="P283" s="33">
        <f>E283+J283</f>
        <v>39000</v>
      </c>
      <c r="Q283" s="149"/>
    </row>
    <row r="284" spans="1:17" s="24" customFormat="1" ht="24.75" customHeight="1">
      <c r="A284" s="22"/>
      <c r="B284" s="25" t="s">
        <v>296</v>
      </c>
      <c r="C284" s="25" t="s">
        <v>42</v>
      </c>
      <c r="D284" s="26" t="s">
        <v>19</v>
      </c>
      <c r="E284" s="33">
        <f>E285</f>
        <v>151250</v>
      </c>
      <c r="F284" s="33">
        <f aca="true" t="shared" si="92" ref="F284:P284">F285</f>
        <v>151250</v>
      </c>
      <c r="G284" s="33">
        <f t="shared" si="92"/>
        <v>0</v>
      </c>
      <c r="H284" s="33">
        <f t="shared" si="92"/>
        <v>0</v>
      </c>
      <c r="I284" s="33">
        <f t="shared" si="92"/>
        <v>0</v>
      </c>
      <c r="J284" s="33">
        <f t="shared" si="92"/>
        <v>0</v>
      </c>
      <c r="K284" s="33">
        <f t="shared" si="92"/>
        <v>0</v>
      </c>
      <c r="L284" s="33">
        <f t="shared" si="92"/>
        <v>0</v>
      </c>
      <c r="M284" s="33">
        <f t="shared" si="92"/>
        <v>0</v>
      </c>
      <c r="N284" s="33">
        <f t="shared" si="92"/>
        <v>0</v>
      </c>
      <c r="O284" s="33">
        <f t="shared" si="92"/>
        <v>0</v>
      </c>
      <c r="P284" s="33">
        <f t="shared" si="92"/>
        <v>151250</v>
      </c>
      <c r="Q284" s="149"/>
    </row>
    <row r="285" spans="1:17" s="80" customFormat="1" ht="60">
      <c r="A285" s="79"/>
      <c r="B285" s="71" t="s">
        <v>296</v>
      </c>
      <c r="C285" s="71" t="s">
        <v>42</v>
      </c>
      <c r="D285" s="81" t="s">
        <v>266</v>
      </c>
      <c r="E285" s="60">
        <f>F285+I285</f>
        <v>151250</v>
      </c>
      <c r="F285" s="60">
        <v>151250</v>
      </c>
      <c r="G285" s="65"/>
      <c r="H285" s="65"/>
      <c r="I285" s="65"/>
      <c r="J285" s="60"/>
      <c r="K285" s="65"/>
      <c r="L285" s="65"/>
      <c r="M285" s="65"/>
      <c r="N285" s="65"/>
      <c r="O285" s="65"/>
      <c r="P285" s="60">
        <f>E285+J285</f>
        <v>151250</v>
      </c>
      <c r="Q285" s="149"/>
    </row>
    <row r="286" spans="1:17" s="80" customFormat="1" ht="60">
      <c r="A286" s="79"/>
      <c r="B286" s="53" t="s">
        <v>288</v>
      </c>
      <c r="C286" s="41" t="s">
        <v>39</v>
      </c>
      <c r="D286" s="45" t="s">
        <v>40</v>
      </c>
      <c r="E286" s="66">
        <f aca="true" t="shared" si="93" ref="E286:P286">E287</f>
        <v>0</v>
      </c>
      <c r="F286" s="66">
        <f t="shared" si="93"/>
        <v>0</v>
      </c>
      <c r="G286" s="66">
        <f t="shared" si="93"/>
        <v>0</v>
      </c>
      <c r="H286" s="66">
        <f t="shared" si="93"/>
        <v>0</v>
      </c>
      <c r="I286" s="66">
        <f t="shared" si="93"/>
        <v>0</v>
      </c>
      <c r="J286" s="66">
        <f t="shared" si="93"/>
        <v>483400</v>
      </c>
      <c r="K286" s="66">
        <f t="shared" si="93"/>
        <v>307245</v>
      </c>
      <c r="L286" s="66">
        <f t="shared" si="93"/>
        <v>0</v>
      </c>
      <c r="M286" s="66">
        <f t="shared" si="93"/>
        <v>0</v>
      </c>
      <c r="N286" s="66">
        <f t="shared" si="93"/>
        <v>176155</v>
      </c>
      <c r="O286" s="66">
        <f t="shared" si="93"/>
        <v>0</v>
      </c>
      <c r="P286" s="66">
        <f t="shared" si="93"/>
        <v>483400</v>
      </c>
      <c r="Q286" s="149"/>
    </row>
    <row r="287" spans="1:17" s="80" customFormat="1" ht="60">
      <c r="A287" s="79"/>
      <c r="B287" s="78" t="s">
        <v>289</v>
      </c>
      <c r="C287" s="71" t="s">
        <v>39</v>
      </c>
      <c r="D287" s="72" t="s">
        <v>40</v>
      </c>
      <c r="E287" s="60">
        <f>F287+I287</f>
        <v>0</v>
      </c>
      <c r="F287" s="65"/>
      <c r="G287" s="65"/>
      <c r="H287" s="65"/>
      <c r="I287" s="65"/>
      <c r="J287" s="60">
        <f>K287+N287</f>
        <v>483400</v>
      </c>
      <c r="K287" s="60">
        <v>307245</v>
      </c>
      <c r="L287" s="65"/>
      <c r="M287" s="65"/>
      <c r="N287" s="65">
        <v>176155</v>
      </c>
      <c r="O287" s="65"/>
      <c r="P287" s="60">
        <f>E287+J287</f>
        <v>483400</v>
      </c>
      <c r="Q287" s="149">
        <v>90</v>
      </c>
    </row>
    <row r="288" spans="1:17" s="80" customFormat="1" ht="15">
      <c r="A288" s="79"/>
      <c r="B288" s="50">
        <v>4818800</v>
      </c>
      <c r="C288" s="41" t="s">
        <v>89</v>
      </c>
      <c r="D288" s="104" t="s">
        <v>90</v>
      </c>
      <c r="E288" s="33">
        <f>E289</f>
        <v>0</v>
      </c>
      <c r="F288" s="33">
        <f aca="true" t="shared" si="94" ref="F288:P288">F289</f>
        <v>0</v>
      </c>
      <c r="G288" s="33">
        <f t="shared" si="94"/>
        <v>0</v>
      </c>
      <c r="H288" s="33">
        <f t="shared" si="94"/>
        <v>0</v>
      </c>
      <c r="I288" s="33">
        <f t="shared" si="94"/>
        <v>0</v>
      </c>
      <c r="J288" s="33">
        <f t="shared" si="94"/>
        <v>99500</v>
      </c>
      <c r="K288" s="33">
        <f t="shared" si="94"/>
        <v>0</v>
      </c>
      <c r="L288" s="33">
        <f t="shared" si="94"/>
        <v>0</v>
      </c>
      <c r="M288" s="33">
        <f t="shared" si="94"/>
        <v>0</v>
      </c>
      <c r="N288" s="33">
        <f t="shared" si="94"/>
        <v>99500</v>
      </c>
      <c r="O288" s="33">
        <f t="shared" si="94"/>
        <v>99500</v>
      </c>
      <c r="P288" s="33">
        <f t="shared" si="94"/>
        <v>99500</v>
      </c>
      <c r="Q288" s="149"/>
    </row>
    <row r="289" spans="1:17" s="80" customFormat="1" ht="60">
      <c r="A289" s="79"/>
      <c r="B289" s="71" t="s">
        <v>454</v>
      </c>
      <c r="C289" s="71" t="s">
        <v>89</v>
      </c>
      <c r="D289" s="101" t="s">
        <v>455</v>
      </c>
      <c r="E289" s="60">
        <f>F289+I289</f>
        <v>0</v>
      </c>
      <c r="F289" s="60"/>
      <c r="G289" s="65"/>
      <c r="H289" s="65"/>
      <c r="I289" s="65"/>
      <c r="J289" s="60">
        <f>K289+N289</f>
        <v>99500</v>
      </c>
      <c r="K289" s="65"/>
      <c r="L289" s="65"/>
      <c r="M289" s="65"/>
      <c r="N289" s="60">
        <v>99500</v>
      </c>
      <c r="O289" s="60">
        <v>99500</v>
      </c>
      <c r="P289" s="60">
        <f>E289+J289</f>
        <v>99500</v>
      </c>
      <c r="Q289" s="149"/>
    </row>
    <row r="290" spans="1:17" s="24" customFormat="1" ht="28.5">
      <c r="A290" s="44"/>
      <c r="B290" s="50">
        <v>5000000</v>
      </c>
      <c r="C290" s="41"/>
      <c r="D290" s="30" t="s">
        <v>290</v>
      </c>
      <c r="E290" s="54">
        <f>E291</f>
        <v>2363550</v>
      </c>
      <c r="F290" s="54">
        <f aca="true" t="shared" si="95" ref="F290:P290">F291</f>
        <v>1998470</v>
      </c>
      <c r="G290" s="54">
        <f t="shared" si="95"/>
        <v>1192900</v>
      </c>
      <c r="H290" s="54">
        <f t="shared" si="95"/>
        <v>83538</v>
      </c>
      <c r="I290" s="54">
        <f t="shared" si="95"/>
        <v>365080</v>
      </c>
      <c r="J290" s="54">
        <f t="shared" si="95"/>
        <v>30000</v>
      </c>
      <c r="K290" s="54">
        <f t="shared" si="95"/>
        <v>0</v>
      </c>
      <c r="L290" s="54">
        <f t="shared" si="95"/>
        <v>0</v>
      </c>
      <c r="M290" s="54">
        <f t="shared" si="95"/>
        <v>0</v>
      </c>
      <c r="N290" s="54">
        <f t="shared" si="95"/>
        <v>30000</v>
      </c>
      <c r="O290" s="54">
        <f t="shared" si="95"/>
        <v>30000</v>
      </c>
      <c r="P290" s="54">
        <f t="shared" si="95"/>
        <v>2393550</v>
      </c>
      <c r="Q290" s="149"/>
    </row>
    <row r="291" spans="1:17" s="103" customFormat="1" ht="30">
      <c r="A291" s="102"/>
      <c r="B291" s="70">
        <v>5010000</v>
      </c>
      <c r="C291" s="71"/>
      <c r="D291" s="48" t="s">
        <v>290</v>
      </c>
      <c r="E291" s="65">
        <f>E292+E294+E293</f>
        <v>2363550</v>
      </c>
      <c r="F291" s="65">
        <f aca="true" t="shared" si="96" ref="F291:P291">F292+F294+F293</f>
        <v>1998470</v>
      </c>
      <c r="G291" s="65">
        <f t="shared" si="96"/>
        <v>1192900</v>
      </c>
      <c r="H291" s="65">
        <f t="shared" si="96"/>
        <v>83538</v>
      </c>
      <c r="I291" s="65">
        <f t="shared" si="96"/>
        <v>365080</v>
      </c>
      <c r="J291" s="65">
        <f t="shared" si="96"/>
        <v>30000</v>
      </c>
      <c r="K291" s="65">
        <f t="shared" si="96"/>
        <v>0</v>
      </c>
      <c r="L291" s="65">
        <f t="shared" si="96"/>
        <v>0</v>
      </c>
      <c r="M291" s="65">
        <f t="shared" si="96"/>
        <v>0</v>
      </c>
      <c r="N291" s="65">
        <f t="shared" si="96"/>
        <v>30000</v>
      </c>
      <c r="O291" s="65">
        <f t="shared" si="96"/>
        <v>30000</v>
      </c>
      <c r="P291" s="65">
        <f t="shared" si="96"/>
        <v>2393550</v>
      </c>
      <c r="Q291" s="149"/>
    </row>
    <row r="292" spans="1:17" s="24" customFormat="1" ht="45">
      <c r="A292" s="44"/>
      <c r="B292" s="53" t="s">
        <v>291</v>
      </c>
      <c r="C292" s="41" t="s">
        <v>9</v>
      </c>
      <c r="D292" s="45" t="s">
        <v>100</v>
      </c>
      <c r="E292" s="66">
        <f>F292+I292</f>
        <v>1648470</v>
      </c>
      <c r="F292" s="66">
        <f>1751970-160400+56900</f>
        <v>1648470</v>
      </c>
      <c r="G292" s="66">
        <f>1143630+2570+46700</f>
        <v>1192900</v>
      </c>
      <c r="H292" s="66">
        <v>83538</v>
      </c>
      <c r="I292" s="66"/>
      <c r="J292" s="66">
        <f>K292+N292</f>
        <v>30000</v>
      </c>
      <c r="K292" s="66"/>
      <c r="L292" s="66"/>
      <c r="M292" s="66"/>
      <c r="N292" s="66">
        <v>30000</v>
      </c>
      <c r="O292" s="66">
        <v>30000</v>
      </c>
      <c r="P292" s="66">
        <f>E292+J292</f>
        <v>1678470</v>
      </c>
      <c r="Q292" s="149"/>
    </row>
    <row r="293" spans="1:17" s="24" customFormat="1" ht="15">
      <c r="A293" s="44"/>
      <c r="B293" s="53" t="s">
        <v>487</v>
      </c>
      <c r="C293" s="41" t="s">
        <v>21</v>
      </c>
      <c r="D293" s="45" t="s">
        <v>137</v>
      </c>
      <c r="E293" s="66">
        <f>F293+I293</f>
        <v>365080</v>
      </c>
      <c r="F293" s="66">
        <f>365080-365080</f>
        <v>0</v>
      </c>
      <c r="G293" s="66"/>
      <c r="H293" s="66"/>
      <c r="I293" s="66">
        <v>365080</v>
      </c>
      <c r="J293" s="66">
        <f>K293+N293</f>
        <v>0</v>
      </c>
      <c r="K293" s="66"/>
      <c r="L293" s="66"/>
      <c r="M293" s="66"/>
      <c r="N293" s="66"/>
      <c r="O293" s="66"/>
      <c r="P293" s="66">
        <f>E293+J293</f>
        <v>365080</v>
      </c>
      <c r="Q293" s="149"/>
    </row>
    <row r="294" spans="1:17" s="24" customFormat="1" ht="15">
      <c r="A294" s="22"/>
      <c r="B294" s="71" t="s">
        <v>294</v>
      </c>
      <c r="C294" s="41" t="s">
        <v>42</v>
      </c>
      <c r="D294" s="45" t="s">
        <v>19</v>
      </c>
      <c r="E294" s="66">
        <f>E295</f>
        <v>350000</v>
      </c>
      <c r="F294" s="66">
        <f aca="true" t="shared" si="97" ref="F294:P294">F295</f>
        <v>350000</v>
      </c>
      <c r="G294" s="66">
        <f t="shared" si="97"/>
        <v>0</v>
      </c>
      <c r="H294" s="66">
        <f t="shared" si="97"/>
        <v>0</v>
      </c>
      <c r="I294" s="66">
        <f t="shared" si="97"/>
        <v>0</v>
      </c>
      <c r="J294" s="66">
        <f t="shared" si="97"/>
        <v>0</v>
      </c>
      <c r="K294" s="66">
        <f t="shared" si="97"/>
        <v>0</v>
      </c>
      <c r="L294" s="66">
        <f t="shared" si="97"/>
        <v>0</v>
      </c>
      <c r="M294" s="66">
        <f t="shared" si="97"/>
        <v>0</v>
      </c>
      <c r="N294" s="66">
        <f t="shared" si="97"/>
        <v>0</v>
      </c>
      <c r="O294" s="66">
        <f t="shared" si="97"/>
        <v>0</v>
      </c>
      <c r="P294" s="66">
        <f t="shared" si="97"/>
        <v>350000</v>
      </c>
      <c r="Q294" s="149"/>
    </row>
    <row r="295" spans="1:17" s="24" customFormat="1" ht="75">
      <c r="A295" s="22"/>
      <c r="B295" s="71" t="s">
        <v>293</v>
      </c>
      <c r="C295" s="77" t="s">
        <v>42</v>
      </c>
      <c r="D295" s="82" t="s">
        <v>292</v>
      </c>
      <c r="E295" s="60">
        <f>F295+I295</f>
        <v>350000</v>
      </c>
      <c r="F295" s="60">
        <v>350000</v>
      </c>
      <c r="G295" s="65"/>
      <c r="H295" s="65"/>
      <c r="I295" s="65"/>
      <c r="J295" s="60">
        <f>K295+N295</f>
        <v>0</v>
      </c>
      <c r="K295" s="65"/>
      <c r="L295" s="65"/>
      <c r="M295" s="65"/>
      <c r="N295" s="65"/>
      <c r="O295" s="65"/>
      <c r="P295" s="60">
        <f>E295+J295</f>
        <v>350000</v>
      </c>
      <c r="Q295" s="149"/>
    </row>
    <row r="296" spans="1:17" s="24" customFormat="1" ht="28.5">
      <c r="A296" s="22"/>
      <c r="B296" s="34" t="s">
        <v>297</v>
      </c>
      <c r="C296" s="29"/>
      <c r="D296" s="30" t="s">
        <v>465</v>
      </c>
      <c r="E296" s="54">
        <f>E297</f>
        <v>5852784.85</v>
      </c>
      <c r="F296" s="54">
        <f aca="true" t="shared" si="98" ref="F296:P296">F297</f>
        <v>5852784.85</v>
      </c>
      <c r="G296" s="54">
        <f t="shared" si="98"/>
        <v>4243720</v>
      </c>
      <c r="H296" s="54">
        <f t="shared" si="98"/>
        <v>191695</v>
      </c>
      <c r="I296" s="54">
        <f t="shared" si="98"/>
        <v>0</v>
      </c>
      <c r="J296" s="54">
        <f t="shared" si="98"/>
        <v>82070</v>
      </c>
      <c r="K296" s="54">
        <f t="shared" si="98"/>
        <v>18000</v>
      </c>
      <c r="L296" s="54">
        <f t="shared" si="98"/>
        <v>0</v>
      </c>
      <c r="M296" s="54">
        <f t="shared" si="98"/>
        <v>0</v>
      </c>
      <c r="N296" s="54">
        <f t="shared" si="98"/>
        <v>64070</v>
      </c>
      <c r="O296" s="54">
        <f t="shared" si="98"/>
        <v>64070</v>
      </c>
      <c r="P296" s="54">
        <f t="shared" si="98"/>
        <v>5934854.85</v>
      </c>
      <c r="Q296" s="149"/>
    </row>
    <row r="297" spans="1:17" s="80" customFormat="1" ht="30">
      <c r="A297" s="79"/>
      <c r="B297" s="85" t="s">
        <v>298</v>
      </c>
      <c r="C297" s="47"/>
      <c r="D297" s="48" t="s">
        <v>465</v>
      </c>
      <c r="E297" s="65">
        <f>E298+E299+E300</f>
        <v>5852784.85</v>
      </c>
      <c r="F297" s="65">
        <f aca="true" t="shared" si="99" ref="F297:P297">F298+F299+F300</f>
        <v>5852784.85</v>
      </c>
      <c r="G297" s="65">
        <f t="shared" si="99"/>
        <v>4243720</v>
      </c>
      <c r="H297" s="65">
        <f t="shared" si="99"/>
        <v>191695</v>
      </c>
      <c r="I297" s="65">
        <f t="shared" si="99"/>
        <v>0</v>
      </c>
      <c r="J297" s="65">
        <f t="shared" si="99"/>
        <v>82070</v>
      </c>
      <c r="K297" s="65">
        <f t="shared" si="99"/>
        <v>18000</v>
      </c>
      <c r="L297" s="65">
        <f t="shared" si="99"/>
        <v>0</v>
      </c>
      <c r="M297" s="65">
        <f t="shared" si="99"/>
        <v>0</v>
      </c>
      <c r="N297" s="65">
        <f t="shared" si="99"/>
        <v>64070</v>
      </c>
      <c r="O297" s="65">
        <f t="shared" si="99"/>
        <v>64070</v>
      </c>
      <c r="P297" s="65">
        <f t="shared" si="99"/>
        <v>5934854.85</v>
      </c>
      <c r="Q297" s="149"/>
    </row>
    <row r="298" spans="1:17" s="24" customFormat="1" ht="45">
      <c r="A298" s="44"/>
      <c r="B298" s="53" t="s">
        <v>299</v>
      </c>
      <c r="C298" s="41" t="s">
        <v>9</v>
      </c>
      <c r="D298" s="45" t="s">
        <v>100</v>
      </c>
      <c r="E298" s="66">
        <f>F298+I298</f>
        <v>5721901</v>
      </c>
      <c r="F298" s="66">
        <f>5498000-286300+89090+154610+158571-4670+119600-7000</f>
        <v>5721901</v>
      </c>
      <c r="G298" s="66">
        <f>3629280+186610+73024+126730+129976+98100</f>
        <v>4243720</v>
      </c>
      <c r="H298" s="66">
        <v>191695</v>
      </c>
      <c r="I298" s="66"/>
      <c r="J298" s="66">
        <f>K298+N298</f>
        <v>64070</v>
      </c>
      <c r="K298" s="66"/>
      <c r="L298" s="66"/>
      <c r="M298" s="66"/>
      <c r="N298" s="66">
        <f>40000+12400+4670+7000</f>
        <v>64070</v>
      </c>
      <c r="O298" s="66">
        <f>40000+12400+4670+7000</f>
        <v>64070</v>
      </c>
      <c r="P298" s="66">
        <f>E298+J298</f>
        <v>5785971</v>
      </c>
      <c r="Q298" s="149"/>
    </row>
    <row r="299" spans="1:17" s="24" customFormat="1" ht="25.5" customHeight="1">
      <c r="A299" s="22"/>
      <c r="B299" s="34" t="s">
        <v>346</v>
      </c>
      <c r="C299" s="25" t="s">
        <v>344</v>
      </c>
      <c r="D299" s="26" t="s">
        <v>345</v>
      </c>
      <c r="E299" s="33">
        <f>F299+I299</f>
        <v>130883.85</v>
      </c>
      <c r="F299" s="33">
        <f>198694.54-67810.69</f>
        <v>130883.85</v>
      </c>
      <c r="G299" s="33"/>
      <c r="H299" s="33"/>
      <c r="I299" s="33"/>
      <c r="J299" s="66">
        <f>K299+N299</f>
        <v>0</v>
      </c>
      <c r="K299" s="33"/>
      <c r="L299" s="33"/>
      <c r="M299" s="33"/>
      <c r="N299" s="33"/>
      <c r="O299" s="33"/>
      <c r="P299" s="33">
        <f>E299+J299</f>
        <v>130883.85</v>
      </c>
      <c r="Q299" s="149"/>
    </row>
    <row r="300" spans="1:17" s="24" customFormat="1" ht="33" customHeight="1">
      <c r="A300" s="22"/>
      <c r="B300" s="34" t="s">
        <v>479</v>
      </c>
      <c r="C300" s="25" t="s">
        <v>422</v>
      </c>
      <c r="D300" s="26" t="s">
        <v>423</v>
      </c>
      <c r="E300" s="33">
        <f>F300+I300</f>
        <v>0</v>
      </c>
      <c r="F300" s="33"/>
      <c r="G300" s="33"/>
      <c r="H300" s="33"/>
      <c r="I300" s="33"/>
      <c r="J300" s="66">
        <f>K300+N300</f>
        <v>18000</v>
      </c>
      <c r="K300" s="124">
        <v>18000</v>
      </c>
      <c r="L300" s="33"/>
      <c r="M300" s="33"/>
      <c r="N300" s="33"/>
      <c r="O300" s="33"/>
      <c r="P300" s="33">
        <f>E300+J300</f>
        <v>18000</v>
      </c>
      <c r="Q300" s="149"/>
    </row>
    <row r="301" spans="1:17" s="24" customFormat="1" ht="57">
      <c r="A301" s="22"/>
      <c r="B301" s="38">
        <v>7600000</v>
      </c>
      <c r="C301" s="29"/>
      <c r="D301" s="30" t="s">
        <v>466</v>
      </c>
      <c r="E301" s="54">
        <f>E302</f>
        <v>65809991.15</v>
      </c>
      <c r="F301" s="54">
        <f aca="true" t="shared" si="100" ref="F301:P301">F302</f>
        <v>56741757</v>
      </c>
      <c r="G301" s="54">
        <f t="shared" si="100"/>
        <v>0</v>
      </c>
      <c r="H301" s="54">
        <f t="shared" si="100"/>
        <v>0</v>
      </c>
      <c r="I301" s="54">
        <f t="shared" si="100"/>
        <v>0</v>
      </c>
      <c r="J301" s="54">
        <f t="shared" si="100"/>
        <v>700000</v>
      </c>
      <c r="K301" s="54">
        <f t="shared" si="100"/>
        <v>0</v>
      </c>
      <c r="L301" s="54">
        <f t="shared" si="100"/>
        <v>0</v>
      </c>
      <c r="M301" s="54">
        <f t="shared" si="100"/>
        <v>0</v>
      </c>
      <c r="N301" s="54">
        <f t="shared" si="100"/>
        <v>700000</v>
      </c>
      <c r="O301" s="54">
        <f t="shared" si="100"/>
        <v>700000</v>
      </c>
      <c r="P301" s="54">
        <f t="shared" si="100"/>
        <v>66509991.15</v>
      </c>
      <c r="Q301" s="149"/>
    </row>
    <row r="302" spans="1:17" s="80" customFormat="1" ht="60">
      <c r="A302" s="79"/>
      <c r="B302" s="70">
        <v>7610000</v>
      </c>
      <c r="C302" s="47"/>
      <c r="D302" s="48" t="s">
        <v>466</v>
      </c>
      <c r="E302" s="65">
        <f>E303+E304+E305+E307</f>
        <v>65809991.15</v>
      </c>
      <c r="F302" s="65">
        <f aca="true" t="shared" si="101" ref="F302:P302">F303+F304+F305+F307</f>
        <v>56741757</v>
      </c>
      <c r="G302" s="65">
        <f t="shared" si="101"/>
        <v>0</v>
      </c>
      <c r="H302" s="65">
        <f t="shared" si="101"/>
        <v>0</v>
      </c>
      <c r="I302" s="65">
        <f t="shared" si="101"/>
        <v>0</v>
      </c>
      <c r="J302" s="65">
        <f t="shared" si="101"/>
        <v>700000</v>
      </c>
      <c r="K302" s="65">
        <f t="shared" si="101"/>
        <v>0</v>
      </c>
      <c r="L302" s="65">
        <f t="shared" si="101"/>
        <v>0</v>
      </c>
      <c r="M302" s="65">
        <f t="shared" si="101"/>
        <v>0</v>
      </c>
      <c r="N302" s="65">
        <f t="shared" si="101"/>
        <v>700000</v>
      </c>
      <c r="O302" s="65">
        <f t="shared" si="101"/>
        <v>700000</v>
      </c>
      <c r="P302" s="65">
        <f t="shared" si="101"/>
        <v>66509991.15</v>
      </c>
      <c r="Q302" s="149"/>
    </row>
    <row r="303" spans="1:17" s="24" customFormat="1" ht="25.5" customHeight="1">
      <c r="A303" s="44"/>
      <c r="B303" s="50">
        <v>7618010</v>
      </c>
      <c r="C303" s="41" t="s">
        <v>87</v>
      </c>
      <c r="D303" s="45" t="s">
        <v>88</v>
      </c>
      <c r="E303" s="33">
        <f>8825473.46-360000-1811608-3000000+12618382-254670-4690000-1800000-5400000-130000-2263140-420000+19000+10000000+55000-330000+67810.69-54755-1822284-20000-160975</f>
        <v>9068234.15</v>
      </c>
      <c r="F303" s="66"/>
      <c r="G303" s="54"/>
      <c r="H303" s="54"/>
      <c r="I303" s="54"/>
      <c r="J303" s="66">
        <f>K303+N303</f>
        <v>0</v>
      </c>
      <c r="K303" s="54"/>
      <c r="L303" s="54"/>
      <c r="M303" s="54"/>
      <c r="N303" s="54"/>
      <c r="O303" s="54"/>
      <c r="P303" s="66">
        <f>E303+J303</f>
        <v>9068234.15</v>
      </c>
      <c r="Q303" s="149"/>
    </row>
    <row r="304" spans="1:17" s="24" customFormat="1" ht="143.25" customHeight="1">
      <c r="A304" s="22"/>
      <c r="B304" s="38">
        <v>7618120</v>
      </c>
      <c r="C304" s="25" t="s">
        <v>93</v>
      </c>
      <c r="D304" s="26" t="s">
        <v>300</v>
      </c>
      <c r="E304" s="33">
        <f>F304+I304</f>
        <v>56401300</v>
      </c>
      <c r="F304" s="33">
        <f>55480900+920400</f>
        <v>56401300</v>
      </c>
      <c r="G304" s="54"/>
      <c r="H304" s="54"/>
      <c r="I304" s="54"/>
      <c r="J304" s="66">
        <f>K304+N304</f>
        <v>0</v>
      </c>
      <c r="K304" s="54"/>
      <c r="L304" s="54"/>
      <c r="M304" s="54"/>
      <c r="N304" s="54"/>
      <c r="O304" s="54"/>
      <c r="P304" s="66">
        <f>E304+J304</f>
        <v>56401300</v>
      </c>
      <c r="Q304" s="149"/>
    </row>
    <row r="305" spans="1:17" s="24" customFormat="1" ht="27" customHeight="1">
      <c r="A305" s="22"/>
      <c r="B305" s="38">
        <v>7618700</v>
      </c>
      <c r="C305" s="25" t="s">
        <v>94</v>
      </c>
      <c r="D305" s="26" t="s">
        <v>95</v>
      </c>
      <c r="E305" s="33">
        <f>E306</f>
        <v>141957</v>
      </c>
      <c r="F305" s="33">
        <f aca="true" t="shared" si="102" ref="F305:P305">F306</f>
        <v>141957</v>
      </c>
      <c r="G305" s="33">
        <f t="shared" si="102"/>
        <v>0</v>
      </c>
      <c r="H305" s="33">
        <f t="shared" si="102"/>
        <v>0</v>
      </c>
      <c r="I305" s="33">
        <f t="shared" si="102"/>
        <v>0</v>
      </c>
      <c r="J305" s="33">
        <f t="shared" si="102"/>
        <v>0</v>
      </c>
      <c r="K305" s="33">
        <f t="shared" si="102"/>
        <v>0</v>
      </c>
      <c r="L305" s="33">
        <f t="shared" si="102"/>
        <v>0</v>
      </c>
      <c r="M305" s="33">
        <f t="shared" si="102"/>
        <v>0</v>
      </c>
      <c r="N305" s="33">
        <f t="shared" si="102"/>
        <v>0</v>
      </c>
      <c r="O305" s="33">
        <f t="shared" si="102"/>
        <v>0</v>
      </c>
      <c r="P305" s="33">
        <f t="shared" si="102"/>
        <v>141957</v>
      </c>
      <c r="Q305" s="148">
        <v>91</v>
      </c>
    </row>
    <row r="306" spans="1:17" s="80" customFormat="1" ht="39.75" customHeight="1">
      <c r="A306" s="79"/>
      <c r="B306" s="70">
        <v>7618701</v>
      </c>
      <c r="C306" s="71" t="s">
        <v>94</v>
      </c>
      <c r="D306" s="72" t="s">
        <v>308</v>
      </c>
      <c r="E306" s="60">
        <f>F306+I306</f>
        <v>141957</v>
      </c>
      <c r="F306" s="60">
        <f>164814-22857</f>
        <v>141957</v>
      </c>
      <c r="G306" s="65"/>
      <c r="H306" s="65"/>
      <c r="I306" s="65"/>
      <c r="J306" s="60">
        <f>K306+N306</f>
        <v>0</v>
      </c>
      <c r="K306" s="65"/>
      <c r="L306" s="65"/>
      <c r="M306" s="65"/>
      <c r="N306" s="65"/>
      <c r="O306" s="65"/>
      <c r="P306" s="60">
        <f>E306+J306</f>
        <v>141957</v>
      </c>
      <c r="Q306" s="148"/>
    </row>
    <row r="307" spans="1:17" s="24" customFormat="1" ht="17.25" customHeight="1">
      <c r="A307" s="44"/>
      <c r="B307" s="50">
        <v>7618800</v>
      </c>
      <c r="C307" s="41" t="s">
        <v>89</v>
      </c>
      <c r="D307" s="104" t="s">
        <v>90</v>
      </c>
      <c r="E307" s="66">
        <f>E308</f>
        <v>198500</v>
      </c>
      <c r="F307" s="66">
        <f aca="true" t="shared" si="103" ref="F307:P307">F308</f>
        <v>198500</v>
      </c>
      <c r="G307" s="66">
        <f t="shared" si="103"/>
        <v>0</v>
      </c>
      <c r="H307" s="66">
        <f t="shared" si="103"/>
        <v>0</v>
      </c>
      <c r="I307" s="66">
        <f t="shared" si="103"/>
        <v>0</v>
      </c>
      <c r="J307" s="66">
        <f t="shared" si="103"/>
        <v>700000</v>
      </c>
      <c r="K307" s="66">
        <f t="shared" si="103"/>
        <v>0</v>
      </c>
      <c r="L307" s="66">
        <f t="shared" si="103"/>
        <v>0</v>
      </c>
      <c r="M307" s="66">
        <f t="shared" si="103"/>
        <v>0</v>
      </c>
      <c r="N307" s="66">
        <f t="shared" si="103"/>
        <v>700000</v>
      </c>
      <c r="O307" s="66">
        <f t="shared" si="103"/>
        <v>700000</v>
      </c>
      <c r="P307" s="66">
        <f t="shared" si="103"/>
        <v>898500</v>
      </c>
      <c r="Q307" s="148"/>
    </row>
    <row r="308" spans="1:17" s="24" customFormat="1" ht="30.75" customHeight="1">
      <c r="A308" s="22"/>
      <c r="B308" s="71" t="s">
        <v>301</v>
      </c>
      <c r="C308" s="71" t="s">
        <v>89</v>
      </c>
      <c r="D308" s="101" t="s">
        <v>303</v>
      </c>
      <c r="E308" s="120">
        <f>F308+I308</f>
        <v>198500</v>
      </c>
      <c r="F308" s="120">
        <f>190000+8500</f>
        <v>198500</v>
      </c>
      <c r="G308" s="67"/>
      <c r="H308" s="67"/>
      <c r="I308" s="67"/>
      <c r="J308" s="66">
        <f>K308+N308</f>
        <v>700000</v>
      </c>
      <c r="K308" s="54"/>
      <c r="L308" s="54"/>
      <c r="M308" s="54"/>
      <c r="N308" s="66">
        <f>500000+200000</f>
        <v>700000</v>
      </c>
      <c r="O308" s="66">
        <f>500000+200000</f>
        <v>700000</v>
      </c>
      <c r="P308" s="66">
        <f>E308+J308</f>
        <v>898500</v>
      </c>
      <c r="Q308" s="148"/>
    </row>
    <row r="309" spans="1:17" s="24" customFormat="1" ht="15" customHeight="1">
      <c r="A309" s="22"/>
      <c r="B309" s="38"/>
      <c r="C309" s="29"/>
      <c r="D309" s="30" t="s">
        <v>91</v>
      </c>
      <c r="E309" s="54">
        <f aca="true" t="shared" si="104" ref="E309:P309">E13+E66+E91+E117+E196+E201+E209+E238+E253+E271+E290+E296+E301+E250+E244+E280</f>
        <v>1726239554.74</v>
      </c>
      <c r="F309" s="54">
        <f t="shared" si="104"/>
        <v>1674242930.41</v>
      </c>
      <c r="G309" s="54">
        <f t="shared" si="104"/>
        <v>456772546.86</v>
      </c>
      <c r="H309" s="54">
        <f t="shared" si="104"/>
        <v>92371235.78999999</v>
      </c>
      <c r="I309" s="54">
        <f t="shared" si="104"/>
        <v>42928390.18</v>
      </c>
      <c r="J309" s="54">
        <f t="shared" si="104"/>
        <v>525985303.0500001</v>
      </c>
      <c r="K309" s="54">
        <f t="shared" si="104"/>
        <v>53996894</v>
      </c>
      <c r="L309" s="54">
        <f t="shared" si="104"/>
        <v>11409440</v>
      </c>
      <c r="M309" s="54">
        <f t="shared" si="104"/>
        <v>2168292</v>
      </c>
      <c r="N309" s="54">
        <f t="shared" si="104"/>
        <v>471988409.05</v>
      </c>
      <c r="O309" s="54">
        <f t="shared" si="104"/>
        <v>463916761.73</v>
      </c>
      <c r="P309" s="54">
        <f t="shared" si="104"/>
        <v>2252224857.79</v>
      </c>
      <c r="Q309" s="148"/>
    </row>
    <row r="310" spans="1:17" s="24" customFormat="1" ht="28.5">
      <c r="A310" s="22"/>
      <c r="B310" s="38"/>
      <c r="C310" s="29"/>
      <c r="D310" s="30" t="s">
        <v>92</v>
      </c>
      <c r="E310" s="54">
        <f>E68+E93+E119</f>
        <v>1121143286.52</v>
      </c>
      <c r="F310" s="54">
        <f aca="true" t="shared" si="105" ref="F310:P310">F68+F93+F119</f>
        <v>1121143286.52</v>
      </c>
      <c r="G310" s="54">
        <f t="shared" si="105"/>
        <v>259969527</v>
      </c>
      <c r="H310" s="54">
        <f t="shared" si="105"/>
        <v>47607786</v>
      </c>
      <c r="I310" s="54">
        <f t="shared" si="105"/>
        <v>0</v>
      </c>
      <c r="J310" s="54">
        <f t="shared" si="105"/>
        <v>344410</v>
      </c>
      <c r="K310" s="54">
        <f t="shared" si="105"/>
        <v>0</v>
      </c>
      <c r="L310" s="54">
        <f t="shared" si="105"/>
        <v>0</v>
      </c>
      <c r="M310" s="54">
        <f t="shared" si="105"/>
        <v>0</v>
      </c>
      <c r="N310" s="54">
        <f t="shared" si="105"/>
        <v>344410</v>
      </c>
      <c r="O310" s="54">
        <f t="shared" si="105"/>
        <v>344410</v>
      </c>
      <c r="P310" s="54">
        <f t="shared" si="105"/>
        <v>1121487696.52</v>
      </c>
      <c r="Q310" s="148"/>
    </row>
    <row r="311" spans="1:17" s="24" customFormat="1" ht="15">
      <c r="A311" s="22"/>
      <c r="B311" s="113"/>
      <c r="C311" s="114"/>
      <c r="D311" s="115"/>
      <c r="E311" s="116"/>
      <c r="F311" s="116"/>
      <c r="G311" s="116"/>
      <c r="H311" s="116"/>
      <c r="I311" s="116"/>
      <c r="J311" s="116"/>
      <c r="K311" s="116"/>
      <c r="L311" s="116"/>
      <c r="M311" s="116"/>
      <c r="N311" s="116"/>
      <c r="O311" s="116"/>
      <c r="P311" s="116"/>
      <c r="Q311" s="148"/>
    </row>
    <row r="312" spans="1:17" ht="6.75" customHeight="1">
      <c r="A312" s="14"/>
      <c r="B312" s="37"/>
      <c r="C312" s="14"/>
      <c r="D312" s="14"/>
      <c r="E312" s="105"/>
      <c r="F312" s="105"/>
      <c r="G312" s="105"/>
      <c r="H312" s="105"/>
      <c r="I312" s="105"/>
      <c r="J312" s="105"/>
      <c r="K312" s="105"/>
      <c r="L312" s="105"/>
      <c r="M312" s="105"/>
      <c r="N312" s="105"/>
      <c r="O312" s="105"/>
      <c r="P312" s="105"/>
      <c r="Q312" s="148"/>
    </row>
    <row r="313" spans="1:17" ht="26.25" customHeight="1">
      <c r="A313" s="14"/>
      <c r="B313" s="37"/>
      <c r="C313" s="14"/>
      <c r="D313" s="14"/>
      <c r="E313" s="105"/>
      <c r="F313" s="105"/>
      <c r="G313" s="105"/>
      <c r="H313" s="105"/>
      <c r="I313" s="105"/>
      <c r="J313" s="105"/>
      <c r="K313" s="105"/>
      <c r="L313" s="105"/>
      <c r="M313" s="105"/>
      <c r="N313" s="105"/>
      <c r="O313" s="105"/>
      <c r="P313" s="105"/>
      <c r="Q313" s="148"/>
    </row>
    <row r="314" spans="1:17" ht="6.75" customHeight="1">
      <c r="A314" s="14"/>
      <c r="B314" s="37"/>
      <c r="C314" s="14"/>
      <c r="D314" s="14"/>
      <c r="E314" s="105"/>
      <c r="F314" s="105"/>
      <c r="G314" s="105"/>
      <c r="H314" s="105"/>
      <c r="I314" s="105"/>
      <c r="J314" s="105"/>
      <c r="K314" s="105"/>
      <c r="L314" s="105"/>
      <c r="M314" s="105"/>
      <c r="N314" s="105"/>
      <c r="O314" s="105"/>
      <c r="P314" s="105"/>
      <c r="Q314" s="148"/>
    </row>
    <row r="315" spans="1:17" ht="26.25" customHeight="1">
      <c r="A315" s="14"/>
      <c r="B315" s="37"/>
      <c r="C315" s="14"/>
      <c r="D315" s="14"/>
      <c r="E315" s="105"/>
      <c r="F315" s="105"/>
      <c r="G315" s="105"/>
      <c r="H315" s="105"/>
      <c r="I315" s="105"/>
      <c r="J315" s="105"/>
      <c r="K315" s="105"/>
      <c r="L315" s="105"/>
      <c r="M315" s="105"/>
      <c r="N315" s="105"/>
      <c r="O315" s="105"/>
      <c r="P315" s="105"/>
      <c r="Q315" s="148"/>
    </row>
    <row r="316" spans="1:19" s="134" customFormat="1" ht="24" customHeight="1">
      <c r="A316" s="131"/>
      <c r="B316" s="150" t="s">
        <v>492</v>
      </c>
      <c r="C316" s="150"/>
      <c r="D316" s="150"/>
      <c r="E316" s="150"/>
      <c r="F316" s="150"/>
      <c r="G316" s="150"/>
      <c r="H316" s="132"/>
      <c r="I316" s="132"/>
      <c r="J316" s="132"/>
      <c r="K316" s="132"/>
      <c r="L316" s="152" t="s">
        <v>493</v>
      </c>
      <c r="M316" s="152"/>
      <c r="N316" s="152"/>
      <c r="O316" s="152"/>
      <c r="P316" s="133"/>
      <c r="Q316" s="148"/>
      <c r="S316" s="135"/>
    </row>
    <row r="317" spans="1:19" s="129" customFormat="1" ht="30.75" customHeight="1">
      <c r="A317" s="136"/>
      <c r="B317" s="151"/>
      <c r="C317" s="151"/>
      <c r="D317" s="151"/>
      <c r="E317" s="151"/>
      <c r="F317" s="151"/>
      <c r="G317" s="151"/>
      <c r="H317" s="128"/>
      <c r="I317" s="128"/>
      <c r="J317" s="128"/>
      <c r="K317" s="128"/>
      <c r="L317" s="152"/>
      <c r="M317" s="152"/>
      <c r="N317" s="152"/>
      <c r="O317" s="152"/>
      <c r="P317" s="136"/>
      <c r="Q317" s="148"/>
      <c r="S317" s="130"/>
    </row>
    <row r="318" spans="1:19" s="129" customFormat="1" ht="23.25">
      <c r="A318" s="136"/>
      <c r="C318" s="137"/>
      <c r="D318" s="137"/>
      <c r="E318" s="137"/>
      <c r="F318" s="137"/>
      <c r="G318" s="137"/>
      <c r="H318" s="137"/>
      <c r="I318" s="137"/>
      <c r="J318" s="137"/>
      <c r="K318" s="137"/>
      <c r="L318" s="137"/>
      <c r="M318" s="137"/>
      <c r="N318" s="136"/>
      <c r="O318" s="136"/>
      <c r="P318" s="136"/>
      <c r="Q318" s="148"/>
      <c r="S318" s="130"/>
    </row>
    <row r="319" spans="1:17" s="10" customFormat="1" ht="23.25" customHeight="1">
      <c r="A319" s="9"/>
      <c r="B319" s="140"/>
      <c r="C319" s="141"/>
      <c r="D319" s="141"/>
      <c r="E319" s="110"/>
      <c r="F319" s="145"/>
      <c r="G319" s="145"/>
      <c r="H319" s="145"/>
      <c r="I319" s="145"/>
      <c r="J319" s="145"/>
      <c r="K319" s="145"/>
      <c r="L319" s="109"/>
      <c r="M319" s="109"/>
      <c r="N319" s="109"/>
      <c r="O319" s="146"/>
      <c r="P319" s="146"/>
      <c r="Q319" s="148"/>
    </row>
    <row r="320" spans="1:17" s="107" customFormat="1" ht="23.25" customHeight="1">
      <c r="A320" s="9"/>
      <c r="B320" s="140"/>
      <c r="C320" s="141"/>
      <c r="D320" s="141"/>
      <c r="E320" s="110"/>
      <c r="F320" s="11"/>
      <c r="G320" s="11"/>
      <c r="H320" s="11"/>
      <c r="I320" s="11"/>
      <c r="J320" s="11"/>
      <c r="K320" s="11"/>
      <c r="L320" s="109"/>
      <c r="M320" s="109"/>
      <c r="N320" s="109"/>
      <c r="O320" s="108"/>
      <c r="P320" s="108"/>
      <c r="Q320" s="148"/>
    </row>
    <row r="321" spans="1:17" s="12" customFormat="1" ht="23.25" customHeight="1">
      <c r="A321" s="13"/>
      <c r="B321" s="142"/>
      <c r="C321" s="143"/>
      <c r="D321" s="143"/>
      <c r="E321" s="106"/>
      <c r="F321" s="68"/>
      <c r="G321" s="68"/>
      <c r="H321" s="68"/>
      <c r="I321" s="68"/>
      <c r="J321" s="68"/>
      <c r="K321" s="68"/>
      <c r="L321" s="68"/>
      <c r="M321" s="68"/>
      <c r="N321" s="68"/>
      <c r="O321" s="68"/>
      <c r="P321" s="68"/>
      <c r="Q321" s="148"/>
    </row>
    <row r="322" ht="23.25" customHeight="1">
      <c r="Q322" s="148"/>
    </row>
    <row r="323" spans="1:17" s="12" customFormat="1" ht="23.25" customHeight="1">
      <c r="A323" s="68"/>
      <c r="B323" s="83"/>
      <c r="C323" s="68"/>
      <c r="D323" s="68"/>
      <c r="E323" s="68"/>
      <c r="F323" s="68"/>
      <c r="G323" s="68"/>
      <c r="H323" s="68"/>
      <c r="I323" s="68"/>
      <c r="J323" s="68"/>
      <c r="K323" s="68"/>
      <c r="L323" s="68"/>
      <c r="M323" s="68"/>
      <c r="N323" s="68"/>
      <c r="O323" s="68"/>
      <c r="P323" s="68"/>
      <c r="Q323" s="148"/>
    </row>
    <row r="324" ht="23.25" customHeight="1">
      <c r="Q324" s="148"/>
    </row>
    <row r="325" spans="1:17" s="12" customFormat="1" ht="23.25" customHeight="1">
      <c r="A325" s="68"/>
      <c r="B325" s="83"/>
      <c r="C325" s="68"/>
      <c r="D325" s="68"/>
      <c r="E325" s="68"/>
      <c r="F325" s="68"/>
      <c r="G325" s="68"/>
      <c r="H325" s="68"/>
      <c r="I325" s="68"/>
      <c r="J325" s="68"/>
      <c r="K325" s="68"/>
      <c r="L325" s="68"/>
      <c r="M325" s="68"/>
      <c r="N325" s="68"/>
      <c r="O325" s="68"/>
      <c r="P325" s="68"/>
      <c r="Q325" s="147"/>
    </row>
    <row r="326" ht="12.75">
      <c r="Q326" s="147"/>
    </row>
    <row r="327" ht="12.75">
      <c r="Q327" s="147"/>
    </row>
    <row r="328" ht="12.75">
      <c r="Q328" s="147"/>
    </row>
  </sheetData>
  <sheetProtection/>
  <mergeCells count="48">
    <mergeCell ref="L4:P4"/>
    <mergeCell ref="P127:P128"/>
    <mergeCell ref="N10:N12"/>
    <mergeCell ref="Q94:Q121"/>
    <mergeCell ref="J9:O9"/>
    <mergeCell ref="Q138:Q146"/>
    <mergeCell ref="L10:M10"/>
    <mergeCell ref="M11:M12"/>
    <mergeCell ref="K10:K12"/>
    <mergeCell ref="Q73:Q93"/>
    <mergeCell ref="Q128:Q137"/>
    <mergeCell ref="Q122:Q127"/>
    <mergeCell ref="O11:O12"/>
    <mergeCell ref="C9:C12"/>
    <mergeCell ref="F127:F128"/>
    <mergeCell ref="B9:B12"/>
    <mergeCell ref="E10:E12"/>
    <mergeCell ref="B127:B128"/>
    <mergeCell ref="C127:C128"/>
    <mergeCell ref="E127:E128"/>
    <mergeCell ref="D9:D12"/>
    <mergeCell ref="F10:F12"/>
    <mergeCell ref="E9:I9"/>
    <mergeCell ref="H11:H12"/>
    <mergeCell ref="L11:L12"/>
    <mergeCell ref="J10:J12"/>
    <mergeCell ref="G10:H10"/>
    <mergeCell ref="G11:G12"/>
    <mergeCell ref="I10:I12"/>
    <mergeCell ref="B316:G317"/>
    <mergeCell ref="L316:O317"/>
    <mergeCell ref="R1:R25"/>
    <mergeCell ref="Q1:Q25"/>
    <mergeCell ref="Q26:Q52"/>
    <mergeCell ref="Q53:Q72"/>
    <mergeCell ref="L2:O2"/>
    <mergeCell ref="P9:P12"/>
    <mergeCell ref="C5:P5"/>
    <mergeCell ref="C7:P7"/>
    <mergeCell ref="Q147:Q164"/>
    <mergeCell ref="Q165:Q183"/>
    <mergeCell ref="Q268:Q286"/>
    <mergeCell ref="Q287:Q304"/>
    <mergeCell ref="Q305:Q324"/>
    <mergeCell ref="Q184:Q203"/>
    <mergeCell ref="Q204:Q228"/>
    <mergeCell ref="Q229:Q247"/>
    <mergeCell ref="Q248:Q267"/>
  </mergeCells>
  <printOptions horizontalCentered="1"/>
  <pageMargins left="0.1968503937007874" right="0.1968503937007874" top="0.7086614173228347" bottom="0.4330708661417323" header="0.5118110236220472" footer="0.2362204724409449"/>
  <pageSetup fitToHeight="18" horizontalDpi="600" verticalDpi="600" orientation="landscape" paperSize="9" scale="52" r:id="rId1"/>
  <rowBreaks count="8" manualBreakCount="8">
    <brk id="72" min="1" max="16" man="1"/>
    <brk id="121" min="1" max="16" man="1"/>
    <brk id="137" min="1" max="16" man="1"/>
    <brk id="203" min="1" max="16" man="1"/>
    <brk id="247" min="1" max="16" man="1"/>
    <brk id="267" min="1" max="16" man="1"/>
    <brk id="286" min="1" max="16" man="1"/>
    <brk id="304"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2016-08-19T06:09:20Z</cp:lastPrinted>
  <dcterms:created xsi:type="dcterms:W3CDTF">2014-01-17T10:52:16Z</dcterms:created>
  <dcterms:modified xsi:type="dcterms:W3CDTF">2016-08-22T11:09:52Z</dcterms:modified>
  <cp:category/>
  <cp:version/>
  <cp:contentType/>
  <cp:contentStatus/>
</cp:coreProperties>
</file>