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120" windowHeight="9120" activeTab="1"/>
  </bookViews>
  <sheets>
    <sheet name="дод. 2" sheetId="1" r:id="rId1"/>
    <sheet name="дод. 3" sheetId="2" r:id="rId2"/>
  </sheets>
  <definedNames>
    <definedName name="_xlfn.AGGREGATE" hidden="1">#NAME?</definedName>
    <definedName name="_xlnm.Print_Titles" localSheetId="0">'дод. 2'!$7:$11</definedName>
    <definedName name="_xlnm.Print_Titles" localSheetId="1">'дод. 3'!$8:$12</definedName>
    <definedName name="_xlnm.Print_Area" localSheetId="0">'дод. 2'!$B$1:$X$156</definedName>
    <definedName name="_xlnm.Print_Area" localSheetId="1">'дод. 3'!$B$1:$X$205</definedName>
  </definedNames>
  <calcPr fullCalcOnLoad="1"/>
</workbook>
</file>

<file path=xl/sharedStrings.xml><?xml version="1.0" encoding="utf-8"?>
<sst xmlns="http://schemas.openxmlformats.org/spreadsheetml/2006/main" count="972" uniqueCount="358">
  <si>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</si>
  <si>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</si>
  <si>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</si>
  <si>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</si>
  <si>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</si>
  <si>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</si>
  <si>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</si>
  <si>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</si>
  <si>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</si>
  <si>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</si>
  <si>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</si>
  <si>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</si>
  <si>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</si>
  <si>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</si>
  <si>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</si>
  <si>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</si>
  <si>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</si>
  <si>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</si>
  <si>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</si>
  <si>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</si>
  <si>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</si>
  <si>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</si>
  <si>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</si>
  <si>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</si>
  <si>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</si>
  <si>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</si>
  <si>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</si>
  <si>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</si>
  <si>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</si>
  <si>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</si>
  <si>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</si>
  <si>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</si>
  <si>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</si>
  <si>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</si>
  <si>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</si>
  <si>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</si>
  <si>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</si>
  <si>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</si>
  <si>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</si>
  <si>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</si>
  <si>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</si>
  <si>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</si>
  <si>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</si>
  <si>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</si>
  <si>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</si>
  <si>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</si>
  <si>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</si>
  <si>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</si>
  <si>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</si>
  <si>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</si>
  <si>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</si>
  <si>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</si>
  <si>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</si>
  <si>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</si>
  <si>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</si>
  <si>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240604</t>
  </si>
  <si>
    <t>Інша діяльність у сфері охорони навколишнього природного середовища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</si>
  <si>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</si>
  <si>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</si>
  <si>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</si>
  <si>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</si>
  <si>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</si>
  <si>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</si>
  <si>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</si>
  <si>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</si>
  <si>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</si>
  <si>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</si>
  <si>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</si>
  <si>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</si>
  <si>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</si>
  <si>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</si>
  <si>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</si>
  <si>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</si>
  <si>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</si>
  <si>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</si>
  <si>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</si>
  <si>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</si>
  <si>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</si>
  <si>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</si>
  <si>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</si>
  <si>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</si>
  <si>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</si>
  <si>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240605</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</si>
  <si>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</si>
  <si>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</si>
  <si>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</si>
  <si>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</si>
  <si>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</si>
  <si>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</si>
  <si>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</si>
  <si>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</si>
  <si>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</si>
  <si>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</si>
  <si>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</si>
  <si>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</si>
  <si>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</si>
  <si>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</si>
  <si>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070303</t>
  </si>
  <si>
    <t>Дитячі будинки (в т.ч.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</si>
  <si>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</si>
  <si>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</si>
  <si>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</si>
  <si>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</si>
  <si>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</si>
  <si>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</si>
  <si>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</si>
  <si>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</si>
  <si>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</si>
  <si>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</si>
  <si>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</si>
  <si>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</si>
  <si>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</si>
  <si>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</si>
  <si>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</si>
  <si>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</si>
  <si>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</si>
  <si>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</si>
  <si>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</si>
  <si>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</si>
  <si>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</si>
  <si>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</si>
  <si>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</si>
  <si>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</si>
  <si>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</si>
  <si>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</si>
  <si>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</si>
  <si>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</si>
  <si>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</si>
  <si>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</si>
  <si>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</si>
  <si>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</si>
  <si>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</si>
  <si>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090413</t>
  </si>
  <si>
    <t>Допомоги на догляд за інвалідом І чи ІІ групи внаслідок психічного розладу</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</si>
  <si>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</si>
  <si>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</si>
  <si>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</si>
  <si>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</si>
  <si>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</si>
  <si>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</si>
  <si>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</si>
  <si>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</si>
  <si>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</si>
  <si>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</si>
  <si>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</si>
  <si>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</si>
  <si>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</si>
  <si>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</si>
  <si>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</si>
  <si>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</si>
  <si>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</si>
  <si>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</si>
  <si>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</si>
  <si>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</si>
  <si>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</si>
  <si>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</si>
  <si>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</si>
  <si>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</si>
  <si>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</si>
  <si>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</si>
  <si>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</si>
  <si>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</si>
  <si>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</si>
  <si>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</si>
  <si>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</si>
  <si>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</si>
  <si>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</si>
  <si>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</si>
  <si>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</si>
  <si>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</si>
  <si>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240602</t>
  </si>
  <si>
    <t>Утилізація відходів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</si>
  <si>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</si>
  <si>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</si>
  <si>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</si>
  <si>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</si>
  <si>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</si>
  <si>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</si>
  <si>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</si>
  <si>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</si>
  <si>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</si>
  <si>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</si>
  <si>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</si>
  <si>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</si>
  <si>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</si>
  <si>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</si>
  <si>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</si>
  <si>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</si>
  <si>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</si>
  <si>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</si>
  <si>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</si>
  <si>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</si>
  <si>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</si>
  <si>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</si>
  <si>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</si>
  <si>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</si>
  <si>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</si>
  <si>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</si>
  <si>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</si>
  <si>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</si>
  <si>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</si>
  <si>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</si>
  <si>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</si>
  <si>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</si>
  <si>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</si>
  <si>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</si>
  <si>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</si>
  <si>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</si>
  <si>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</si>
  <si>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</si>
  <si>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</si>
  <si>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</si>
  <si>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</si>
  <si>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</si>
  <si>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</si>
  <si>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</si>
  <si>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</si>
  <si>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</si>
  <si>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</si>
  <si>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</si>
  <si>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0512</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</si>
  <si>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</si>
  <si>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</si>
  <si>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</si>
  <si>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</si>
  <si>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</si>
  <si>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 xml:space="preserve">Допомога до досягнення дитиною трирічного віку </t>
  </si>
  <si>
    <t>250301</t>
  </si>
  <si>
    <t>Реверсна дотація</t>
  </si>
  <si>
    <t>250315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</si>
  <si>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</si>
  <si>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</si>
  <si>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Найменування
згідно з типовою відомчою / тимчасовою класифікацією видатків та кредитування місцевого бюджету</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</si>
  <si>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</si>
  <si>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</si>
  <si>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</si>
  <si>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</si>
  <si>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</si>
  <si>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</si>
  <si>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090417</t>
  </si>
  <si>
    <t>Витрати на поховання учасників бойових дій та інвалідів війни</t>
  </si>
  <si>
    <t>10303</t>
  </si>
  <si>
    <t>091212</t>
  </si>
  <si>
    <t>Обробка інформації з нарахування та виплати допомог і компенсацій</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</si>
  <si>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</si>
  <si>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</si>
  <si>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</si>
  <si>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</si>
  <si>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081009</t>
  </si>
  <si>
    <t>Забезпечення централізованих заходів з лікування хворих на цукровий та нецукровий діабет</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</si>
  <si>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</si>
  <si>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</si>
  <si>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</si>
  <si>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</si>
  <si>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</si>
  <si>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</si>
  <si>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</si>
  <si>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</si>
  <si>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</si>
  <si>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</si>
  <si>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</si>
  <si>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</si>
  <si>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</si>
  <si>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</si>
  <si>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</si>
  <si>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</si>
  <si>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</si>
  <si>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</si>
  <si>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</si>
  <si>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</si>
  <si>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</si>
  <si>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</si>
  <si>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</si>
  <si>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</si>
  <si>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</si>
  <si>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</si>
  <si>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</si>
  <si>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</si>
  <si>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</si>
  <si>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Затверджено по бюджету з урахуванням змін</t>
  </si>
  <si>
    <t>Касові видатки</t>
  </si>
  <si>
    <t>120300</t>
  </si>
  <si>
    <t>0830</t>
  </si>
  <si>
    <t>Книговидання</t>
  </si>
  <si>
    <t>200600</t>
  </si>
  <si>
    <t>150202</t>
  </si>
  <si>
    <t>0443</t>
  </si>
  <si>
    <t>Розробка схем та проектних рішень масового застосування</t>
  </si>
  <si>
    <t>200000</t>
  </si>
  <si>
    <t>Охорона навколишнього природного середовища та ядерна безпека</t>
  </si>
  <si>
    <t>120000</t>
  </si>
  <si>
    <t>Засоби масової інформації</t>
  </si>
  <si>
    <t>090501</t>
  </si>
  <si>
    <t>1050</t>
  </si>
  <si>
    <t>Організація та проведення громадських робіт</t>
  </si>
  <si>
    <t>170101</t>
  </si>
  <si>
    <t>170601</t>
  </si>
  <si>
    <t>Регулювання цін на послуги місцевого автотранспорту</t>
  </si>
  <si>
    <t>Регулювання цін на послуги міського електротранспорту</t>
  </si>
  <si>
    <t>100208</t>
  </si>
  <si>
    <t>620</t>
  </si>
  <si>
    <t>Видатки на впровадження засобів обліку витрат та регулювання споживання води та теплової енергії</t>
  </si>
  <si>
    <t>170103</t>
  </si>
  <si>
    <t>Інші заходи у сфері автомобільного транспорту</t>
  </si>
  <si>
    <t>070501</t>
  </si>
  <si>
    <t>Професійно - технічні заклади</t>
  </si>
  <si>
    <t>0930</t>
  </si>
  <si>
    <t>100101</t>
  </si>
  <si>
    <t>Житлово-експлуатаційне господарство</t>
  </si>
  <si>
    <t>230000</t>
  </si>
  <si>
    <t>0170</t>
  </si>
  <si>
    <t>Обслуговування боргу</t>
  </si>
  <si>
    <t>% виконання до затвердженого по бюджету</t>
  </si>
  <si>
    <t>% вико-нання до затвердженого по бюджету</t>
  </si>
  <si>
    <t>0451</t>
  </si>
  <si>
    <t>0453</t>
  </si>
  <si>
    <t>250344</t>
  </si>
  <si>
    <t>Субвенція з місцевого бюджету державному бюджету на виконання програм соціально-економічного та культурного розвитку регіонів</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</si>
  <si>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</si>
  <si>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</si>
  <si>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</si>
  <si>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</si>
  <si>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</si>
  <si>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</si>
  <si>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</si>
  <si>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</si>
  <si>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</si>
  <si>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</si>
  <si>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45 Департамент забезпечення ресурсних платежів Сумської міської ради</t>
  </si>
  <si>
    <t>150201</t>
  </si>
  <si>
    <t>Збереження, розвиток, реконструкція та реставрація пам'яток історії та культури</t>
  </si>
  <si>
    <t>240603</t>
  </si>
  <si>
    <t>0513</t>
  </si>
  <si>
    <t>Ліквідація іншого забруднення навколишнього природного середовища</t>
  </si>
  <si>
    <t>48 Управління архітектури та містобудування Сумської міської ради</t>
  </si>
  <si>
    <t xml:space="preserve">15 Департамент соціального захисту населення Сумської міської ради </t>
  </si>
  <si>
    <t>76 Департамент фінансів, економіки та інвестицій  Сумської міської ради (в частині міжбюджетних трансфертів, резервного фонду)</t>
  </si>
  <si>
    <t>75 Департамент фінансів, економіки та інвестицій Сумської міської ради</t>
  </si>
  <si>
    <t>до  виконавчого комітету</t>
  </si>
  <si>
    <t>Звіт про виконання видаткової частини міського бюджету міста Суми                                                                                                                                                                                                                                                                                                                                                           за 9 місяців 2016 року за головними розпорядниками коштів</t>
  </si>
  <si>
    <t xml:space="preserve">Звіт про виконання видаткової частини міського бюджету міста Суми                                                                                                                                                                                                                                                                                                                                                           за 9 місяців 2016 року за тимчасовою класифікацією видатків та кредитування місцевих бюджетів                                                                                                                                                                          </t>
  </si>
  <si>
    <t>Капітальні вкладення</t>
  </si>
  <si>
    <t>46 Управління «Інспекція державного архітектурно - будівельного контролю» Сумської міської ради</t>
  </si>
  <si>
    <t>Директор департаменту фінансів, економіки та інвестицій</t>
  </si>
  <si>
    <t>С.А. Липова</t>
  </si>
  <si>
    <t xml:space="preserve">                                  С.А. Липова</t>
  </si>
  <si>
    <t>10</t>
  </si>
  <si>
    <t>11</t>
  </si>
  <si>
    <t>12</t>
  </si>
  <si>
    <t>13</t>
  </si>
  <si>
    <t>14</t>
  </si>
  <si>
    <t>15</t>
  </si>
  <si>
    <t>16</t>
  </si>
  <si>
    <t>23</t>
  </si>
  <si>
    <t xml:space="preserve">                Додаток 2</t>
  </si>
  <si>
    <t xml:space="preserve">                Додаток 3</t>
  </si>
  <si>
    <t>від 15.11.2016 №  594</t>
  </si>
  <si>
    <t>від 15.11.2016 № 594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</si>
</sst>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000"/>
    <numFmt numFmtId="194" formatCode="#,##0.00_ ;\-#,##0.00\ "/>
    <numFmt numFmtId="195" formatCode="#,##0.00&quot;₴&quot;"/>
  </numFmts>
  <fonts count="63">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10"/>
      <name val="Arial"/>
      <family val="0"/>
    </font>
    <font>
      <b/>
      <sz val="20"/>
      <name val="Times New Roman"/>
      <family val="0"/>
    </font>
    <font>
      <sz val="12"/>
      <name val="Times New Roman"/>
      <family val="0"/>
    </font>
    <font>
      <sz val="12"/>
      <color indexed="10"/>
      <name val="Times New Roman"/>
      <family val="0"/>
    </font>
    <font>
      <b/>
      <sz val="12"/>
      <name val="Times New Roman"/>
      <family val="0"/>
    </font>
    <font>
      <b/>
      <sz val="12"/>
      <color indexed="10"/>
      <name val="Times New Roman"/>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46" fillId="3" borderId="0" applyNumberFormat="0" applyBorder="0" applyAlignment="0" applyProtection="0"/>
    <xf numFmtId="0" fontId="15" fillId="4" borderId="0" applyNumberFormat="0" applyBorder="0" applyAlignment="0" applyProtection="0"/>
    <xf numFmtId="0" fontId="46" fillId="5" borderId="0" applyNumberFormat="0" applyBorder="0" applyAlignment="0" applyProtection="0"/>
    <xf numFmtId="0" fontId="15" fillId="6" borderId="0" applyNumberFormat="0" applyBorder="0" applyAlignment="0" applyProtection="0"/>
    <xf numFmtId="0" fontId="46" fillId="7" borderId="0" applyNumberFormat="0" applyBorder="0" applyAlignment="0" applyProtection="0"/>
    <xf numFmtId="0" fontId="15" fillId="8" borderId="0" applyNumberFormat="0" applyBorder="0" applyAlignment="0" applyProtection="0"/>
    <xf numFmtId="0" fontId="46" fillId="9" borderId="0" applyNumberFormat="0" applyBorder="0" applyAlignment="0" applyProtection="0"/>
    <xf numFmtId="0" fontId="15" fillId="10" borderId="0" applyNumberFormat="0" applyBorder="0" applyAlignment="0" applyProtection="0"/>
    <xf numFmtId="0" fontId="46" fillId="11" borderId="0" applyNumberFormat="0" applyBorder="0" applyAlignment="0" applyProtection="0"/>
    <xf numFmtId="0" fontId="15" fillId="12" borderId="0" applyNumberFormat="0" applyBorder="0" applyAlignment="0" applyProtection="0"/>
    <xf numFmtId="0" fontId="46" fillId="13" borderId="0" applyNumberFormat="0" applyBorder="0" applyAlignment="0" applyProtection="0"/>
    <xf numFmtId="0" fontId="15" fillId="14" borderId="0" applyNumberFormat="0" applyBorder="0" applyAlignment="0" applyProtection="0"/>
    <xf numFmtId="0" fontId="46" fillId="15" borderId="0" applyNumberFormat="0" applyBorder="0" applyAlignment="0" applyProtection="0"/>
    <xf numFmtId="0" fontId="15" fillId="16" borderId="0" applyNumberFormat="0" applyBorder="0" applyAlignment="0" applyProtection="0"/>
    <xf numFmtId="0" fontId="46" fillId="17" borderId="0" applyNumberFormat="0" applyBorder="0" applyAlignment="0" applyProtection="0"/>
    <xf numFmtId="0" fontId="15" fillId="18" borderId="0" applyNumberFormat="0" applyBorder="0" applyAlignment="0" applyProtection="0"/>
    <xf numFmtId="0" fontId="46" fillId="19" borderId="0" applyNumberFormat="0" applyBorder="0" applyAlignment="0" applyProtection="0"/>
    <xf numFmtId="0" fontId="15" fillId="8" borderId="0" applyNumberFormat="0" applyBorder="0" applyAlignment="0" applyProtection="0"/>
    <xf numFmtId="0" fontId="46" fillId="20" borderId="0" applyNumberFormat="0" applyBorder="0" applyAlignment="0" applyProtection="0"/>
    <xf numFmtId="0" fontId="15" fillId="14" borderId="0" applyNumberFormat="0" applyBorder="0" applyAlignment="0" applyProtection="0"/>
    <xf numFmtId="0" fontId="46" fillId="21" borderId="0" applyNumberFormat="0" applyBorder="0" applyAlignment="0" applyProtection="0"/>
    <xf numFmtId="0" fontId="15" fillId="22" borderId="0" applyNumberFormat="0" applyBorder="0" applyAlignment="0" applyProtection="0"/>
    <xf numFmtId="0" fontId="46" fillId="23" borderId="0" applyNumberFormat="0" applyBorder="0" applyAlignment="0" applyProtection="0"/>
    <xf numFmtId="0" fontId="14" fillId="24" borderId="0" applyNumberFormat="0" applyBorder="0" applyAlignment="0" applyProtection="0"/>
    <xf numFmtId="0" fontId="47" fillId="25" borderId="0" applyNumberFormat="0" applyBorder="0" applyAlignment="0" applyProtection="0"/>
    <xf numFmtId="0" fontId="14" fillId="16" borderId="0" applyNumberFormat="0" applyBorder="0" applyAlignment="0" applyProtection="0"/>
    <xf numFmtId="0" fontId="47" fillId="26" borderId="0" applyNumberFormat="0" applyBorder="0" applyAlignment="0" applyProtection="0"/>
    <xf numFmtId="0" fontId="14" fillId="18" borderId="0" applyNumberFormat="0" applyBorder="0" applyAlignment="0" applyProtection="0"/>
    <xf numFmtId="0" fontId="47" fillId="27" borderId="0" applyNumberFormat="0" applyBorder="0" applyAlignment="0" applyProtection="0"/>
    <xf numFmtId="0" fontId="14" fillId="28" borderId="0" applyNumberFormat="0" applyBorder="0" applyAlignment="0" applyProtection="0"/>
    <xf numFmtId="0" fontId="47" fillId="29" borderId="0" applyNumberFormat="0" applyBorder="0" applyAlignment="0" applyProtection="0"/>
    <xf numFmtId="0" fontId="14" fillId="30" borderId="0" applyNumberFormat="0" applyBorder="0" applyAlignment="0" applyProtection="0"/>
    <xf numFmtId="0" fontId="47" fillId="31" borderId="0" applyNumberFormat="0" applyBorder="0" applyAlignment="0" applyProtection="0"/>
    <xf numFmtId="0" fontId="14" fillId="32" borderId="0" applyNumberFormat="0" applyBorder="0" applyAlignment="0" applyProtection="0"/>
    <xf numFmtId="0" fontId="47" fillId="33" borderId="0" applyNumberFormat="0" applyBorder="0" applyAlignment="0" applyProtection="0"/>
    <xf numFmtId="0" fontId="21" fillId="0" borderId="0">
      <alignment/>
      <protection/>
    </xf>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8" fillId="44" borderId="1" applyNumberFormat="0" applyAlignment="0" applyProtection="0"/>
    <xf numFmtId="0" fontId="8" fillId="12" borderId="2" applyNumberFormat="0" applyAlignment="0" applyProtection="0"/>
    <xf numFmtId="0" fontId="9" fillId="45" borderId="3" applyNumberFormat="0" applyAlignment="0" applyProtection="0"/>
    <xf numFmtId="0" fontId="16" fillId="45" borderId="2"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9" fillId="46"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53" fillId="0" borderId="7" applyNumberFormat="0" applyFill="0" applyAlignment="0" applyProtection="0"/>
    <xf numFmtId="0" fontId="13" fillId="0" borderId="8" applyNumberFormat="0" applyFill="0" applyAlignment="0" applyProtection="0"/>
    <xf numFmtId="0" fontId="54" fillId="47" borderId="9" applyNumberFormat="0" applyAlignment="0" applyProtection="0"/>
    <xf numFmtId="0" fontId="11" fillId="48" borderId="10" applyNumberFormat="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18" fillId="49" borderId="0" applyNumberFormat="0" applyBorder="0" applyAlignment="0" applyProtection="0"/>
    <xf numFmtId="0" fontId="56" fillId="50" borderId="1" applyNumberFormat="0" applyAlignment="0" applyProtection="0"/>
    <xf numFmtId="0" fontId="21" fillId="0" borderId="0">
      <alignment/>
      <protection/>
    </xf>
    <xf numFmtId="0" fontId="34" fillId="0" borderId="0">
      <alignment/>
      <protection/>
    </xf>
    <xf numFmtId="0" fontId="24" fillId="0" borderId="0" applyNumberFormat="0" applyFill="0" applyBorder="0" applyAlignment="0" applyProtection="0"/>
    <xf numFmtId="0" fontId="57" fillId="0" borderId="11" applyNumberFormat="0" applyFill="0" applyAlignment="0" applyProtection="0"/>
    <xf numFmtId="0" fontId="7" fillId="4" borderId="0" applyNumberFormat="0" applyBorder="0" applyAlignment="0" applyProtection="0"/>
    <xf numFmtId="0" fontId="58" fillId="51" borderId="0" applyNumberFormat="0" applyBorder="0" applyAlignment="0" applyProtection="0"/>
    <xf numFmtId="0" fontId="12" fillId="0" borderId="0" applyNumberFormat="0" applyFill="0" applyBorder="0" applyAlignment="0" applyProtection="0"/>
    <xf numFmtId="0" fontId="15"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9" fillId="50" borderId="14" applyNumberFormat="0" applyAlignment="0" applyProtection="0"/>
    <xf numFmtId="0" fontId="19" fillId="0" borderId="15" applyNumberFormat="0" applyFill="0" applyAlignment="0" applyProtection="0"/>
    <xf numFmtId="0" fontId="60" fillId="54" borderId="0" applyNumberFormat="0" applyBorder="0" applyAlignment="0" applyProtection="0"/>
    <xf numFmtId="0" fontId="20"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6" borderId="0" applyNumberFormat="0" applyBorder="0" applyAlignment="0" applyProtection="0"/>
  </cellStyleXfs>
  <cellXfs count="207">
    <xf numFmtId="0" fontId="0" fillId="0" borderId="0" xfId="0" applyAlignment="1">
      <alignment/>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6"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7" fillId="0" borderId="0" xfId="0" applyNumberFormat="1" applyFont="1" applyFill="1" applyAlignment="1" applyProtection="1">
      <alignment/>
      <protection/>
    </xf>
    <xf numFmtId="3" fontId="27" fillId="0" borderId="0" xfId="0" applyNumberFormat="1" applyFont="1" applyFill="1" applyBorder="1" applyAlignment="1">
      <alignment vertical="center" wrapText="1"/>
    </xf>
    <xf numFmtId="0" fontId="27" fillId="0" borderId="0" xfId="0" applyFont="1" applyFill="1" applyAlignment="1">
      <alignment/>
    </xf>
    <xf numFmtId="3" fontId="28" fillId="0" borderId="0" xfId="0" applyNumberFormat="1" applyFont="1" applyFill="1" applyBorder="1" applyAlignment="1">
      <alignment horizontal="center" vertical="center" wrapText="1"/>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9" fillId="0" borderId="17" xfId="0" applyNumberFormat="1" applyFont="1" applyFill="1" applyBorder="1" applyAlignment="1" applyProtection="1">
      <alignment/>
      <protection/>
    </xf>
    <xf numFmtId="0" fontId="29" fillId="0" borderId="0" xfId="0" applyFont="1" applyFill="1" applyAlignment="1">
      <alignment/>
    </xf>
    <xf numFmtId="0" fontId="29" fillId="0" borderId="18" xfId="0" applyNumberFormat="1" applyFont="1" applyFill="1" applyBorder="1" applyAlignment="1" applyProtection="1">
      <alignment/>
      <protection/>
    </xf>
    <xf numFmtId="0" fontId="29" fillId="0" borderId="19"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9" fillId="0" borderId="0" xfId="0" applyNumberFormat="1" applyFont="1" applyFill="1" applyAlignment="1" applyProtection="1">
      <alignment vertical="center"/>
      <protection/>
    </xf>
    <xf numFmtId="0" fontId="30" fillId="0" borderId="20" xfId="0" applyFont="1" applyFill="1" applyBorder="1" applyAlignment="1">
      <alignment vertical="center" wrapText="1"/>
    </xf>
    <xf numFmtId="0" fontId="29" fillId="0" borderId="0" xfId="0" applyFont="1" applyFill="1" applyAlignment="1">
      <alignment vertical="center"/>
    </xf>
    <xf numFmtId="49" fontId="29" fillId="0" borderId="21" xfId="0" applyNumberFormat="1" applyFont="1" applyFill="1" applyBorder="1" applyAlignment="1">
      <alignment horizontal="center" vertical="center"/>
    </xf>
    <xf numFmtId="0" fontId="29" fillId="0" borderId="21" xfId="0" applyFont="1" applyFill="1" applyBorder="1" applyAlignment="1">
      <alignment horizontal="left" vertical="center" wrapText="1"/>
    </xf>
    <xf numFmtId="0" fontId="29" fillId="0" borderId="0" xfId="0" applyFont="1" applyFill="1" applyAlignment="1">
      <alignment vertical="center" wrapText="1"/>
    </xf>
    <xf numFmtId="49" fontId="29" fillId="0" borderId="21" xfId="0" applyNumberFormat="1" applyFont="1" applyFill="1" applyBorder="1" applyAlignment="1">
      <alignment horizontal="center" vertical="center" wrapText="1"/>
    </xf>
    <xf numFmtId="49" fontId="30" fillId="0" borderId="21" xfId="0" applyNumberFormat="1" applyFont="1" applyFill="1" applyBorder="1" applyAlignment="1">
      <alignment horizontal="center" vertical="center"/>
    </xf>
    <xf numFmtId="0" fontId="30" fillId="0" borderId="21" xfId="0" applyFont="1" applyFill="1" applyBorder="1" applyAlignment="1">
      <alignment horizontal="left" vertical="center" wrapText="1"/>
    </xf>
    <xf numFmtId="49" fontId="29" fillId="0" borderId="21" xfId="0" applyNumberFormat="1" applyFont="1" applyFill="1" applyBorder="1" applyAlignment="1">
      <alignment horizontal="center" vertical="center"/>
    </xf>
    <xf numFmtId="0" fontId="29" fillId="0" borderId="21" xfId="0" applyFont="1" applyFill="1" applyBorder="1" applyAlignment="1">
      <alignment horizontal="left" vertical="center" wrapText="1"/>
    </xf>
    <xf numFmtId="49" fontId="29" fillId="0" borderId="22" xfId="0" applyNumberFormat="1" applyFont="1" applyFill="1" applyBorder="1" applyAlignment="1">
      <alignment horizontal="center" vertical="center"/>
    </xf>
    <xf numFmtId="49" fontId="29" fillId="0" borderId="23" xfId="0" applyNumberFormat="1" applyFont="1" applyFill="1" applyBorder="1" applyAlignment="1">
      <alignment vertical="center"/>
    </xf>
    <xf numFmtId="0" fontId="29" fillId="0" borderId="21" xfId="0" applyFont="1" applyFill="1" applyBorder="1" applyAlignment="1">
      <alignment vertical="center" wrapText="1"/>
    </xf>
    <xf numFmtId="4" fontId="29" fillId="0" borderId="21" xfId="95" applyNumberFormat="1" applyFont="1" applyFill="1" applyBorder="1" applyAlignment="1">
      <alignment vertical="center"/>
      <protection/>
    </xf>
    <xf numFmtId="4" fontId="30" fillId="0" borderId="21" xfId="95" applyNumberFormat="1" applyFont="1" applyFill="1" applyBorder="1" applyAlignment="1">
      <alignment vertical="center"/>
      <protection/>
    </xf>
    <xf numFmtId="49" fontId="5" fillId="0" borderId="21"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2" fillId="0" borderId="16" xfId="0" applyNumberFormat="1" applyFont="1" applyFill="1" applyBorder="1" applyAlignment="1" applyProtection="1">
      <alignment horizontal="right" vertical="center"/>
      <protection/>
    </xf>
    <xf numFmtId="0" fontId="33" fillId="0" borderId="0" xfId="0" applyFont="1" applyFill="1" applyAlignment="1">
      <alignment vertical="center"/>
    </xf>
    <xf numFmtId="0" fontId="33" fillId="0" borderId="0" xfId="0" applyFont="1" applyFill="1" applyAlignment="1">
      <alignment vertical="center"/>
    </xf>
    <xf numFmtId="0" fontId="33" fillId="0" borderId="0" xfId="0" applyNumberFormat="1" applyFont="1" applyFill="1" applyAlignment="1" applyProtection="1">
      <alignment/>
      <protection/>
    </xf>
    <xf numFmtId="0" fontId="33" fillId="0" borderId="0" xfId="0" applyFont="1" applyFill="1" applyAlignment="1">
      <alignment/>
    </xf>
    <xf numFmtId="49" fontId="32" fillId="0" borderId="0" xfId="0" applyNumberFormat="1" applyFont="1" applyFill="1" applyAlignment="1">
      <alignment horizontal="center" vertical="center" textRotation="180" wrapText="1"/>
    </xf>
    <xf numFmtId="4" fontId="29" fillId="0" borderId="0" xfId="0" applyNumberFormat="1" applyFont="1" applyFill="1" applyAlignment="1">
      <alignment vertical="center"/>
    </xf>
    <xf numFmtId="0" fontId="29" fillId="0" borderId="20" xfId="0" applyNumberFormat="1" applyFont="1" applyFill="1" applyBorder="1" applyAlignment="1" applyProtection="1">
      <alignment horizontal="center" vertical="center" wrapText="1"/>
      <protection/>
    </xf>
    <xf numFmtId="49" fontId="30" fillId="0" borderId="21" xfId="105" applyNumberFormat="1" applyFont="1" applyFill="1" applyBorder="1" applyAlignment="1">
      <alignment horizontal="center" vertical="center" wrapText="1"/>
      <protection/>
    </xf>
    <xf numFmtId="0" fontId="30" fillId="0" borderId="21" xfId="105" applyFont="1" applyFill="1" applyBorder="1" applyAlignment="1">
      <alignment horizontal="left" vertical="center" wrapText="1"/>
      <protection/>
    </xf>
    <xf numFmtId="0" fontId="29" fillId="0" borderId="21" xfId="105" applyFont="1" applyFill="1" applyBorder="1" applyAlignment="1">
      <alignment horizontal="left" vertical="center" wrapText="1"/>
      <protection/>
    </xf>
    <xf numFmtId="0" fontId="30" fillId="0" borderId="21" xfId="105" applyFont="1" applyFill="1" applyBorder="1" applyAlignment="1">
      <alignment horizontal="center" vertical="center" wrapText="1"/>
      <protection/>
    </xf>
    <xf numFmtId="4" fontId="29" fillId="0" borderId="20" xfId="0" applyNumberFormat="1" applyFont="1" applyFill="1" applyBorder="1" applyAlignment="1" applyProtection="1">
      <alignment horizontal="right" vertical="center" wrapText="1"/>
      <protection/>
    </xf>
    <xf numFmtId="49" fontId="29" fillId="0" borderId="20" xfId="0" applyNumberFormat="1" applyFont="1" applyFill="1" applyBorder="1" applyAlignment="1">
      <alignment vertical="center"/>
    </xf>
    <xf numFmtId="0" fontId="29" fillId="0" borderId="18" xfId="0" applyFont="1" applyFill="1" applyBorder="1" applyAlignment="1">
      <alignment vertical="top" wrapText="1"/>
    </xf>
    <xf numFmtId="0" fontId="29" fillId="0" borderId="19" xfId="0" applyFont="1" applyFill="1" applyBorder="1" applyAlignment="1">
      <alignment vertical="top" wrapText="1"/>
    </xf>
    <xf numFmtId="4" fontId="29" fillId="0" borderId="23" xfId="0" applyNumberFormat="1" applyFont="1" applyFill="1" applyBorder="1" applyAlignment="1" applyProtection="1">
      <alignment horizontal="right" vertical="center" wrapText="1"/>
      <protection/>
    </xf>
    <xf numFmtId="0" fontId="33" fillId="0" borderId="0" xfId="0" applyFont="1" applyFill="1" applyAlignment="1">
      <alignment horizontal="center" vertical="center"/>
    </xf>
    <xf numFmtId="0" fontId="0" fillId="0" borderId="0" xfId="0" applyFont="1" applyFill="1" applyBorder="1" applyAlignment="1">
      <alignment horizontal="center"/>
    </xf>
    <xf numFmtId="4" fontId="29" fillId="0" borderId="22" xfId="95" applyNumberFormat="1" applyFont="1" applyFill="1" applyBorder="1" applyAlignment="1">
      <alignment vertical="center"/>
      <protection/>
    </xf>
    <xf numFmtId="4" fontId="30" fillId="0" borderId="21" xfId="95" applyNumberFormat="1" applyFont="1" applyFill="1" applyBorder="1" applyAlignment="1">
      <alignment horizontal="right" vertical="center"/>
      <protection/>
    </xf>
    <xf numFmtId="3" fontId="35" fillId="0" borderId="0" xfId="0" applyNumberFormat="1" applyFont="1" applyFill="1" applyBorder="1" applyAlignment="1">
      <alignment horizontal="center" vertical="center" wrapText="1"/>
    </xf>
    <xf numFmtId="4" fontId="27" fillId="0" borderId="0" xfId="0" applyNumberFormat="1" applyFont="1" applyFill="1" applyBorder="1" applyAlignment="1">
      <alignment horizontal="center" vertical="center" wrapText="1"/>
    </xf>
    <xf numFmtId="4" fontId="27" fillId="0" borderId="0" xfId="0" applyNumberFormat="1" applyFont="1" applyFill="1" applyAlignment="1" applyProtection="1">
      <alignment/>
      <protection/>
    </xf>
    <xf numFmtId="49" fontId="30" fillId="0" borderId="21" xfId="0" applyNumberFormat="1" applyFont="1" applyFill="1" applyBorder="1" applyAlignment="1">
      <alignment horizontal="center" vertical="center" wrapText="1"/>
    </xf>
    <xf numFmtId="192" fontId="29" fillId="0" borderId="20" xfId="0" applyNumberFormat="1" applyFont="1" applyFill="1" applyBorder="1" applyAlignment="1" applyProtection="1">
      <alignment horizontal="right" vertical="center" wrapText="1"/>
      <protection/>
    </xf>
    <xf numFmtId="192" fontId="29" fillId="0" borderId="22" xfId="0" applyNumberFormat="1" applyFont="1" applyFill="1" applyBorder="1" applyAlignment="1" applyProtection="1">
      <alignment horizontal="right" vertical="center" wrapText="1"/>
      <protection/>
    </xf>
    <xf numFmtId="192" fontId="29" fillId="0" borderId="23" xfId="0" applyNumberFormat="1" applyFont="1" applyFill="1" applyBorder="1" applyAlignment="1" applyProtection="1">
      <alignment horizontal="right" vertical="center" wrapText="1"/>
      <protection/>
    </xf>
    <xf numFmtId="192" fontId="33" fillId="0" borderId="0" xfId="0" applyNumberFormat="1" applyFont="1" applyFill="1" applyBorder="1" applyAlignment="1">
      <alignment horizontal="center" vertical="center" wrapText="1"/>
    </xf>
    <xf numFmtId="192" fontId="27" fillId="0" borderId="0" xfId="0" applyNumberFormat="1" applyFont="1" applyFill="1" applyBorder="1" applyAlignment="1">
      <alignment horizontal="center" vertical="center" wrapText="1"/>
    </xf>
    <xf numFmtId="192" fontId="28" fillId="0" borderId="0" xfId="0" applyNumberFormat="1" applyFont="1" applyFill="1" applyBorder="1" applyAlignment="1">
      <alignment horizontal="center" vertical="center" wrapText="1"/>
    </xf>
    <xf numFmtId="192" fontId="27" fillId="0" borderId="0" xfId="0" applyNumberFormat="1" applyFont="1" applyFill="1" applyAlignment="1">
      <alignment/>
    </xf>
    <xf numFmtId="192" fontId="27" fillId="0" borderId="0" xfId="0" applyNumberFormat="1" applyFont="1" applyFill="1" applyAlignment="1" applyProtection="1">
      <alignment/>
      <protection/>
    </xf>
    <xf numFmtId="4" fontId="33" fillId="0" borderId="0" xfId="0" applyNumberFormat="1" applyFont="1" applyFill="1" applyBorder="1" applyAlignment="1">
      <alignment horizontal="center" vertical="center" wrapText="1"/>
    </xf>
    <xf numFmtId="4" fontId="33" fillId="0" borderId="0" xfId="0" applyNumberFormat="1" applyFont="1" applyFill="1" applyBorder="1" applyAlignment="1" applyProtection="1">
      <alignment vertical="center" wrapText="1"/>
      <protection/>
    </xf>
    <xf numFmtId="4" fontId="27" fillId="0" borderId="0" xfId="0" applyNumberFormat="1" applyFont="1" applyFill="1" applyBorder="1" applyAlignment="1">
      <alignment horizontal="left" vertical="center" wrapText="1"/>
    </xf>
    <xf numFmtId="4" fontId="28" fillId="0" borderId="0" xfId="0" applyNumberFormat="1" applyFont="1" applyFill="1" applyBorder="1" applyAlignment="1">
      <alignment horizontal="center" vertical="center" wrapText="1"/>
    </xf>
    <xf numFmtId="192" fontId="30" fillId="0" borderId="21" xfId="95" applyNumberFormat="1" applyFont="1" applyFill="1" applyBorder="1" applyAlignment="1">
      <alignment vertical="center"/>
      <protection/>
    </xf>
    <xf numFmtId="192" fontId="0" fillId="0" borderId="0" xfId="0" applyNumberFormat="1" applyFont="1" applyFill="1" applyAlignment="1" applyProtection="1">
      <alignment/>
      <protection/>
    </xf>
    <xf numFmtId="192" fontId="0" fillId="0" borderId="0" xfId="0" applyNumberFormat="1" applyFont="1" applyFill="1" applyAlignment="1" applyProtection="1">
      <alignment/>
      <protection/>
    </xf>
    <xf numFmtId="0" fontId="29" fillId="0" borderId="17" xfId="0" applyFont="1" applyFill="1" applyBorder="1" applyAlignment="1">
      <alignment horizontal="left" vertical="center" wrapText="1"/>
    </xf>
    <xf numFmtId="0" fontId="33" fillId="0" borderId="0" xfId="0" applyFont="1" applyFill="1" applyAlignment="1">
      <alignment horizontal="left" vertical="center"/>
    </xf>
    <xf numFmtId="0" fontId="29" fillId="0" borderId="0" xfId="0" applyFont="1" applyFill="1" applyAlignment="1">
      <alignment horizontal="left" vertical="center"/>
    </xf>
    <xf numFmtId="4" fontId="29" fillId="0" borderId="0" xfId="0" applyNumberFormat="1" applyFont="1" applyFill="1" applyAlignment="1">
      <alignment horizontal="left" vertical="center"/>
    </xf>
    <xf numFmtId="0" fontId="27" fillId="0" borderId="0" xfId="0" applyFont="1" applyFill="1" applyAlignment="1">
      <alignment horizontal="left" vertical="center"/>
    </xf>
    <xf numFmtId="0" fontId="26" fillId="0" borderId="0" xfId="0" applyFont="1" applyFill="1" applyAlignment="1">
      <alignment horizontal="left" vertical="center"/>
    </xf>
    <xf numFmtId="4"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192" fontId="0" fillId="0" borderId="0" xfId="0" applyNumberFormat="1" applyFont="1" applyFill="1" applyAlignment="1" applyProtection="1">
      <alignment/>
      <protection/>
    </xf>
    <xf numFmtId="4" fontId="0" fillId="0" borderId="0" xfId="0" applyNumberFormat="1" applyFont="1" applyFill="1" applyBorder="1" applyAlignment="1">
      <alignment horizontal="center" vertical="center" wrapText="1"/>
    </xf>
    <xf numFmtId="49" fontId="29" fillId="0" borderId="22" xfId="0" applyNumberFormat="1" applyFont="1" applyFill="1" applyBorder="1" applyAlignment="1">
      <alignment vertical="center"/>
    </xf>
    <xf numFmtId="4" fontId="29" fillId="0" borderId="22" xfId="0" applyNumberFormat="1" applyFont="1" applyFill="1" applyBorder="1" applyAlignment="1" applyProtection="1">
      <alignment vertical="center" wrapText="1"/>
      <protection/>
    </xf>
    <xf numFmtId="4" fontId="29" fillId="0" borderId="23" xfId="0" applyNumberFormat="1" applyFont="1" applyFill="1" applyBorder="1" applyAlignment="1" applyProtection="1">
      <alignment vertical="center" wrapText="1"/>
      <protection/>
    </xf>
    <xf numFmtId="4" fontId="29" fillId="0" borderId="20" xfId="0" applyNumberFormat="1" applyFont="1" applyFill="1" applyBorder="1" applyAlignment="1" applyProtection="1">
      <alignment vertical="center" wrapText="1"/>
      <protection/>
    </xf>
    <xf numFmtId="192" fontId="29" fillId="0" borderId="22" xfId="0" applyNumberFormat="1" applyFont="1" applyFill="1" applyBorder="1" applyAlignment="1" applyProtection="1">
      <alignment vertical="center" wrapText="1"/>
      <protection/>
    </xf>
    <xf numFmtId="192" fontId="29" fillId="0" borderId="23" xfId="0" applyNumberFormat="1" applyFont="1" applyFill="1" applyBorder="1" applyAlignment="1" applyProtection="1">
      <alignment vertical="center" wrapText="1"/>
      <protection/>
    </xf>
    <xf numFmtId="192" fontId="29" fillId="0" borderId="20" xfId="0" applyNumberFormat="1" applyFont="1" applyFill="1" applyBorder="1" applyAlignment="1" applyProtection="1">
      <alignment vertical="center" wrapText="1"/>
      <protection/>
    </xf>
    <xf numFmtId="0" fontId="0" fillId="0" borderId="0" xfId="0" applyFont="1" applyFill="1" applyAlignment="1">
      <alignment horizontal="left" vertical="center"/>
    </xf>
    <xf numFmtId="192" fontId="30" fillId="0" borderId="20" xfId="0" applyNumberFormat="1" applyFont="1" applyFill="1" applyBorder="1" applyAlignment="1" applyProtection="1">
      <alignment horizontal="right" vertical="center" wrapText="1"/>
      <protection/>
    </xf>
    <xf numFmtId="4" fontId="30" fillId="0" borderId="20" xfId="0" applyNumberFormat="1" applyFont="1" applyFill="1" applyBorder="1" applyAlignment="1" applyProtection="1">
      <alignment horizontal="right" vertical="center" wrapText="1"/>
      <protection/>
    </xf>
    <xf numFmtId="49" fontId="29" fillId="0" borderId="21" xfId="105" applyNumberFormat="1" applyFont="1" applyFill="1" applyBorder="1" applyAlignment="1">
      <alignment horizontal="center" vertical="center" wrapText="1"/>
      <protection/>
    </xf>
    <xf numFmtId="0" fontId="30" fillId="0" borderId="0" xfId="0" applyNumberFormat="1" applyFont="1" applyFill="1" applyBorder="1" applyAlignment="1" applyProtection="1">
      <alignment/>
      <protection/>
    </xf>
    <xf numFmtId="0" fontId="30" fillId="0" borderId="0" xfId="0" applyFont="1" applyFill="1" applyAlignment="1">
      <alignment/>
    </xf>
    <xf numFmtId="3" fontId="36" fillId="0" borderId="0" xfId="0" applyNumberFormat="1" applyFont="1" applyFill="1" applyBorder="1" applyAlignment="1">
      <alignment horizontal="center" vertical="center" wrapText="1"/>
    </xf>
    <xf numFmtId="4" fontId="36" fillId="0" borderId="0" xfId="0" applyNumberFormat="1" applyFont="1" applyFill="1" applyBorder="1" applyAlignment="1">
      <alignment horizontal="center" vertical="center" wrapText="1"/>
    </xf>
    <xf numFmtId="4" fontId="30" fillId="0" borderId="20" xfId="0" applyNumberFormat="1" applyFont="1" applyFill="1" applyBorder="1" applyAlignment="1" applyProtection="1">
      <alignment horizontal="right" vertical="center" wrapText="1"/>
      <protection/>
    </xf>
    <xf numFmtId="4" fontId="36" fillId="0" borderId="22" xfId="95" applyNumberFormat="1" applyFont="1" applyFill="1" applyBorder="1" applyAlignment="1">
      <alignment vertical="center"/>
      <protection/>
    </xf>
    <xf numFmtId="0" fontId="36" fillId="0" borderId="0" xfId="0" applyNumberFormat="1" applyFont="1" applyFill="1" applyAlignment="1" applyProtection="1">
      <alignment/>
      <protection/>
    </xf>
    <xf numFmtId="0" fontId="37" fillId="0" borderId="0" xfId="0" applyNumberFormat="1" applyFont="1" applyFill="1" applyAlignment="1" applyProtection="1">
      <alignment/>
      <protection/>
    </xf>
    <xf numFmtId="4" fontId="37" fillId="0" borderId="0" xfId="0" applyNumberFormat="1" applyFont="1" applyFill="1" applyAlignment="1" applyProtection="1">
      <alignment/>
      <protection/>
    </xf>
    <xf numFmtId="0" fontId="36" fillId="0" borderId="0" xfId="0" applyFont="1" applyFill="1" applyAlignment="1">
      <alignment vertical="center"/>
    </xf>
    <xf numFmtId="0" fontId="37" fillId="0" borderId="0" xfId="0" applyFont="1" applyFill="1" applyAlignment="1">
      <alignment vertical="center"/>
    </xf>
    <xf numFmtId="0" fontId="36" fillId="0" borderId="0" xfId="0" applyFont="1" applyFill="1" applyAlignment="1">
      <alignment horizontal="center" vertical="center"/>
    </xf>
    <xf numFmtId="0" fontId="36" fillId="0" borderId="0" xfId="0" applyFont="1" applyFill="1" applyAlignment="1">
      <alignment vertical="center"/>
    </xf>
    <xf numFmtId="0" fontId="37" fillId="0" borderId="0" xfId="0" applyFont="1" applyFill="1" applyAlignment="1">
      <alignment vertical="center"/>
    </xf>
    <xf numFmtId="0" fontId="36" fillId="0" borderId="16" xfId="0" applyFont="1" applyFill="1" applyBorder="1" applyAlignment="1">
      <alignment horizontal="center"/>
    </xf>
    <xf numFmtId="0" fontId="38" fillId="0" borderId="16" xfId="0" applyNumberFormat="1" applyFont="1" applyFill="1" applyBorder="1" applyAlignment="1" applyProtection="1">
      <alignment horizontal="center" vertical="top"/>
      <protection/>
    </xf>
    <xf numFmtId="0" fontId="37" fillId="0" borderId="0" xfId="0" applyFont="1" applyFill="1" applyBorder="1" applyAlignment="1">
      <alignment horizontal="center"/>
    </xf>
    <xf numFmtId="4" fontId="37" fillId="0" borderId="0" xfId="0" applyNumberFormat="1" applyFont="1" applyFill="1" applyBorder="1" applyAlignment="1">
      <alignment horizontal="center"/>
    </xf>
    <xf numFmtId="0" fontId="36" fillId="0" borderId="0" xfId="0" applyFont="1" applyFill="1" applyBorder="1" applyAlignment="1">
      <alignment horizontal="center"/>
    </xf>
    <xf numFmtId="0" fontId="38" fillId="0" borderId="0" xfId="0" applyNumberFormat="1" applyFont="1" applyFill="1" applyAlignment="1" applyProtection="1">
      <alignment horizontal="center"/>
      <protection/>
    </xf>
    <xf numFmtId="0" fontId="36" fillId="0" borderId="0" xfId="0" applyFont="1" applyFill="1" applyAlignment="1">
      <alignment horizontal="center"/>
    </xf>
    <xf numFmtId="0" fontId="37" fillId="0" borderId="0" xfId="0" applyFont="1" applyFill="1" applyAlignment="1">
      <alignment horizontal="center"/>
    </xf>
    <xf numFmtId="0" fontId="36" fillId="0" borderId="16" xfId="0" applyNumberFormat="1" applyFont="1" applyFill="1" applyBorder="1" applyAlignment="1" applyProtection="1">
      <alignment horizontal="right" vertical="center"/>
      <protection/>
    </xf>
    <xf numFmtId="4" fontId="38" fillId="0" borderId="21" xfId="95" applyNumberFormat="1" applyFont="1" applyFill="1" applyBorder="1" applyAlignment="1">
      <alignment vertical="center"/>
      <protection/>
    </xf>
    <xf numFmtId="192" fontId="38" fillId="0" borderId="21" xfId="95" applyNumberFormat="1" applyFont="1" applyFill="1" applyBorder="1" applyAlignment="1">
      <alignment vertical="center"/>
      <protection/>
    </xf>
    <xf numFmtId="4" fontId="36" fillId="0" borderId="21" xfId="95" applyNumberFormat="1" applyFont="1" applyFill="1" applyBorder="1" applyAlignment="1">
      <alignment vertical="center"/>
      <protection/>
    </xf>
    <xf numFmtId="192" fontId="36" fillId="0" borderId="21" xfId="95" applyNumberFormat="1" applyFont="1" applyFill="1" applyBorder="1" applyAlignment="1">
      <alignment vertical="center"/>
      <protection/>
    </xf>
    <xf numFmtId="4" fontId="38" fillId="0" borderId="22" xfId="95" applyNumberFormat="1" applyFont="1" applyFill="1" applyBorder="1" applyAlignment="1">
      <alignment vertical="center"/>
      <protection/>
    </xf>
    <xf numFmtId="4" fontId="36" fillId="0" borderId="23" xfId="95" applyNumberFormat="1" applyFont="1" applyFill="1" applyBorder="1" applyAlignment="1">
      <alignment vertical="center"/>
      <protection/>
    </xf>
    <xf numFmtId="4" fontId="36" fillId="0" borderId="20" xfId="95" applyNumberFormat="1" applyFont="1" applyFill="1" applyBorder="1" applyAlignment="1">
      <alignment vertical="center"/>
      <protection/>
    </xf>
    <xf numFmtId="4" fontId="36" fillId="0" borderId="21" xfId="95" applyNumberFormat="1" applyFont="1" applyFill="1" applyBorder="1" applyAlignment="1">
      <alignment horizontal="right" vertical="center"/>
      <protection/>
    </xf>
    <xf numFmtId="4" fontId="36" fillId="0" borderId="0" xfId="0" applyNumberFormat="1" applyFont="1" applyFill="1" applyAlignment="1" applyProtection="1">
      <alignment/>
      <protection/>
    </xf>
    <xf numFmtId="192" fontId="36" fillId="0" borderId="0" xfId="0" applyNumberFormat="1" applyFont="1" applyFill="1" applyAlignment="1" applyProtection="1">
      <alignment/>
      <protection/>
    </xf>
    <xf numFmtId="192" fontId="36" fillId="0" borderId="0" xfId="0" applyNumberFormat="1" applyFont="1" applyFill="1" applyBorder="1" applyAlignment="1">
      <alignment horizontal="center" vertical="center" wrapText="1"/>
    </xf>
    <xf numFmtId="3" fontId="36"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left" vertical="center" wrapText="1"/>
    </xf>
    <xf numFmtId="3" fontId="38" fillId="0" borderId="0" xfId="0" applyNumberFormat="1"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4" fontId="39" fillId="0" borderId="0" xfId="0" applyNumberFormat="1" applyFont="1" applyFill="1" applyBorder="1" applyAlignment="1">
      <alignment horizontal="center" vertical="center" wrapText="1"/>
    </xf>
    <xf numFmtId="192" fontId="38" fillId="0" borderId="0" xfId="0" applyNumberFormat="1" applyFont="1" applyFill="1" applyBorder="1" applyAlignment="1">
      <alignment horizontal="center" vertical="center" wrapText="1"/>
    </xf>
    <xf numFmtId="4" fontId="37" fillId="0" borderId="21" xfId="95" applyNumberFormat="1" applyFont="1" applyFill="1" applyBorder="1" applyAlignment="1">
      <alignment vertical="center"/>
      <protection/>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4" fontId="30" fillId="0" borderId="0" xfId="95" applyNumberFormat="1" applyFont="1" applyFill="1" applyBorder="1" applyAlignment="1">
      <alignment vertical="center"/>
      <protection/>
    </xf>
    <xf numFmtId="192" fontId="30" fillId="0" borderId="0" xfId="95" applyNumberFormat="1" applyFont="1" applyFill="1" applyBorder="1" applyAlignment="1">
      <alignment vertical="center"/>
      <protection/>
    </xf>
    <xf numFmtId="3" fontId="27" fillId="0" borderId="0" xfId="0" applyNumberFormat="1" applyFont="1" applyFill="1" applyBorder="1" applyAlignment="1">
      <alignment horizontal="center" vertical="center" wrapText="1"/>
    </xf>
    <xf numFmtId="0" fontId="27" fillId="0" borderId="0" xfId="0" applyFont="1" applyFill="1" applyBorder="1" applyAlignment="1">
      <alignment/>
    </xf>
    <xf numFmtId="3" fontId="27" fillId="0" borderId="0" xfId="0" applyNumberFormat="1" applyFont="1" applyFill="1" applyBorder="1" applyAlignment="1">
      <alignment/>
    </xf>
    <xf numFmtId="0" fontId="27" fillId="0" borderId="0" xfId="0" applyFont="1" applyFill="1" applyBorder="1" applyAlignment="1">
      <alignment horizontal="center" vertical="center"/>
    </xf>
    <xf numFmtId="0" fontId="27"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29" fillId="0" borderId="0" xfId="0" applyNumberFormat="1" applyFont="1" applyFill="1" applyBorder="1" applyAlignment="1">
      <alignment horizontal="center" vertical="center"/>
    </xf>
    <xf numFmtId="4" fontId="30" fillId="0" borderId="0" xfId="0" applyNumberFormat="1" applyFont="1" applyFill="1" applyBorder="1" applyAlignment="1" applyProtection="1">
      <alignment horizontal="right" vertical="center" wrapText="1"/>
      <protection/>
    </xf>
    <xf numFmtId="192" fontId="30" fillId="0" borderId="0" xfId="0" applyNumberFormat="1" applyFont="1" applyFill="1" applyBorder="1" applyAlignment="1" applyProtection="1">
      <alignment horizontal="right" vertical="center" wrapText="1"/>
      <protection/>
    </xf>
    <xf numFmtId="49" fontId="26" fillId="0" borderId="0" xfId="0" applyNumberFormat="1" applyFont="1" applyFill="1" applyAlignment="1">
      <alignment horizontal="center" vertical="center" textRotation="180" wrapText="1"/>
    </xf>
    <xf numFmtId="0" fontId="29" fillId="0" borderId="22" xfId="0" applyNumberFormat="1" applyFont="1" applyFill="1" applyBorder="1" applyAlignment="1" applyProtection="1">
      <alignment horizontal="center" vertical="center" wrapText="1"/>
      <protection/>
    </xf>
    <xf numFmtId="0" fontId="29" fillId="0" borderId="23"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49" fontId="32" fillId="0" borderId="0" xfId="0" applyNumberFormat="1" applyFont="1" applyFill="1" applyAlignment="1">
      <alignment horizontal="center" vertical="center" textRotation="180" wrapText="1"/>
    </xf>
    <xf numFmtId="49" fontId="27" fillId="0" borderId="0" xfId="0" applyNumberFormat="1" applyFont="1" applyFill="1" applyBorder="1" applyAlignment="1">
      <alignment horizontal="left" vertical="center" wrapText="1"/>
    </xf>
    <xf numFmtId="4" fontId="27" fillId="0" borderId="0" xfId="0" applyNumberFormat="1" applyFont="1" applyFill="1" applyBorder="1" applyAlignment="1">
      <alignment horizontal="lef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49" fontId="32" fillId="0" borderId="18" xfId="0" applyNumberFormat="1" applyFont="1" applyFill="1" applyBorder="1" applyAlignment="1">
      <alignment horizontal="center" vertical="center" textRotation="180" wrapText="1"/>
    </xf>
    <xf numFmtId="49" fontId="33" fillId="0" borderId="0" xfId="0" applyNumberFormat="1" applyFont="1" applyFill="1" applyBorder="1" applyAlignment="1">
      <alignment horizontal="left" vertical="center" wrapText="1"/>
    </xf>
    <xf numFmtId="0" fontId="31" fillId="0" borderId="22" xfId="0" applyNumberFormat="1" applyFont="1" applyFill="1" applyBorder="1" applyAlignment="1" applyProtection="1">
      <alignment horizontal="center" vertical="center" wrapText="1"/>
      <protection/>
    </xf>
    <xf numFmtId="0" fontId="31" fillId="0" borderId="23" xfId="0" applyNumberFormat="1" applyFont="1" applyFill="1" applyBorder="1" applyAlignment="1" applyProtection="1">
      <alignment horizontal="center" vertical="center" wrapText="1"/>
      <protection/>
    </xf>
    <xf numFmtId="0" fontId="31" fillId="0" borderId="20"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29" fillId="0" borderId="25"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textRotation="90" wrapText="1"/>
      <protection/>
    </xf>
    <xf numFmtId="0" fontId="29" fillId="0" borderId="23" xfId="0" applyNumberFormat="1" applyFont="1" applyFill="1" applyBorder="1" applyAlignment="1" applyProtection="1">
      <alignment horizontal="center" vertical="center" textRotation="90" wrapText="1"/>
      <protection/>
    </xf>
    <xf numFmtId="0" fontId="29" fillId="0" borderId="20" xfId="0" applyNumberFormat="1" applyFont="1" applyFill="1" applyBorder="1" applyAlignment="1" applyProtection="1">
      <alignment horizontal="center" vertical="center" textRotation="90" wrapText="1"/>
      <protection/>
    </xf>
    <xf numFmtId="0" fontId="29" fillId="0" borderId="21"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top" wrapText="1"/>
      <protection/>
    </xf>
    <xf numFmtId="0" fontId="33" fillId="0" borderId="0" xfId="0" applyFont="1" applyFill="1" applyAlignment="1">
      <alignment horizontal="left" vertical="center"/>
    </xf>
    <xf numFmtId="4" fontId="33" fillId="0" borderId="0"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textRotation="180" wrapText="1"/>
    </xf>
    <xf numFmtId="49" fontId="26" fillId="0" borderId="0" xfId="0" applyNumberFormat="1" applyFont="1" applyFill="1" applyAlignment="1">
      <alignment horizontal="center" vertical="center" textRotation="180" wrapText="1"/>
    </xf>
    <xf numFmtId="0" fontId="26" fillId="0" borderId="18" xfId="0" applyFont="1" applyBorder="1" applyAlignment="1">
      <alignment horizontal="center" vertical="center" textRotation="180" wrapText="1"/>
    </xf>
    <xf numFmtId="49" fontId="27" fillId="0" borderId="0" xfId="0" applyNumberFormat="1" applyFont="1" applyFill="1" applyBorder="1" applyAlignment="1">
      <alignment horizontal="center" vertical="center" wrapText="1"/>
    </xf>
    <xf numFmtId="4" fontId="29" fillId="0" borderId="0" xfId="0" applyNumberFormat="1" applyFont="1" applyFill="1" applyAlignment="1">
      <alignment horizontal="center" vertical="center"/>
    </xf>
    <xf numFmtId="4" fontId="36" fillId="0" borderId="22" xfId="95" applyNumberFormat="1" applyFont="1" applyFill="1" applyBorder="1" applyAlignment="1">
      <alignment horizontal="center" vertical="center"/>
      <protection/>
    </xf>
    <xf numFmtId="4" fontId="36" fillId="0" borderId="23" xfId="95" applyNumberFormat="1" applyFont="1" applyFill="1" applyBorder="1" applyAlignment="1">
      <alignment horizontal="center" vertical="center"/>
      <protection/>
    </xf>
    <xf numFmtId="4" fontId="36" fillId="0" borderId="20" xfId="95" applyNumberFormat="1" applyFont="1" applyFill="1" applyBorder="1" applyAlignment="1">
      <alignment horizontal="center" vertical="center"/>
      <protection/>
    </xf>
    <xf numFmtId="192" fontId="36" fillId="0" borderId="22" xfId="95" applyNumberFormat="1" applyFont="1" applyFill="1" applyBorder="1" applyAlignment="1">
      <alignment horizontal="right" vertical="center"/>
      <protection/>
    </xf>
    <xf numFmtId="192" fontId="36" fillId="0" borderId="23" xfId="95" applyNumberFormat="1" applyFont="1" applyFill="1" applyBorder="1" applyAlignment="1">
      <alignment horizontal="right" vertical="center"/>
      <protection/>
    </xf>
    <xf numFmtId="192" fontId="36" fillId="0" borderId="20" xfId="95" applyNumberFormat="1" applyFont="1" applyFill="1" applyBorder="1" applyAlignment="1">
      <alignment horizontal="right" vertical="center"/>
      <protection/>
    </xf>
    <xf numFmtId="4" fontId="36" fillId="0" borderId="22" xfId="95" applyNumberFormat="1" applyFont="1" applyFill="1" applyBorder="1" applyAlignment="1">
      <alignment vertical="center"/>
      <protection/>
    </xf>
    <xf numFmtId="0" fontId="36" fillId="0" borderId="23" xfId="0" applyFont="1" applyFill="1" applyBorder="1" applyAlignment="1">
      <alignment/>
    </xf>
    <xf numFmtId="0" fontId="36" fillId="0" borderId="20" xfId="0" applyFont="1" applyFill="1" applyBorder="1" applyAlignment="1">
      <alignment/>
    </xf>
    <xf numFmtId="49" fontId="29" fillId="0" borderId="22" xfId="0" applyNumberFormat="1" applyFont="1" applyFill="1" applyBorder="1" applyAlignment="1">
      <alignment horizontal="center" vertical="center"/>
    </xf>
    <xf numFmtId="49" fontId="29" fillId="0" borderId="23" xfId="0" applyNumberFormat="1" applyFont="1" applyFill="1" applyBorder="1" applyAlignment="1">
      <alignment horizontal="center" vertical="center"/>
    </xf>
    <xf numFmtId="49" fontId="29" fillId="0" borderId="20" xfId="0" applyNumberFormat="1" applyFont="1" applyFill="1" applyBorder="1" applyAlignment="1">
      <alignment horizontal="center" vertical="center"/>
    </xf>
    <xf numFmtId="0" fontId="36" fillId="0" borderId="21" xfId="0" applyNumberFormat="1" applyFont="1" applyFill="1" applyBorder="1" applyAlignment="1" applyProtection="1">
      <alignment horizontal="center" vertical="center" wrapText="1"/>
      <protection/>
    </xf>
    <xf numFmtId="0" fontId="36" fillId="0" borderId="22" xfId="0" applyNumberFormat="1" applyFont="1" applyFill="1" applyBorder="1" applyAlignment="1" applyProtection="1">
      <alignment horizontal="center" vertical="center" wrapText="1"/>
      <protection/>
    </xf>
    <xf numFmtId="0" fontId="36" fillId="0" borderId="23" xfId="0" applyNumberFormat="1" applyFont="1" applyFill="1" applyBorder="1" applyAlignment="1" applyProtection="1">
      <alignment horizontal="center" vertical="center" wrapText="1"/>
      <protection/>
    </xf>
    <xf numFmtId="0" fontId="36" fillId="0" borderId="20" xfId="0" applyNumberFormat="1" applyFont="1" applyFill="1" applyBorder="1" applyAlignment="1" applyProtection="1">
      <alignment horizontal="center" vertical="center" wrapText="1"/>
      <protection/>
    </xf>
    <xf numFmtId="0" fontId="36" fillId="0" borderId="22" xfId="0" applyNumberFormat="1" applyFont="1" applyFill="1" applyBorder="1" applyAlignment="1" applyProtection="1">
      <alignment horizontal="center" vertical="center" textRotation="90" wrapText="1"/>
      <protection/>
    </xf>
    <xf numFmtId="0" fontId="36" fillId="0" borderId="23" xfId="0" applyNumberFormat="1" applyFont="1" applyFill="1" applyBorder="1" applyAlignment="1" applyProtection="1">
      <alignment horizontal="center" vertical="center" textRotation="90" wrapText="1"/>
      <protection/>
    </xf>
    <xf numFmtId="0" fontId="36" fillId="0" borderId="20" xfId="0" applyNumberFormat="1" applyFont="1" applyFill="1" applyBorder="1" applyAlignment="1" applyProtection="1">
      <alignment horizontal="center" vertical="center" textRotation="90" wrapText="1"/>
      <protection/>
    </xf>
    <xf numFmtId="0" fontId="36" fillId="0" borderId="24" xfId="0" applyNumberFormat="1" applyFont="1" applyFill="1" applyBorder="1" applyAlignment="1" applyProtection="1">
      <alignment horizontal="center" vertical="center" wrapText="1"/>
      <protection/>
    </xf>
    <xf numFmtId="0" fontId="36" fillId="0" borderId="25" xfId="0" applyNumberFormat="1" applyFont="1" applyFill="1" applyBorder="1" applyAlignment="1" applyProtection="1">
      <alignment horizontal="center" vertical="center" wrapText="1"/>
      <protection/>
    </xf>
    <xf numFmtId="4" fontId="36" fillId="0" borderId="22" xfId="0" applyNumberFormat="1" applyFont="1" applyFill="1" applyBorder="1" applyAlignment="1" applyProtection="1">
      <alignment horizontal="center" vertical="center" wrapText="1"/>
      <protection/>
    </xf>
    <xf numFmtId="4" fontId="36" fillId="0" borderId="20" xfId="0" applyNumberFormat="1" applyFont="1" applyFill="1" applyBorder="1" applyAlignment="1" applyProtection="1">
      <alignment horizontal="center" vertical="center" wrapText="1"/>
      <protection/>
    </xf>
    <xf numFmtId="3" fontId="36" fillId="0" borderId="0" xfId="0" applyNumberFormat="1" applyFont="1" applyFill="1" applyBorder="1" applyAlignment="1">
      <alignment horizontal="left" vertical="center" wrapText="1"/>
    </xf>
  </cellXfs>
  <cellStyles count="110">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 2,3    (с)"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216"/>
  <sheetViews>
    <sheetView showGridLines="0" showZeros="0" view="pageBreakPreview" zoomScale="40" zoomScaleNormal="70" zoomScaleSheetLayoutView="40" zoomScalePageLayoutView="0" workbookViewId="0" topLeftCell="B79">
      <pane xSplit="3" topLeftCell="H1" activePane="topRight" state="frozen"/>
      <selection pane="topLeft" activeCell="B6" sqref="B6"/>
      <selection pane="topRight" activeCell="R3" sqref="R3:W3"/>
    </sheetView>
  </sheetViews>
  <sheetFormatPr defaultColWidth="9.16015625" defaultRowHeight="12.75"/>
  <cols>
    <col min="1" max="1" width="3.83203125" style="85" hidden="1" customWidth="1"/>
    <col min="2" max="3" width="11.66015625" style="85" customWidth="1"/>
    <col min="4" max="4" width="46" style="85" customWidth="1"/>
    <col min="5" max="5" width="21" style="85" customWidth="1"/>
    <col min="6" max="6" width="18.83203125" style="85" customWidth="1"/>
    <col min="7" max="7" width="17.33203125" style="85" customWidth="1"/>
    <col min="8" max="8" width="22" style="85" customWidth="1"/>
    <col min="9" max="9" width="17.5" style="85" customWidth="1"/>
    <col min="10" max="10" width="18.66015625" style="85" customWidth="1"/>
    <col min="11" max="11" width="14.5" style="85" customWidth="1"/>
    <col min="12" max="12" width="18" style="85" customWidth="1"/>
    <col min="13" max="13" width="17.16015625" style="85" customWidth="1"/>
    <col min="14" max="14" width="18.16015625" style="85" customWidth="1"/>
    <col min="15" max="15" width="15" style="85" customWidth="1"/>
    <col min="16" max="22" width="19" style="85" customWidth="1"/>
    <col min="23" max="23" width="21.33203125" style="85" customWidth="1"/>
    <col min="24" max="24" width="6.16015625" style="42" customWidth="1"/>
    <col min="25" max="25" width="20.83203125" style="96" customWidth="1"/>
    <col min="26" max="26" width="14.16015625" style="84" bestFit="1" customWidth="1"/>
    <col min="27" max="16384" width="9.16015625" style="84" customWidth="1"/>
  </cols>
  <sheetData>
    <row r="1" spans="1:24" ht="26.25">
      <c r="A1" s="1"/>
      <c r="B1" s="1"/>
      <c r="C1" s="1"/>
      <c r="D1" s="1"/>
      <c r="E1" s="1"/>
      <c r="F1" s="1"/>
      <c r="G1" s="1"/>
      <c r="H1" s="1"/>
      <c r="I1" s="1"/>
      <c r="J1" s="1"/>
      <c r="K1" s="1"/>
      <c r="L1" s="1"/>
      <c r="M1" s="1"/>
      <c r="N1" s="38"/>
      <c r="O1" s="38"/>
      <c r="P1" s="38"/>
      <c r="Q1" s="38"/>
      <c r="R1" s="176" t="s">
        <v>354</v>
      </c>
      <c r="S1" s="176"/>
      <c r="T1" s="176"/>
      <c r="U1" s="176"/>
      <c r="V1" s="176"/>
      <c r="W1" s="176"/>
      <c r="X1" s="159" t="s">
        <v>346</v>
      </c>
    </row>
    <row r="2" spans="14:24" ht="26.25">
      <c r="N2" s="54"/>
      <c r="O2" s="38"/>
      <c r="P2" s="38"/>
      <c r="Q2" s="38"/>
      <c r="R2" s="176" t="s">
        <v>338</v>
      </c>
      <c r="S2" s="176"/>
      <c r="T2" s="176"/>
      <c r="U2" s="176"/>
      <c r="V2" s="176"/>
      <c r="W2" s="176"/>
      <c r="X2" s="159"/>
    </row>
    <row r="3" spans="14:24" ht="26.25">
      <c r="N3" s="38"/>
      <c r="O3" s="38"/>
      <c r="P3" s="38"/>
      <c r="Q3" s="38"/>
      <c r="R3" s="176" t="s">
        <v>356</v>
      </c>
      <c r="S3" s="176"/>
      <c r="T3" s="176"/>
      <c r="U3" s="176"/>
      <c r="V3" s="176"/>
      <c r="W3" s="176"/>
      <c r="X3" s="159"/>
    </row>
    <row r="4" spans="14:24" ht="55.5" customHeight="1">
      <c r="N4" s="38"/>
      <c r="O4" s="38"/>
      <c r="P4" s="39"/>
      <c r="Q4" s="39"/>
      <c r="R4" s="39"/>
      <c r="S4" s="39"/>
      <c r="T4" s="39"/>
      <c r="U4" s="39"/>
      <c r="V4" s="39"/>
      <c r="W4" s="39"/>
      <c r="X4" s="159"/>
    </row>
    <row r="5" spans="2:24" ht="57" customHeight="1">
      <c r="B5" s="175" t="s">
        <v>340</v>
      </c>
      <c r="C5" s="175"/>
      <c r="D5" s="175"/>
      <c r="E5" s="175"/>
      <c r="F5" s="175"/>
      <c r="G5" s="175"/>
      <c r="H5" s="175"/>
      <c r="I5" s="175"/>
      <c r="J5" s="175"/>
      <c r="K5" s="175"/>
      <c r="L5" s="175"/>
      <c r="M5" s="175"/>
      <c r="N5" s="175"/>
      <c r="O5" s="175"/>
      <c r="P5" s="175"/>
      <c r="Q5" s="175"/>
      <c r="R5" s="175"/>
      <c r="S5" s="175"/>
      <c r="T5" s="175"/>
      <c r="U5" s="175"/>
      <c r="V5" s="175"/>
      <c r="W5" s="175"/>
      <c r="X5" s="159"/>
    </row>
    <row r="6" spans="2:24" ht="18.75">
      <c r="B6" s="86"/>
      <c r="C6" s="86"/>
      <c r="D6" s="86"/>
      <c r="E6" s="86"/>
      <c r="F6" s="5"/>
      <c r="G6" s="2"/>
      <c r="H6" s="55"/>
      <c r="I6" s="55"/>
      <c r="J6" s="55"/>
      <c r="K6" s="55"/>
      <c r="L6" s="3"/>
      <c r="M6" s="4"/>
      <c r="N6" s="4"/>
      <c r="O6" s="4"/>
      <c r="P6" s="4"/>
      <c r="Q6" s="4"/>
      <c r="R6" s="4"/>
      <c r="S6" s="4"/>
      <c r="T6" s="4"/>
      <c r="U6" s="4"/>
      <c r="V6" s="4"/>
      <c r="W6" s="37" t="s">
        <v>13</v>
      </c>
      <c r="X6" s="159"/>
    </row>
    <row r="7" spans="1:25" s="15" customFormat="1" ht="21.75" customHeight="1">
      <c r="A7" s="14"/>
      <c r="B7" s="156" t="s">
        <v>12</v>
      </c>
      <c r="C7" s="156" t="s">
        <v>10</v>
      </c>
      <c r="D7" s="156" t="s">
        <v>232</v>
      </c>
      <c r="E7" s="174" t="s">
        <v>0</v>
      </c>
      <c r="F7" s="174"/>
      <c r="G7" s="174"/>
      <c r="H7" s="174"/>
      <c r="I7" s="174"/>
      <c r="J7" s="174"/>
      <c r="K7" s="171" t="s">
        <v>312</v>
      </c>
      <c r="L7" s="174" t="s">
        <v>1</v>
      </c>
      <c r="M7" s="174"/>
      <c r="N7" s="174"/>
      <c r="O7" s="174"/>
      <c r="P7" s="174"/>
      <c r="Q7" s="174"/>
      <c r="R7" s="174"/>
      <c r="S7" s="174"/>
      <c r="T7" s="174"/>
      <c r="U7" s="174"/>
      <c r="V7" s="171" t="s">
        <v>313</v>
      </c>
      <c r="W7" s="156" t="s">
        <v>2</v>
      </c>
      <c r="X7" s="159"/>
      <c r="Y7" s="79"/>
    </row>
    <row r="8" spans="1:25" s="15" customFormat="1" ht="21.75" customHeight="1">
      <c r="A8" s="16"/>
      <c r="B8" s="157"/>
      <c r="C8" s="157"/>
      <c r="D8" s="157"/>
      <c r="E8" s="174" t="s">
        <v>279</v>
      </c>
      <c r="F8" s="174"/>
      <c r="G8" s="174"/>
      <c r="H8" s="174" t="s">
        <v>280</v>
      </c>
      <c r="I8" s="174"/>
      <c r="J8" s="174"/>
      <c r="K8" s="172"/>
      <c r="L8" s="174" t="s">
        <v>279</v>
      </c>
      <c r="M8" s="174"/>
      <c r="N8" s="174"/>
      <c r="O8" s="174"/>
      <c r="P8" s="174"/>
      <c r="Q8" s="174" t="s">
        <v>280</v>
      </c>
      <c r="R8" s="174"/>
      <c r="S8" s="174"/>
      <c r="T8" s="174"/>
      <c r="U8" s="174"/>
      <c r="V8" s="172"/>
      <c r="W8" s="157"/>
      <c r="X8" s="159"/>
      <c r="Y8" s="79"/>
    </row>
    <row r="9" spans="1:25" s="15" customFormat="1" ht="16.5" customHeight="1">
      <c r="A9" s="16"/>
      <c r="B9" s="157"/>
      <c r="C9" s="157"/>
      <c r="D9" s="157"/>
      <c r="E9" s="156" t="s">
        <v>3</v>
      </c>
      <c r="F9" s="169" t="s">
        <v>5</v>
      </c>
      <c r="G9" s="170"/>
      <c r="H9" s="156" t="s">
        <v>3</v>
      </c>
      <c r="I9" s="169" t="s">
        <v>5</v>
      </c>
      <c r="J9" s="170"/>
      <c r="K9" s="172"/>
      <c r="L9" s="156" t="s">
        <v>3</v>
      </c>
      <c r="M9" s="166" t="s">
        <v>4</v>
      </c>
      <c r="N9" s="169" t="s">
        <v>5</v>
      </c>
      <c r="O9" s="170"/>
      <c r="P9" s="166" t="s">
        <v>6</v>
      </c>
      <c r="Q9" s="156" t="s">
        <v>3</v>
      </c>
      <c r="R9" s="166" t="s">
        <v>4</v>
      </c>
      <c r="S9" s="169" t="s">
        <v>5</v>
      </c>
      <c r="T9" s="170"/>
      <c r="U9" s="166" t="s">
        <v>6</v>
      </c>
      <c r="V9" s="172"/>
      <c r="W9" s="157"/>
      <c r="X9" s="159"/>
      <c r="Y9" s="79"/>
    </row>
    <row r="10" spans="1:25" s="15" customFormat="1" ht="20.25" customHeight="1">
      <c r="A10" s="17"/>
      <c r="B10" s="157"/>
      <c r="C10" s="157"/>
      <c r="D10" s="157"/>
      <c r="E10" s="157"/>
      <c r="F10" s="156" t="s">
        <v>7</v>
      </c>
      <c r="G10" s="156" t="s">
        <v>8</v>
      </c>
      <c r="H10" s="157"/>
      <c r="I10" s="156" t="s">
        <v>7</v>
      </c>
      <c r="J10" s="156" t="s">
        <v>8</v>
      </c>
      <c r="K10" s="172"/>
      <c r="L10" s="157"/>
      <c r="M10" s="167"/>
      <c r="N10" s="156" t="s">
        <v>7</v>
      </c>
      <c r="O10" s="156" t="s">
        <v>8</v>
      </c>
      <c r="P10" s="167"/>
      <c r="Q10" s="157"/>
      <c r="R10" s="167"/>
      <c r="S10" s="156" t="s">
        <v>7</v>
      </c>
      <c r="T10" s="156" t="s">
        <v>8</v>
      </c>
      <c r="U10" s="167"/>
      <c r="V10" s="172"/>
      <c r="W10" s="157"/>
      <c r="X10" s="159"/>
      <c r="Y10" s="79"/>
    </row>
    <row r="11" spans="1:25" s="15" customFormat="1" ht="110.25" customHeight="1">
      <c r="A11" s="18"/>
      <c r="B11" s="158"/>
      <c r="C11" s="158"/>
      <c r="D11" s="158"/>
      <c r="E11" s="158"/>
      <c r="F11" s="158"/>
      <c r="G11" s="158"/>
      <c r="H11" s="158"/>
      <c r="I11" s="158"/>
      <c r="J11" s="158"/>
      <c r="K11" s="173"/>
      <c r="L11" s="158"/>
      <c r="M11" s="168"/>
      <c r="N11" s="158"/>
      <c r="O11" s="158"/>
      <c r="P11" s="168"/>
      <c r="Q11" s="158"/>
      <c r="R11" s="168"/>
      <c r="S11" s="158"/>
      <c r="T11" s="158"/>
      <c r="U11" s="168"/>
      <c r="V11" s="173"/>
      <c r="W11" s="158"/>
      <c r="X11" s="159"/>
      <c r="Y11" s="79"/>
    </row>
    <row r="12" spans="1:25" s="15" customFormat="1" ht="24.75" customHeight="1">
      <c r="A12" s="18"/>
      <c r="B12" s="45" t="s">
        <v>250</v>
      </c>
      <c r="C12" s="44"/>
      <c r="D12" s="46" t="s">
        <v>251</v>
      </c>
      <c r="E12" s="57">
        <f>E13</f>
        <v>67440725.60000001</v>
      </c>
      <c r="F12" s="57">
        <f aca="true" t="shared" si="0" ref="F12:W12">F13</f>
        <v>46355945</v>
      </c>
      <c r="G12" s="57">
        <f t="shared" si="0"/>
        <v>2728341</v>
      </c>
      <c r="H12" s="57">
        <f t="shared" si="0"/>
        <v>48415743.58</v>
      </c>
      <c r="I12" s="57">
        <f t="shared" si="0"/>
        <v>34415790.77</v>
      </c>
      <c r="J12" s="57">
        <f t="shared" si="0"/>
        <v>1559381.3900000001</v>
      </c>
      <c r="K12" s="97">
        <f>H12/E12*100</f>
        <v>71.79006920411899</v>
      </c>
      <c r="L12" s="57">
        <f t="shared" si="0"/>
        <v>9711720</v>
      </c>
      <c r="M12" s="57">
        <f t="shared" si="0"/>
        <v>2280164</v>
      </c>
      <c r="N12" s="57">
        <f t="shared" si="0"/>
        <v>1455770</v>
      </c>
      <c r="O12" s="57">
        <f t="shared" si="0"/>
        <v>50946</v>
      </c>
      <c r="P12" s="57">
        <f t="shared" si="0"/>
        <v>7431556</v>
      </c>
      <c r="Q12" s="57">
        <f t="shared" si="0"/>
        <v>6437318.21</v>
      </c>
      <c r="R12" s="57">
        <f t="shared" si="0"/>
        <v>1670953.39</v>
      </c>
      <c r="S12" s="57">
        <f t="shared" si="0"/>
        <v>1288398.98</v>
      </c>
      <c r="T12" s="57">
        <f t="shared" si="0"/>
        <v>32530.51</v>
      </c>
      <c r="U12" s="57">
        <f t="shared" si="0"/>
        <v>4766364.82</v>
      </c>
      <c r="V12" s="97">
        <f>Q12/L12*100</f>
        <v>66.28401776410358</v>
      </c>
      <c r="W12" s="57">
        <f t="shared" si="0"/>
        <v>54853061.79</v>
      </c>
      <c r="X12" s="159"/>
      <c r="Y12" s="80"/>
    </row>
    <row r="13" spans="1:25" s="15" customFormat="1" ht="26.25" customHeight="1">
      <c r="A13" s="18"/>
      <c r="B13" s="22" t="s">
        <v>11</v>
      </c>
      <c r="C13" s="22" t="s">
        <v>9</v>
      </c>
      <c r="D13" s="47" t="s">
        <v>15</v>
      </c>
      <c r="E13" s="49">
        <f>'дод. 3'!E14+'дод. 3'!E46+'дод. 3'!E64+'дод. 3'!E74+'дод. 3'!E118+'дод. 3'!E121+'дод. 3'!E127+'дод. 3'!E149+'дод. 3'!E159+'дод. 3'!E173+'дод. 3'!E157+'дод. 3'!E184+'дод. 3'!E188+'дод. 3'!E153+'дод. 3'!E178</f>
        <v>67440725.60000001</v>
      </c>
      <c r="F13" s="49">
        <f>'дод. 3'!F14+'дод. 3'!F46+'дод. 3'!F64+'дод. 3'!F74+'дод. 3'!F118+'дод. 3'!F121+'дод. 3'!F127+'дод. 3'!F149+'дод. 3'!F159+'дод. 3'!F173+'дод. 3'!F157+'дод. 3'!F184+'дод. 3'!F188+'дод. 3'!F153+'дод. 3'!F178</f>
        <v>46355945</v>
      </c>
      <c r="G13" s="49">
        <f>'дод. 3'!G14+'дод. 3'!G46+'дод. 3'!G64+'дод. 3'!G74+'дод. 3'!G118+'дод. 3'!G121+'дод. 3'!G127+'дод. 3'!G149+'дод. 3'!G159+'дод. 3'!G173+'дод. 3'!G157+'дод. 3'!G184+'дод. 3'!G188+'дод. 3'!G153+'дод. 3'!G178</f>
        <v>2728341</v>
      </c>
      <c r="H13" s="49">
        <f>'дод. 3'!H14+'дод. 3'!H46+'дод. 3'!H64+'дод. 3'!H74+'дод. 3'!H118+'дод. 3'!H121+'дод. 3'!H127+'дод. 3'!H149+'дод. 3'!H159+'дод. 3'!H173+'дод. 3'!H157+'дод. 3'!H184+'дод. 3'!H188+'дод. 3'!H153+'дод. 3'!H178</f>
        <v>48415743.58</v>
      </c>
      <c r="I13" s="49">
        <f>'дод. 3'!I14+'дод. 3'!I46+'дод. 3'!I64+'дод. 3'!I74+'дод. 3'!I118+'дод. 3'!I121+'дод. 3'!I127+'дод. 3'!I149+'дод. 3'!I159+'дод. 3'!I173+'дод. 3'!I157+'дод. 3'!I184+'дод. 3'!I188+'дод. 3'!I153+'дод. 3'!I178</f>
        <v>34415790.77</v>
      </c>
      <c r="J13" s="49">
        <f>'дод. 3'!J14+'дод. 3'!J46+'дод. 3'!J64+'дод. 3'!J74+'дод. 3'!J118+'дод. 3'!J121+'дод. 3'!J127+'дод. 3'!J149+'дод. 3'!J159+'дод. 3'!J173+'дод. 3'!J157+'дод. 3'!J184+'дод. 3'!J188+'дод. 3'!J153+'дод. 3'!J178</f>
        <v>1559381.3900000001</v>
      </c>
      <c r="K13" s="62">
        <f>H13/E13*100</f>
        <v>71.79006920411899</v>
      </c>
      <c r="L13" s="49">
        <f>M13+P13</f>
        <v>9711720</v>
      </c>
      <c r="M13" s="49">
        <f>'дод. 3'!M14+'дод. 3'!M46+'дод. 3'!M64+'дод. 3'!M74+'дод. 3'!M118+'дод. 3'!M121+'дод. 3'!M127+'дод. 3'!M149+'дод. 3'!M159+'дод. 3'!M173+'дод. 3'!M157+'дод. 3'!M184+'дод. 3'!M188+'дод. 3'!M153+'дод. 3'!M178</f>
        <v>2280164</v>
      </c>
      <c r="N13" s="49">
        <f>'дод. 3'!N14+'дод. 3'!N46+'дод. 3'!N64+'дод. 3'!N74+'дод. 3'!N118+'дод. 3'!N121+'дод. 3'!N127+'дод. 3'!N149+'дод. 3'!N159+'дод. 3'!N173+'дод. 3'!N157+'дод. 3'!N184+'дод. 3'!N188+'дод. 3'!N153+'дод. 3'!N178</f>
        <v>1455770</v>
      </c>
      <c r="O13" s="49">
        <f>'дод. 3'!O14+'дод. 3'!O46+'дод. 3'!O64+'дод. 3'!O74+'дод. 3'!O118+'дод. 3'!O121+'дод. 3'!O127+'дод. 3'!O149+'дод. 3'!O159+'дод. 3'!O173+'дод. 3'!O157+'дод. 3'!O184+'дод. 3'!O188+'дод. 3'!O153+'дод. 3'!O178</f>
        <v>50946</v>
      </c>
      <c r="P13" s="49">
        <f>'дод. 3'!P14+'дод. 3'!P46+'дод. 3'!P64+'дод. 3'!P74+'дод. 3'!P118+'дод. 3'!P121+'дод. 3'!P127+'дод. 3'!P149+'дод. 3'!P159+'дод. 3'!P173+'дод. 3'!P157+'дод. 3'!P184+'дод. 3'!P188+'дод. 3'!P153+'дод. 3'!P178</f>
        <v>7431556</v>
      </c>
      <c r="Q13" s="49">
        <f>R13+U13</f>
        <v>6437318.21</v>
      </c>
      <c r="R13" s="49">
        <f>'дод. 3'!R14+'дод. 3'!R46+'дод. 3'!R64+'дод. 3'!R74+'дод. 3'!R118+'дод. 3'!R121+'дод. 3'!R127+'дод. 3'!R149+'дод. 3'!R159+'дод. 3'!R173+'дод. 3'!R157+'дод. 3'!R184+'дод. 3'!R188+'дод. 3'!R153+'дод. 3'!R178</f>
        <v>1670953.39</v>
      </c>
      <c r="S13" s="49">
        <f>'дод. 3'!S14+'дод. 3'!S46+'дод. 3'!S64+'дод. 3'!S74+'дод. 3'!S118+'дод. 3'!S121+'дод. 3'!S127+'дод. 3'!S149+'дод. 3'!S159+'дод. 3'!S173+'дод. 3'!S157+'дод. 3'!S184+'дод. 3'!S188+'дод. 3'!S153+'дод. 3'!S178</f>
        <v>1288398.98</v>
      </c>
      <c r="T13" s="49">
        <f>'дод. 3'!T14+'дод. 3'!T46+'дод. 3'!T64+'дод. 3'!T74+'дод. 3'!T118+'дод. 3'!T121+'дод. 3'!T127+'дод. 3'!T149+'дод. 3'!T159+'дод. 3'!T173+'дод. 3'!T157+'дод. 3'!T184+'дод. 3'!T188+'дод. 3'!T153+'дод. 3'!T178</f>
        <v>32530.51</v>
      </c>
      <c r="U13" s="49">
        <f>'дод. 3'!U14+'дод. 3'!U46+'дод. 3'!U64+'дод. 3'!U74+'дод. 3'!U118+'дод. 3'!U121+'дод. 3'!U127+'дод. 3'!U149+'дод. 3'!U159+'дод. 3'!U173+'дод. 3'!U157+'дод. 3'!U184+'дод. 3'!U188+'дод. 3'!U153+'дод. 3'!U178</f>
        <v>4766364.82</v>
      </c>
      <c r="V13" s="62">
        <f>Q13/L13*100</f>
        <v>66.28401776410358</v>
      </c>
      <c r="W13" s="49">
        <f>H13+Q13</f>
        <v>54853061.79</v>
      </c>
      <c r="X13" s="159"/>
      <c r="Y13" s="80"/>
    </row>
    <row r="14" spans="1:25" s="15" customFormat="1" ht="31.5" customHeight="1">
      <c r="A14" s="18"/>
      <c r="B14" s="45" t="s">
        <v>252</v>
      </c>
      <c r="C14" s="44"/>
      <c r="D14" s="46" t="s">
        <v>253</v>
      </c>
      <c r="E14" s="57">
        <f>SUM(E15:E27)</f>
        <v>428432717.06</v>
      </c>
      <c r="F14" s="57">
        <f aca="true" t="shared" si="1" ref="F14:W14">SUM(F15:F27)</f>
        <v>247725491</v>
      </c>
      <c r="G14" s="57">
        <f t="shared" si="1"/>
        <v>59693086</v>
      </c>
      <c r="H14" s="57">
        <f t="shared" si="1"/>
        <v>297864281.39000005</v>
      </c>
      <c r="I14" s="57">
        <f t="shared" si="1"/>
        <v>182746955.48</v>
      </c>
      <c r="J14" s="57">
        <f t="shared" si="1"/>
        <v>35720940.69</v>
      </c>
      <c r="K14" s="97">
        <f aca="true" t="shared" si="2" ref="K14:K36">H14/E14*100</f>
        <v>69.52416786327863</v>
      </c>
      <c r="L14" s="57">
        <f t="shared" si="1"/>
        <v>59555968.45</v>
      </c>
      <c r="M14" s="57">
        <f t="shared" si="1"/>
        <v>36241117</v>
      </c>
      <c r="N14" s="57">
        <f t="shared" si="1"/>
        <v>2470383</v>
      </c>
      <c r="O14" s="57">
        <f t="shared" si="1"/>
        <v>1518188</v>
      </c>
      <c r="P14" s="57">
        <f t="shared" si="1"/>
        <v>23314851.45</v>
      </c>
      <c r="Q14" s="57">
        <f t="shared" si="1"/>
        <v>40403216.97</v>
      </c>
      <c r="R14" s="57">
        <f t="shared" si="1"/>
        <v>20126886.94</v>
      </c>
      <c r="S14" s="57">
        <f t="shared" si="1"/>
        <v>1335214.69</v>
      </c>
      <c r="T14" s="57">
        <f t="shared" si="1"/>
        <v>815217.2</v>
      </c>
      <c r="U14" s="57">
        <f t="shared" si="1"/>
        <v>20276330.030000005</v>
      </c>
      <c r="V14" s="97">
        <f aca="true" t="shared" si="3" ref="V14:V37">Q14/L14*100</f>
        <v>67.84075218912841</v>
      </c>
      <c r="W14" s="57">
        <f t="shared" si="1"/>
        <v>338267498.36</v>
      </c>
      <c r="X14" s="159"/>
      <c r="Y14" s="80"/>
    </row>
    <row r="15" spans="1:25" s="15" customFormat="1" ht="20.25" customHeight="1">
      <c r="A15" s="18"/>
      <c r="B15" s="22" t="s">
        <v>60</v>
      </c>
      <c r="C15" s="22" t="s">
        <v>194</v>
      </c>
      <c r="D15" s="23" t="s">
        <v>61</v>
      </c>
      <c r="E15" s="49">
        <f>'дод. 3'!E47</f>
        <v>113571819</v>
      </c>
      <c r="F15" s="49">
        <f>'дод. 3'!F47</f>
        <v>64004135</v>
      </c>
      <c r="G15" s="49">
        <f>'дод. 3'!G47</f>
        <v>19789563</v>
      </c>
      <c r="H15" s="49">
        <f>'дод. 3'!H47</f>
        <v>79411654.67</v>
      </c>
      <c r="I15" s="49">
        <f>'дод. 3'!I47</f>
        <v>47203234.99</v>
      </c>
      <c r="J15" s="49">
        <f>'дод. 3'!J47</f>
        <v>11807582.73</v>
      </c>
      <c r="K15" s="62">
        <f t="shared" si="2"/>
        <v>69.92197128585217</v>
      </c>
      <c r="L15" s="49">
        <f>M15+P15</f>
        <v>17456747</v>
      </c>
      <c r="M15" s="49">
        <f>'дод. 3'!M47</f>
        <v>11284686</v>
      </c>
      <c r="N15" s="49">
        <f>'дод. 3'!N47</f>
        <v>0</v>
      </c>
      <c r="O15" s="49">
        <f>'дод. 3'!O47</f>
        <v>0</v>
      </c>
      <c r="P15" s="49">
        <f>'дод. 3'!P47</f>
        <v>6172061</v>
      </c>
      <c r="Q15" s="49">
        <f>R15+U15</f>
        <v>11710504.379999999</v>
      </c>
      <c r="R15" s="49">
        <f>'дод. 3'!R47</f>
        <v>6896019.72</v>
      </c>
      <c r="S15" s="49">
        <f>'дод. 3'!S47</f>
        <v>0</v>
      </c>
      <c r="T15" s="49">
        <f>'дод. 3'!T47</f>
        <v>0</v>
      </c>
      <c r="U15" s="49">
        <f>'дод. 3'!U47</f>
        <v>4814484.66</v>
      </c>
      <c r="V15" s="62">
        <f t="shared" si="3"/>
        <v>67.08297015474875</v>
      </c>
      <c r="W15" s="49">
        <f aca="true" t="shared" si="4" ref="W15:W27">H15+Q15</f>
        <v>91122159.05</v>
      </c>
      <c r="X15" s="159"/>
      <c r="Y15" s="80"/>
    </row>
    <row r="16" spans="1:25" s="15" customFormat="1" ht="60">
      <c r="A16" s="18"/>
      <c r="B16" s="22" t="s">
        <v>62</v>
      </c>
      <c r="C16" s="22" t="s">
        <v>195</v>
      </c>
      <c r="D16" s="23" t="s">
        <v>63</v>
      </c>
      <c r="E16" s="49">
        <f>'дод. 3'!E48</f>
        <v>234314747.31</v>
      </c>
      <c r="F16" s="49">
        <f>'дод. 3'!F48</f>
        <v>141349950</v>
      </c>
      <c r="G16" s="49">
        <f>'дод. 3'!G48</f>
        <v>31014749</v>
      </c>
      <c r="H16" s="49">
        <f>'дод. 3'!H48</f>
        <v>163531614.03</v>
      </c>
      <c r="I16" s="49">
        <f>'дод. 3'!I48</f>
        <v>104641536.36</v>
      </c>
      <c r="J16" s="49">
        <f>'дод. 3'!J48</f>
        <v>18334579.99</v>
      </c>
      <c r="K16" s="62">
        <f t="shared" si="2"/>
        <v>69.79143050422113</v>
      </c>
      <c r="L16" s="49">
        <f aca="true" t="shared" si="5" ref="L16:L27">M16+P16</f>
        <v>34400398.45</v>
      </c>
      <c r="M16" s="49">
        <f>'дод. 3'!M48</f>
        <v>18497171</v>
      </c>
      <c r="N16" s="49">
        <f>'дод. 3'!N48</f>
        <v>740455</v>
      </c>
      <c r="O16" s="49">
        <f>'дод. 3'!O48</f>
        <v>47940</v>
      </c>
      <c r="P16" s="49">
        <f>'дод. 3'!P48</f>
        <v>15903227.45</v>
      </c>
      <c r="Q16" s="49">
        <f aca="true" t="shared" si="6" ref="Q16:Q27">R16+U16</f>
        <v>24093399.63</v>
      </c>
      <c r="R16" s="49">
        <f>'дод. 3'!R48</f>
        <v>9751971.87</v>
      </c>
      <c r="S16" s="49">
        <f>'дод. 3'!S48</f>
        <v>407344.77</v>
      </c>
      <c r="T16" s="49">
        <f>'дод. 3'!T48</f>
        <v>23160.37</v>
      </c>
      <c r="U16" s="49">
        <f>'дод. 3'!U48</f>
        <v>14341427.76</v>
      </c>
      <c r="V16" s="62">
        <f t="shared" si="3"/>
        <v>70.03814117158866</v>
      </c>
      <c r="W16" s="49">
        <f t="shared" si="4"/>
        <v>187625013.66</v>
      </c>
      <c r="X16" s="159"/>
      <c r="Y16" s="80"/>
    </row>
    <row r="17" spans="1:25" s="15" customFormat="1" ht="30" customHeight="1">
      <c r="A17" s="18"/>
      <c r="B17" s="22" t="s">
        <v>64</v>
      </c>
      <c r="C17" s="22" t="s">
        <v>195</v>
      </c>
      <c r="D17" s="23" t="s">
        <v>65</v>
      </c>
      <c r="E17" s="49">
        <f>'дод. 3'!E49</f>
        <v>358944</v>
      </c>
      <c r="F17" s="49">
        <f>'дод. 3'!F49</f>
        <v>293913</v>
      </c>
      <c r="G17" s="49">
        <f>'дод. 3'!G49</f>
        <v>0</v>
      </c>
      <c r="H17" s="49">
        <f>'дод. 3'!H49</f>
        <v>274535.62</v>
      </c>
      <c r="I17" s="49">
        <f>'дод. 3'!I49</f>
        <v>228153.19</v>
      </c>
      <c r="J17" s="49">
        <f>'дод. 3'!J49</f>
        <v>0</v>
      </c>
      <c r="K17" s="62">
        <f t="shared" si="2"/>
        <v>76.48424823927967</v>
      </c>
      <c r="L17" s="49">
        <f t="shared" si="5"/>
        <v>0</v>
      </c>
      <c r="M17" s="49">
        <f>'дод. 3'!M49</f>
        <v>0</v>
      </c>
      <c r="N17" s="49">
        <f>'дод. 3'!N49</f>
        <v>0</v>
      </c>
      <c r="O17" s="49">
        <f>'дод. 3'!O49</f>
        <v>0</v>
      </c>
      <c r="P17" s="49">
        <f>'дод. 3'!P49</f>
        <v>0</v>
      </c>
      <c r="Q17" s="49">
        <f t="shared" si="6"/>
        <v>0</v>
      </c>
      <c r="R17" s="49">
        <f>'дод. 3'!R49</f>
        <v>0</v>
      </c>
      <c r="S17" s="49">
        <f>'дод. 3'!S49</f>
        <v>0</v>
      </c>
      <c r="T17" s="49">
        <f>'дод. 3'!T49</f>
        <v>0</v>
      </c>
      <c r="U17" s="49">
        <f>'дод. 3'!U49</f>
        <v>0</v>
      </c>
      <c r="V17" s="62"/>
      <c r="W17" s="49">
        <f t="shared" si="4"/>
        <v>274535.62</v>
      </c>
      <c r="X17" s="159"/>
      <c r="Y17" s="80"/>
    </row>
    <row r="18" spans="1:25" s="15" customFormat="1" ht="30">
      <c r="A18" s="18"/>
      <c r="B18" s="22" t="s">
        <v>97</v>
      </c>
      <c r="C18" s="22" t="s">
        <v>194</v>
      </c>
      <c r="D18" s="23" t="s">
        <v>98</v>
      </c>
      <c r="E18" s="49">
        <f>'дод. 3'!E75</f>
        <v>1678900</v>
      </c>
      <c r="F18" s="49">
        <f>'дод. 3'!F75</f>
        <v>0</v>
      </c>
      <c r="G18" s="49">
        <f>'дод. 3'!G75</f>
        <v>0</v>
      </c>
      <c r="H18" s="49">
        <f>'дод. 3'!H75</f>
        <v>1042288.71</v>
      </c>
      <c r="I18" s="49">
        <f>'дод. 3'!I75</f>
        <v>0</v>
      </c>
      <c r="J18" s="49">
        <f>'дод. 3'!J75</f>
        <v>0</v>
      </c>
      <c r="K18" s="62">
        <f t="shared" si="2"/>
        <v>62.08164333789982</v>
      </c>
      <c r="L18" s="49">
        <f t="shared" si="5"/>
        <v>0</v>
      </c>
      <c r="M18" s="49">
        <f>'дод. 3'!M75</f>
        <v>0</v>
      </c>
      <c r="N18" s="49">
        <f>'дод. 3'!N75</f>
        <v>0</v>
      </c>
      <c r="O18" s="49">
        <f>'дод. 3'!O75</f>
        <v>0</v>
      </c>
      <c r="P18" s="49">
        <f>'дод. 3'!P75</f>
        <v>0</v>
      </c>
      <c r="Q18" s="49">
        <f t="shared" si="6"/>
        <v>0</v>
      </c>
      <c r="R18" s="49">
        <f>'дод. 3'!R75</f>
        <v>0</v>
      </c>
      <c r="S18" s="49">
        <f>'дод. 3'!S75</f>
        <v>0</v>
      </c>
      <c r="T18" s="49">
        <f>'дод. 3'!T75</f>
        <v>0</v>
      </c>
      <c r="U18" s="49">
        <f>'дод. 3'!U75</f>
        <v>0</v>
      </c>
      <c r="V18" s="62"/>
      <c r="W18" s="49">
        <f t="shared" si="4"/>
        <v>1042288.71</v>
      </c>
      <c r="X18" s="159"/>
      <c r="Y18" s="80"/>
    </row>
    <row r="19" spans="1:25" s="15" customFormat="1" ht="60">
      <c r="A19" s="18"/>
      <c r="B19" s="22" t="s">
        <v>66</v>
      </c>
      <c r="C19" s="22" t="s">
        <v>196</v>
      </c>
      <c r="D19" s="23" t="s">
        <v>67</v>
      </c>
      <c r="E19" s="49">
        <f>'дод. 3'!E50</f>
        <v>4579366.75</v>
      </c>
      <c r="F19" s="49">
        <f>'дод. 3'!F50</f>
        <v>2848507</v>
      </c>
      <c r="G19" s="49">
        <f>'дод. 3'!G50</f>
        <v>517072</v>
      </c>
      <c r="H19" s="49">
        <f>'дод. 3'!H50</f>
        <v>3130308.89</v>
      </c>
      <c r="I19" s="49">
        <f>'дод. 3'!I50</f>
        <v>2041576.38</v>
      </c>
      <c r="J19" s="49">
        <f>'дод. 3'!J50</f>
        <v>284810.77</v>
      </c>
      <c r="K19" s="62">
        <f t="shared" si="2"/>
        <v>68.35680697554962</v>
      </c>
      <c r="L19" s="49">
        <f t="shared" si="5"/>
        <v>123583</v>
      </c>
      <c r="M19" s="49">
        <f>'дод. 3'!M50</f>
        <v>0</v>
      </c>
      <c r="N19" s="49">
        <f>'дод. 3'!N50</f>
        <v>0</v>
      </c>
      <c r="O19" s="49">
        <f>'дод. 3'!O50</f>
        <v>0</v>
      </c>
      <c r="P19" s="49">
        <f>'дод. 3'!P50</f>
        <v>123583</v>
      </c>
      <c r="Q19" s="49">
        <f t="shared" si="6"/>
        <v>114507.17</v>
      </c>
      <c r="R19" s="49">
        <f>'дод. 3'!R50</f>
        <v>20702.75</v>
      </c>
      <c r="S19" s="49">
        <f>'дод. 3'!S50</f>
        <v>0</v>
      </c>
      <c r="T19" s="49">
        <f>'дод. 3'!T50</f>
        <v>0</v>
      </c>
      <c r="U19" s="49">
        <f>'дод. 3'!U50</f>
        <v>93804.42</v>
      </c>
      <c r="V19" s="62">
        <f t="shared" si="3"/>
        <v>92.65608538391203</v>
      </c>
      <c r="W19" s="49">
        <f t="shared" si="4"/>
        <v>3244816.06</v>
      </c>
      <c r="X19" s="159"/>
      <c r="Y19" s="80"/>
    </row>
    <row r="20" spans="1:25" s="15" customFormat="1" ht="30">
      <c r="A20" s="18"/>
      <c r="B20" s="22" t="s">
        <v>68</v>
      </c>
      <c r="C20" s="22" t="s">
        <v>197</v>
      </c>
      <c r="D20" s="23" t="s">
        <v>69</v>
      </c>
      <c r="E20" s="49">
        <f>'дод. 3'!E51</f>
        <v>12572837</v>
      </c>
      <c r="F20" s="49">
        <f>'дод. 3'!F51</f>
        <v>8496052</v>
      </c>
      <c r="G20" s="49">
        <f>'дод. 3'!G51</f>
        <v>1785662</v>
      </c>
      <c r="H20" s="49">
        <f>'дод. 3'!H51</f>
        <v>8832879.8</v>
      </c>
      <c r="I20" s="49">
        <f>'дод. 3'!I51</f>
        <v>6197877.6</v>
      </c>
      <c r="J20" s="49">
        <f>'дод. 3'!J51</f>
        <v>1061131</v>
      </c>
      <c r="K20" s="62">
        <f t="shared" si="2"/>
        <v>70.25367305724237</v>
      </c>
      <c r="L20" s="49">
        <f t="shared" si="5"/>
        <v>450000</v>
      </c>
      <c r="M20" s="49">
        <f>'дод. 3'!M51</f>
        <v>0</v>
      </c>
      <c r="N20" s="49">
        <f>'дод. 3'!N51</f>
        <v>0</v>
      </c>
      <c r="O20" s="49">
        <f>'дод. 3'!O51</f>
        <v>0</v>
      </c>
      <c r="P20" s="49">
        <f>'дод. 3'!P51</f>
        <v>450000</v>
      </c>
      <c r="Q20" s="49">
        <f t="shared" si="6"/>
        <v>798006.37</v>
      </c>
      <c r="R20" s="49">
        <f>'дод. 3'!R51</f>
        <v>260605.87</v>
      </c>
      <c r="S20" s="49">
        <f>'дод. 3'!S51</f>
        <v>0</v>
      </c>
      <c r="T20" s="49">
        <f>'дод. 3'!T51</f>
        <v>0</v>
      </c>
      <c r="U20" s="49">
        <f>'дод. 3'!U51</f>
        <v>537400.5</v>
      </c>
      <c r="V20" s="62">
        <f t="shared" si="3"/>
        <v>177.3347488888889</v>
      </c>
      <c r="W20" s="49">
        <f t="shared" si="4"/>
        <v>9630886.17</v>
      </c>
      <c r="X20" s="159"/>
      <c r="Y20" s="80"/>
    </row>
    <row r="21" spans="1:25" s="15" customFormat="1" ht="23.25" customHeight="1">
      <c r="A21" s="18"/>
      <c r="B21" s="22" t="s">
        <v>304</v>
      </c>
      <c r="C21" s="22" t="s">
        <v>306</v>
      </c>
      <c r="D21" s="23" t="s">
        <v>305</v>
      </c>
      <c r="E21" s="49">
        <f>'дод. 3'!E52</f>
        <v>55069266</v>
      </c>
      <c r="F21" s="49">
        <f>'дод. 3'!F52</f>
        <v>26388545</v>
      </c>
      <c r="G21" s="49">
        <f>'дод. 3'!G52</f>
        <v>6083140</v>
      </c>
      <c r="H21" s="49">
        <f>'дод. 3'!H52</f>
        <v>37275200.23</v>
      </c>
      <c r="I21" s="49">
        <f>'дод. 3'!I52</f>
        <v>19278235.16</v>
      </c>
      <c r="J21" s="49">
        <f>'дод. 3'!J52</f>
        <v>3953346.29</v>
      </c>
      <c r="K21" s="62">
        <f t="shared" si="2"/>
        <v>67.68784648409877</v>
      </c>
      <c r="L21" s="49">
        <f t="shared" si="5"/>
        <v>6764260</v>
      </c>
      <c r="M21" s="49">
        <f>'дод. 3'!M52</f>
        <v>6459260</v>
      </c>
      <c r="N21" s="49">
        <f>'дод. 3'!N52</f>
        <v>1729928</v>
      </c>
      <c r="O21" s="49">
        <f>'дод. 3'!O52</f>
        <v>1470248</v>
      </c>
      <c r="P21" s="49">
        <f>'дод. 3'!P52</f>
        <v>305000</v>
      </c>
      <c r="Q21" s="49">
        <f t="shared" si="6"/>
        <v>3143612.11</v>
      </c>
      <c r="R21" s="49">
        <f>'дод. 3'!R52</f>
        <v>3006950.11</v>
      </c>
      <c r="S21" s="49">
        <f>'дод. 3'!S52</f>
        <v>927869.92</v>
      </c>
      <c r="T21" s="49">
        <f>'дод. 3'!T52</f>
        <v>792056.83</v>
      </c>
      <c r="U21" s="49">
        <f>'дод. 3'!U52</f>
        <v>136662</v>
      </c>
      <c r="V21" s="62">
        <f t="shared" si="3"/>
        <v>46.473850946001484</v>
      </c>
      <c r="W21" s="49">
        <f t="shared" si="4"/>
        <v>40418812.339999996</v>
      </c>
      <c r="X21" s="159"/>
      <c r="Y21" s="80"/>
    </row>
    <row r="22" spans="1:25" s="15" customFormat="1" ht="30">
      <c r="A22" s="18"/>
      <c r="B22" s="22" t="s">
        <v>70</v>
      </c>
      <c r="C22" s="22" t="s">
        <v>198</v>
      </c>
      <c r="D22" s="23" t="s">
        <v>71</v>
      </c>
      <c r="E22" s="49">
        <f>'дод. 3'!E53</f>
        <v>1773105</v>
      </c>
      <c r="F22" s="49">
        <f>'дод. 3'!F53</f>
        <v>1350953</v>
      </c>
      <c r="G22" s="49">
        <f>'дод. 3'!G53</f>
        <v>79885</v>
      </c>
      <c r="H22" s="49">
        <f>'дод. 3'!H53</f>
        <v>1269338.62</v>
      </c>
      <c r="I22" s="49">
        <f>'дод. 3'!I53</f>
        <v>978250.59</v>
      </c>
      <c r="J22" s="49">
        <f>'дод. 3'!J53</f>
        <v>47250.66</v>
      </c>
      <c r="K22" s="62">
        <f t="shared" si="2"/>
        <v>71.58846317617964</v>
      </c>
      <c r="L22" s="49">
        <f t="shared" si="5"/>
        <v>118730</v>
      </c>
      <c r="M22" s="49">
        <f>'дод. 3'!M53</f>
        <v>0</v>
      </c>
      <c r="N22" s="49">
        <f>'дод. 3'!N53</f>
        <v>0</v>
      </c>
      <c r="O22" s="49">
        <f>'дод. 3'!O53</f>
        <v>0</v>
      </c>
      <c r="P22" s="49">
        <f>'дод. 3'!P53</f>
        <v>118730</v>
      </c>
      <c r="Q22" s="49">
        <f t="shared" si="6"/>
        <v>131326.1</v>
      </c>
      <c r="R22" s="49">
        <f>'дод. 3'!R53</f>
        <v>11438.43</v>
      </c>
      <c r="S22" s="49">
        <f>'дод. 3'!S53</f>
        <v>0</v>
      </c>
      <c r="T22" s="49">
        <f>'дод. 3'!T53</f>
        <v>0</v>
      </c>
      <c r="U22" s="49">
        <f>'дод. 3'!U53</f>
        <v>119887.67</v>
      </c>
      <c r="V22" s="62">
        <f t="shared" si="3"/>
        <v>110.60902888907607</v>
      </c>
      <c r="W22" s="49">
        <f t="shared" si="4"/>
        <v>1400664.7200000002</v>
      </c>
      <c r="X22" s="159"/>
      <c r="Y22" s="80"/>
    </row>
    <row r="23" spans="1:25" s="15" customFormat="1" ht="30">
      <c r="A23" s="18"/>
      <c r="B23" s="22" t="s">
        <v>72</v>
      </c>
      <c r="C23" s="22" t="s">
        <v>198</v>
      </c>
      <c r="D23" s="23" t="s">
        <v>73</v>
      </c>
      <c r="E23" s="49">
        <f>'дод. 3'!E54</f>
        <v>1645867</v>
      </c>
      <c r="F23" s="49">
        <f>'дод. 3'!F54</f>
        <v>1169665</v>
      </c>
      <c r="G23" s="49">
        <f>'дод. 3'!G54</f>
        <v>82225</v>
      </c>
      <c r="H23" s="49">
        <f>'дод. 3'!H54</f>
        <v>1158239.16</v>
      </c>
      <c r="I23" s="49">
        <f>'дод. 3'!I54</f>
        <v>863555.39</v>
      </c>
      <c r="J23" s="49">
        <f>'дод. 3'!J54</f>
        <v>51301.54</v>
      </c>
      <c r="K23" s="62">
        <f t="shared" si="2"/>
        <v>70.37258539116465</v>
      </c>
      <c r="L23" s="49">
        <f t="shared" si="5"/>
        <v>92250</v>
      </c>
      <c r="M23" s="49">
        <f>'дод. 3'!M54</f>
        <v>0</v>
      </c>
      <c r="N23" s="49">
        <f>'дод. 3'!N54</f>
        <v>0</v>
      </c>
      <c r="O23" s="49">
        <f>'дод. 3'!O54</f>
        <v>0</v>
      </c>
      <c r="P23" s="49">
        <f>'дод. 3'!P54</f>
        <v>92250</v>
      </c>
      <c r="Q23" s="49">
        <f t="shared" si="6"/>
        <v>91550</v>
      </c>
      <c r="R23" s="49">
        <f>'дод. 3'!R54</f>
        <v>0</v>
      </c>
      <c r="S23" s="49">
        <f>'дод. 3'!S54</f>
        <v>0</v>
      </c>
      <c r="T23" s="49">
        <f>'дод. 3'!T54</f>
        <v>0</v>
      </c>
      <c r="U23" s="49">
        <f>'дод. 3'!U54</f>
        <v>91550</v>
      </c>
      <c r="V23" s="62">
        <f t="shared" si="3"/>
        <v>99.24119241192412</v>
      </c>
      <c r="W23" s="49">
        <f t="shared" si="4"/>
        <v>1249789.16</v>
      </c>
      <c r="X23" s="159"/>
      <c r="Y23" s="80"/>
    </row>
    <row r="24" spans="1:25" s="15" customFormat="1" ht="30">
      <c r="A24" s="18"/>
      <c r="B24" s="22" t="s">
        <v>74</v>
      </c>
      <c r="C24" s="22" t="s">
        <v>198</v>
      </c>
      <c r="D24" s="23" t="s">
        <v>75</v>
      </c>
      <c r="E24" s="49">
        <f>'дод. 3'!E55</f>
        <v>162138</v>
      </c>
      <c r="F24" s="49">
        <f>'дод. 3'!F55</f>
        <v>126390</v>
      </c>
      <c r="G24" s="49">
        <f>'дод. 3'!G55</f>
        <v>5147</v>
      </c>
      <c r="H24" s="49">
        <f>'дод. 3'!H55</f>
        <v>98657.49</v>
      </c>
      <c r="I24" s="49">
        <f>'дод. 3'!I55</f>
        <v>76740.36</v>
      </c>
      <c r="J24" s="49">
        <f>'дод. 3'!J55</f>
        <v>3658.31</v>
      </c>
      <c r="K24" s="62">
        <f t="shared" si="2"/>
        <v>60.84785182992266</v>
      </c>
      <c r="L24" s="49">
        <f t="shared" si="5"/>
        <v>0</v>
      </c>
      <c r="M24" s="49">
        <f>'дод. 3'!M55</f>
        <v>0</v>
      </c>
      <c r="N24" s="49">
        <f>'дод. 3'!N55</f>
        <v>0</v>
      </c>
      <c r="O24" s="49">
        <f>'дод. 3'!O55</f>
        <v>0</v>
      </c>
      <c r="P24" s="49">
        <f>'дод. 3'!P55</f>
        <v>0</v>
      </c>
      <c r="Q24" s="49">
        <f t="shared" si="6"/>
        <v>0</v>
      </c>
      <c r="R24" s="49">
        <f>'дод. 3'!R55</f>
        <v>0</v>
      </c>
      <c r="S24" s="49">
        <f>'дод. 3'!S55</f>
        <v>0</v>
      </c>
      <c r="T24" s="49">
        <f>'дод. 3'!T55</f>
        <v>0</v>
      </c>
      <c r="U24" s="49">
        <f>'дод. 3'!U55</f>
        <v>0</v>
      </c>
      <c r="V24" s="62"/>
      <c r="W24" s="49">
        <f t="shared" si="4"/>
        <v>98657.49</v>
      </c>
      <c r="X24" s="159"/>
      <c r="Y24" s="80"/>
    </row>
    <row r="25" spans="1:25" s="15" customFormat="1" ht="23.25" customHeight="1">
      <c r="A25" s="18"/>
      <c r="B25" s="22" t="s">
        <v>76</v>
      </c>
      <c r="C25" s="22" t="s">
        <v>198</v>
      </c>
      <c r="D25" s="23" t="s">
        <v>77</v>
      </c>
      <c r="E25" s="49">
        <f>'дод. 3'!E56</f>
        <v>2607237</v>
      </c>
      <c r="F25" s="49">
        <f>'дод. 3'!F56</f>
        <v>1697381</v>
      </c>
      <c r="G25" s="49">
        <f>'дод. 3'!G56</f>
        <v>335643</v>
      </c>
      <c r="H25" s="49">
        <f>'дод. 3'!H56</f>
        <v>1782604.17</v>
      </c>
      <c r="I25" s="49">
        <f>'дод. 3'!I56</f>
        <v>1237795.46</v>
      </c>
      <c r="J25" s="49">
        <f>'дод. 3'!J56</f>
        <v>177279.4</v>
      </c>
      <c r="K25" s="62">
        <f t="shared" si="2"/>
        <v>68.37138971255777</v>
      </c>
      <c r="L25" s="49">
        <f t="shared" si="5"/>
        <v>150000</v>
      </c>
      <c r="M25" s="49">
        <f>'дод. 3'!M56</f>
        <v>0</v>
      </c>
      <c r="N25" s="49">
        <f>'дод. 3'!N56</f>
        <v>0</v>
      </c>
      <c r="O25" s="49">
        <f>'дод. 3'!O56</f>
        <v>0</v>
      </c>
      <c r="P25" s="49">
        <f>'дод. 3'!P56</f>
        <v>150000</v>
      </c>
      <c r="Q25" s="49">
        <f t="shared" si="6"/>
        <v>320311.20999999996</v>
      </c>
      <c r="R25" s="49">
        <f>'дод. 3'!R56</f>
        <v>179198.19</v>
      </c>
      <c r="S25" s="49">
        <f>'дод. 3'!S56</f>
        <v>0</v>
      </c>
      <c r="T25" s="49">
        <f>'дод. 3'!T56</f>
        <v>0</v>
      </c>
      <c r="U25" s="49">
        <f>'дод. 3'!U56</f>
        <v>141113.02</v>
      </c>
      <c r="V25" s="62">
        <f t="shared" si="3"/>
        <v>213.54080666666664</v>
      </c>
      <c r="W25" s="49">
        <f t="shared" si="4"/>
        <v>2102915.38</v>
      </c>
      <c r="X25" s="159"/>
      <c r="Y25" s="80"/>
    </row>
    <row r="26" spans="1:25" s="15" customFormat="1" ht="26.25" customHeight="1">
      <c r="A26" s="18"/>
      <c r="B26" s="22" t="s">
        <v>78</v>
      </c>
      <c r="C26" s="22" t="s">
        <v>198</v>
      </c>
      <c r="D26" s="23" t="s">
        <v>79</v>
      </c>
      <c r="E26" s="49">
        <f>'дод. 3'!E57</f>
        <v>53240</v>
      </c>
      <c r="F26" s="49">
        <f>'дод. 3'!F57</f>
        <v>0</v>
      </c>
      <c r="G26" s="49">
        <f>'дод. 3'!G57</f>
        <v>0</v>
      </c>
      <c r="H26" s="49">
        <f>'дод. 3'!H57</f>
        <v>26190</v>
      </c>
      <c r="I26" s="49">
        <f>'дод. 3'!I57</f>
        <v>0</v>
      </c>
      <c r="J26" s="49">
        <f>'дод. 3'!J57</f>
        <v>0</v>
      </c>
      <c r="K26" s="62">
        <f t="shared" si="2"/>
        <v>49.1923365890308</v>
      </c>
      <c r="L26" s="49">
        <f t="shared" si="5"/>
        <v>0</v>
      </c>
      <c r="M26" s="49">
        <f>'дод. 3'!M57</f>
        <v>0</v>
      </c>
      <c r="N26" s="49">
        <f>'дод. 3'!N57</f>
        <v>0</v>
      </c>
      <c r="O26" s="49">
        <f>'дод. 3'!O57</f>
        <v>0</v>
      </c>
      <c r="P26" s="49">
        <f>'дод. 3'!P57</f>
        <v>0</v>
      </c>
      <c r="Q26" s="49">
        <f t="shared" si="6"/>
        <v>0</v>
      </c>
      <c r="R26" s="49">
        <f>'дод. 3'!R57</f>
        <v>0</v>
      </c>
      <c r="S26" s="49">
        <f>'дод. 3'!S57</f>
        <v>0</v>
      </c>
      <c r="T26" s="49">
        <f>'дод. 3'!T57</f>
        <v>0</v>
      </c>
      <c r="U26" s="49">
        <f>'дод. 3'!U57</f>
        <v>0</v>
      </c>
      <c r="V26" s="62"/>
      <c r="W26" s="49">
        <f t="shared" si="4"/>
        <v>26190</v>
      </c>
      <c r="X26" s="159"/>
      <c r="Y26" s="80"/>
    </row>
    <row r="27" spans="1:25" s="15" customFormat="1" ht="45">
      <c r="A27" s="18"/>
      <c r="B27" s="22" t="s">
        <v>80</v>
      </c>
      <c r="C27" s="22" t="s">
        <v>198</v>
      </c>
      <c r="D27" s="23" t="s">
        <v>81</v>
      </c>
      <c r="E27" s="49">
        <f>'дод. 3'!E58</f>
        <v>45250</v>
      </c>
      <c r="F27" s="49">
        <f>'дод. 3'!F58</f>
        <v>0</v>
      </c>
      <c r="G27" s="49">
        <f>'дод. 3'!G58</f>
        <v>0</v>
      </c>
      <c r="H27" s="49">
        <f>'дод. 3'!H58</f>
        <v>30770</v>
      </c>
      <c r="I27" s="49">
        <f>'дод. 3'!I58</f>
        <v>0</v>
      </c>
      <c r="J27" s="49">
        <f>'дод. 3'!J58</f>
        <v>0</v>
      </c>
      <c r="K27" s="62">
        <f t="shared" si="2"/>
        <v>68</v>
      </c>
      <c r="L27" s="49">
        <f t="shared" si="5"/>
        <v>0</v>
      </c>
      <c r="M27" s="49">
        <f>'дод. 3'!M58</f>
        <v>0</v>
      </c>
      <c r="N27" s="49">
        <f>'дод. 3'!N58</f>
        <v>0</v>
      </c>
      <c r="O27" s="49">
        <f>'дод. 3'!O58</f>
        <v>0</v>
      </c>
      <c r="P27" s="49">
        <f>'дод. 3'!P58</f>
        <v>0</v>
      </c>
      <c r="Q27" s="49">
        <f t="shared" si="6"/>
        <v>0</v>
      </c>
      <c r="R27" s="49">
        <f>'дод. 3'!R58</f>
        <v>0</v>
      </c>
      <c r="S27" s="49">
        <f>'дод. 3'!S58</f>
        <v>0</v>
      </c>
      <c r="T27" s="49">
        <f>'дод. 3'!T58</f>
        <v>0</v>
      </c>
      <c r="U27" s="49">
        <f>'дод. 3'!U58</f>
        <v>0</v>
      </c>
      <c r="V27" s="62"/>
      <c r="W27" s="49">
        <f t="shared" si="4"/>
        <v>30770</v>
      </c>
      <c r="X27" s="159"/>
      <c r="Y27" s="80"/>
    </row>
    <row r="28" spans="1:25" s="15" customFormat="1" ht="26.25" customHeight="1">
      <c r="A28" s="18"/>
      <c r="B28" s="45" t="s">
        <v>254</v>
      </c>
      <c r="C28" s="44"/>
      <c r="D28" s="46" t="s">
        <v>255</v>
      </c>
      <c r="E28" s="57">
        <f>SUM(E29:E36)</f>
        <v>225028220.43</v>
      </c>
      <c r="F28" s="57">
        <f aca="true" t="shared" si="7" ref="F28:W28">SUM(F29:F36)</f>
        <v>127072616</v>
      </c>
      <c r="G28" s="57">
        <f t="shared" si="7"/>
        <v>19115405</v>
      </c>
      <c r="H28" s="57">
        <f t="shared" si="7"/>
        <v>157386938.99</v>
      </c>
      <c r="I28" s="57">
        <f t="shared" si="7"/>
        <v>94108387.38000001</v>
      </c>
      <c r="J28" s="57">
        <f t="shared" si="7"/>
        <v>11892407.72</v>
      </c>
      <c r="K28" s="97">
        <f t="shared" si="2"/>
        <v>69.94097837562498</v>
      </c>
      <c r="L28" s="57">
        <f t="shared" si="7"/>
        <v>37265078</v>
      </c>
      <c r="M28" s="57">
        <f t="shared" si="7"/>
        <v>11785214</v>
      </c>
      <c r="N28" s="57">
        <f t="shared" si="7"/>
        <v>6366242</v>
      </c>
      <c r="O28" s="57">
        <f t="shared" si="7"/>
        <v>500810</v>
      </c>
      <c r="P28" s="57">
        <f t="shared" si="7"/>
        <v>25479864</v>
      </c>
      <c r="Q28" s="57">
        <f t="shared" si="7"/>
        <v>35991303.27</v>
      </c>
      <c r="R28" s="57">
        <f t="shared" si="7"/>
        <v>10053189.05</v>
      </c>
      <c r="S28" s="57">
        <f t="shared" si="7"/>
        <v>4415809.59</v>
      </c>
      <c r="T28" s="57">
        <f t="shared" si="7"/>
        <v>335016.43</v>
      </c>
      <c r="U28" s="57">
        <f t="shared" si="7"/>
        <v>25938114.22</v>
      </c>
      <c r="V28" s="97">
        <f t="shared" si="3"/>
        <v>96.58185411553413</v>
      </c>
      <c r="W28" s="57">
        <f t="shared" si="7"/>
        <v>193378242.26</v>
      </c>
      <c r="X28" s="159"/>
      <c r="Y28" s="80"/>
    </row>
    <row r="29" spans="1:25" s="15" customFormat="1" ht="33" customHeight="1">
      <c r="A29" s="18"/>
      <c r="B29" s="22" t="s">
        <v>84</v>
      </c>
      <c r="C29" s="22" t="s">
        <v>201</v>
      </c>
      <c r="D29" s="23" t="s">
        <v>85</v>
      </c>
      <c r="E29" s="49">
        <f>'дод. 3'!E65+'дод. 3'!E160</f>
        <v>178276743.43</v>
      </c>
      <c r="F29" s="49">
        <f>'дод. 3'!F65+'дод. 3'!F160</f>
        <v>104028299</v>
      </c>
      <c r="G29" s="49">
        <f>'дод. 3'!G65+'дод. 3'!G160</f>
        <v>15447851</v>
      </c>
      <c r="H29" s="49">
        <f>'дод. 3'!H65+'дод. 3'!H160</f>
        <v>126796415.92</v>
      </c>
      <c r="I29" s="49">
        <f>'дод. 3'!I65+'дод. 3'!I160</f>
        <v>77017951.1</v>
      </c>
      <c r="J29" s="49">
        <f>'дод. 3'!J65+'дод. 3'!J160</f>
        <v>9820637.98</v>
      </c>
      <c r="K29" s="62">
        <f t="shared" si="2"/>
        <v>71.12336330609851</v>
      </c>
      <c r="L29" s="49">
        <f>M29+P29</f>
        <v>26937982</v>
      </c>
      <c r="M29" s="49">
        <f>'дод. 3'!M65+'дод. 3'!M160</f>
        <v>7844182</v>
      </c>
      <c r="N29" s="49">
        <f>'дод. 3'!N65+'дод. 3'!N160</f>
        <v>4083407</v>
      </c>
      <c r="O29" s="49">
        <f>'дод. 3'!O65+'дод. 3'!O160</f>
        <v>177480</v>
      </c>
      <c r="P29" s="49">
        <f>'дод. 3'!P65+'дод. 3'!P160</f>
        <v>19093800</v>
      </c>
      <c r="Q29" s="49">
        <f>R29+U29</f>
        <v>28732452.43</v>
      </c>
      <c r="R29" s="49">
        <f>'дод. 3'!R65+'дод. 3'!R160</f>
        <v>7202909.03</v>
      </c>
      <c r="S29" s="49">
        <f>'дод. 3'!S65+'дод. 3'!S160</f>
        <v>2924250.07</v>
      </c>
      <c r="T29" s="49">
        <f>'дод. 3'!T65+'дод. 3'!T160</f>
        <v>134184.1</v>
      </c>
      <c r="U29" s="49">
        <f>'дод. 3'!U65+'дод. 3'!U160</f>
        <v>21529543.4</v>
      </c>
      <c r="V29" s="62">
        <f t="shared" si="3"/>
        <v>106.66148796892061</v>
      </c>
      <c r="W29" s="49">
        <f aca="true" t="shared" si="8" ref="W29:W36">H29+Q29</f>
        <v>155528868.35</v>
      </c>
      <c r="X29" s="159"/>
      <c r="Y29" s="80"/>
    </row>
    <row r="30" spans="1:25" s="15" customFormat="1" ht="15">
      <c r="A30" s="18"/>
      <c r="B30" s="28" t="s">
        <v>86</v>
      </c>
      <c r="C30" s="28" t="s">
        <v>202</v>
      </c>
      <c r="D30" s="29" t="s">
        <v>87</v>
      </c>
      <c r="E30" s="49">
        <f>'дод. 3'!E66</f>
        <v>18413485</v>
      </c>
      <c r="F30" s="49">
        <f>'дод. 3'!F66</f>
        <v>11821232</v>
      </c>
      <c r="G30" s="49">
        <f>'дод. 3'!G66</f>
        <v>2655803</v>
      </c>
      <c r="H30" s="49">
        <f>'дод. 3'!H66</f>
        <v>13109511.54</v>
      </c>
      <c r="I30" s="49">
        <f>'дод. 3'!I66</f>
        <v>8854855.04</v>
      </c>
      <c r="J30" s="49">
        <f>'дод. 3'!J66</f>
        <v>1491273.39</v>
      </c>
      <c r="K30" s="62">
        <f t="shared" si="2"/>
        <v>71.1951677805695</v>
      </c>
      <c r="L30" s="49">
        <f aca="true" t="shared" si="9" ref="L30:L36">M30+P30</f>
        <v>2919304</v>
      </c>
      <c r="M30" s="49">
        <f>'дод. 3'!M66</f>
        <v>25240</v>
      </c>
      <c r="N30" s="49">
        <f>'дод. 3'!N66</f>
        <v>9460</v>
      </c>
      <c r="O30" s="49">
        <f>'дод. 3'!O66</f>
        <v>4150</v>
      </c>
      <c r="P30" s="49">
        <f>'дод. 3'!P66</f>
        <v>2894064</v>
      </c>
      <c r="Q30" s="49">
        <f aca="true" t="shared" si="10" ref="Q30:Q36">R30+U30</f>
        <v>1578661.6600000001</v>
      </c>
      <c r="R30" s="49">
        <f>'дод. 3'!R66</f>
        <v>101296.88</v>
      </c>
      <c r="S30" s="49">
        <f>'дод. 3'!S66</f>
        <v>9846.45</v>
      </c>
      <c r="T30" s="49">
        <f>'дод. 3'!T66</f>
        <v>0</v>
      </c>
      <c r="U30" s="49">
        <f>'дод. 3'!U66</f>
        <v>1477364.78</v>
      </c>
      <c r="V30" s="62">
        <f t="shared" si="3"/>
        <v>54.076644981132496</v>
      </c>
      <c r="W30" s="49">
        <f t="shared" si="8"/>
        <v>14688173.2</v>
      </c>
      <c r="X30" s="159"/>
      <c r="Y30" s="80"/>
    </row>
    <row r="31" spans="1:25" s="15" customFormat="1" ht="60">
      <c r="A31" s="18"/>
      <c r="B31" s="22" t="s">
        <v>236</v>
      </c>
      <c r="C31" s="22" t="s">
        <v>237</v>
      </c>
      <c r="D31" s="23" t="s">
        <v>238</v>
      </c>
      <c r="E31" s="49">
        <f>'дод. 3'!E67</f>
        <v>1642444</v>
      </c>
      <c r="F31" s="49">
        <f>'дод. 3'!F67</f>
        <v>1236499</v>
      </c>
      <c r="G31" s="49">
        <f>'дод. 3'!G67</f>
        <v>76813</v>
      </c>
      <c r="H31" s="49">
        <f>'дод. 3'!H67</f>
        <v>1173838.3</v>
      </c>
      <c r="I31" s="49">
        <f>'дод. 3'!I67</f>
        <v>902982.76</v>
      </c>
      <c r="J31" s="49">
        <f>'дод. 3'!J67</f>
        <v>49856.88</v>
      </c>
      <c r="K31" s="62">
        <f t="shared" si="2"/>
        <v>71.4689998563117</v>
      </c>
      <c r="L31" s="49">
        <f t="shared" si="9"/>
        <v>407000</v>
      </c>
      <c r="M31" s="49">
        <f>'дод. 3'!M67</f>
        <v>407000</v>
      </c>
      <c r="N31" s="49">
        <f>'дод. 3'!N67</f>
        <v>98000</v>
      </c>
      <c r="O31" s="49">
        <f>'дод. 3'!O67</f>
        <v>132800</v>
      </c>
      <c r="P31" s="49">
        <f>'дод. 3'!P67</f>
        <v>0</v>
      </c>
      <c r="Q31" s="49">
        <f t="shared" si="10"/>
        <v>343376.58</v>
      </c>
      <c r="R31" s="49">
        <f>'дод. 3'!R67</f>
        <v>343376.58</v>
      </c>
      <c r="S31" s="49">
        <f>'дод. 3'!S67</f>
        <v>73911.05</v>
      </c>
      <c r="T31" s="49">
        <f>'дод. 3'!T67</f>
        <v>80610.95</v>
      </c>
      <c r="U31" s="49">
        <f>'дод. 3'!U67</f>
        <v>0</v>
      </c>
      <c r="V31" s="62">
        <f t="shared" si="3"/>
        <v>84.36771007371007</v>
      </c>
      <c r="W31" s="49">
        <f t="shared" si="8"/>
        <v>1517214.8800000001</v>
      </c>
      <c r="X31" s="159"/>
      <c r="Y31" s="80"/>
    </row>
    <row r="32" spans="1:25" s="15" customFormat="1" ht="30">
      <c r="A32" s="18"/>
      <c r="B32" s="22" t="s">
        <v>88</v>
      </c>
      <c r="C32" s="22" t="s">
        <v>203</v>
      </c>
      <c r="D32" s="23" t="s">
        <v>89</v>
      </c>
      <c r="E32" s="49">
        <f>'дод. 3'!E68</f>
        <v>4317260</v>
      </c>
      <c r="F32" s="49">
        <f>'дод. 3'!F68</f>
        <v>3032620</v>
      </c>
      <c r="G32" s="49">
        <f>'дод. 3'!G68</f>
        <v>339954</v>
      </c>
      <c r="H32" s="49">
        <f>'дод. 3'!H68</f>
        <v>3098946.35</v>
      </c>
      <c r="I32" s="49">
        <f>'дод. 3'!I68</f>
        <v>2195923.43</v>
      </c>
      <c r="J32" s="49">
        <f>'дод. 3'!J68</f>
        <v>207600.66</v>
      </c>
      <c r="K32" s="62">
        <f t="shared" si="2"/>
        <v>71.78039659413609</v>
      </c>
      <c r="L32" s="49">
        <f t="shared" si="9"/>
        <v>4353292</v>
      </c>
      <c r="M32" s="49">
        <f>'дод. 3'!M68</f>
        <v>3353292</v>
      </c>
      <c r="N32" s="49">
        <f>'дод. 3'!N68</f>
        <v>2153375</v>
      </c>
      <c r="O32" s="49">
        <f>'дод. 3'!O68</f>
        <v>166719</v>
      </c>
      <c r="P32" s="49">
        <f>'дод. 3'!P68</f>
        <v>1000000</v>
      </c>
      <c r="Q32" s="49">
        <f t="shared" si="10"/>
        <v>3410900.04</v>
      </c>
      <c r="R32" s="49">
        <f>'дод. 3'!R68</f>
        <v>2264920</v>
      </c>
      <c r="S32" s="49">
        <f>'дод. 3'!S68</f>
        <v>1388198.1</v>
      </c>
      <c r="T32" s="49">
        <f>'дод. 3'!T68</f>
        <v>107344.8</v>
      </c>
      <c r="U32" s="49">
        <f>'дод. 3'!U68</f>
        <v>1145980.04</v>
      </c>
      <c r="V32" s="62">
        <f t="shared" si="3"/>
        <v>78.35219966866454</v>
      </c>
      <c r="W32" s="49">
        <f t="shared" si="8"/>
        <v>6509846.390000001</v>
      </c>
      <c r="X32" s="159"/>
      <c r="Y32" s="80"/>
    </row>
    <row r="33" spans="1:25" s="15" customFormat="1" ht="30">
      <c r="A33" s="18"/>
      <c r="B33" s="22" t="s">
        <v>90</v>
      </c>
      <c r="C33" s="22" t="s">
        <v>204</v>
      </c>
      <c r="D33" s="29" t="s">
        <v>91</v>
      </c>
      <c r="E33" s="49">
        <f>'дод. 3'!E69</f>
        <v>9368526.94</v>
      </c>
      <c r="F33" s="49">
        <f>'дод. 3'!F69</f>
        <v>6095875</v>
      </c>
      <c r="G33" s="49">
        <f>'дод. 3'!G69</f>
        <v>564989</v>
      </c>
      <c r="H33" s="49">
        <f>'дод. 3'!H69</f>
        <v>6765497.82</v>
      </c>
      <c r="I33" s="49">
        <f>'дод. 3'!I69</f>
        <v>4515055.76</v>
      </c>
      <c r="J33" s="49">
        <f>'дод. 3'!J69</f>
        <v>310041.42</v>
      </c>
      <c r="K33" s="62">
        <f t="shared" si="2"/>
        <v>72.21517174822792</v>
      </c>
      <c r="L33" s="49">
        <f t="shared" si="9"/>
        <v>2587500</v>
      </c>
      <c r="M33" s="49">
        <f>'дод. 3'!M69</f>
        <v>155500</v>
      </c>
      <c r="N33" s="49">
        <f>'дод. 3'!N69</f>
        <v>22000</v>
      </c>
      <c r="O33" s="49">
        <f>'дод. 3'!O69</f>
        <v>19661</v>
      </c>
      <c r="P33" s="49">
        <f>'дод. 3'!P69</f>
        <v>2432000</v>
      </c>
      <c r="Q33" s="49">
        <f t="shared" si="10"/>
        <v>1865957.56</v>
      </c>
      <c r="R33" s="49">
        <f>'дод. 3'!R69</f>
        <v>140671.56</v>
      </c>
      <c r="S33" s="49">
        <f>'дод. 3'!S69</f>
        <v>19603.92</v>
      </c>
      <c r="T33" s="49">
        <f>'дод. 3'!T69</f>
        <v>12876.58</v>
      </c>
      <c r="U33" s="49">
        <f>'дод. 3'!U69</f>
        <v>1725286</v>
      </c>
      <c r="V33" s="62">
        <f t="shared" si="3"/>
        <v>72.11430183574879</v>
      </c>
      <c r="W33" s="49">
        <f t="shared" si="8"/>
        <v>8631455.38</v>
      </c>
      <c r="X33" s="159"/>
      <c r="Y33" s="80"/>
    </row>
    <row r="34" spans="1:25" s="15" customFormat="1" ht="26.25" customHeight="1">
      <c r="A34" s="18"/>
      <c r="B34" s="22" t="s">
        <v>92</v>
      </c>
      <c r="C34" s="22" t="s">
        <v>205</v>
      </c>
      <c r="D34" s="23" t="s">
        <v>93</v>
      </c>
      <c r="E34" s="49">
        <f>'дод. 3'!E70</f>
        <v>2004372.06</v>
      </c>
      <c r="F34" s="49">
        <f>'дод. 3'!F70</f>
        <v>420777</v>
      </c>
      <c r="G34" s="49">
        <f>'дод. 3'!G70</f>
        <v>11415</v>
      </c>
      <c r="H34" s="49">
        <f>'дод. 3'!H70</f>
        <v>1470689.71</v>
      </c>
      <c r="I34" s="49">
        <f>'дод. 3'!I70</f>
        <v>298083.28</v>
      </c>
      <c r="J34" s="49">
        <f>'дод. 3'!J70</f>
        <v>5934.45</v>
      </c>
      <c r="K34" s="62">
        <f t="shared" si="2"/>
        <v>73.37408754340748</v>
      </c>
      <c r="L34" s="49">
        <f t="shared" si="9"/>
        <v>20000</v>
      </c>
      <c r="M34" s="49">
        <f>'дод. 3'!M70</f>
        <v>0</v>
      </c>
      <c r="N34" s="49">
        <f>'дод. 3'!N70</f>
        <v>0</v>
      </c>
      <c r="O34" s="49">
        <f>'дод. 3'!O70</f>
        <v>0</v>
      </c>
      <c r="P34" s="49">
        <f>'дод. 3'!P70</f>
        <v>20000</v>
      </c>
      <c r="Q34" s="49">
        <f t="shared" si="10"/>
        <v>19980</v>
      </c>
      <c r="R34" s="49">
        <f>'дод. 3'!R70</f>
        <v>0</v>
      </c>
      <c r="S34" s="49">
        <f>'дод. 3'!S70</f>
        <v>0</v>
      </c>
      <c r="T34" s="49">
        <f>'дод. 3'!T70</f>
        <v>0</v>
      </c>
      <c r="U34" s="49">
        <f>'дод. 3'!U70</f>
        <v>19980</v>
      </c>
      <c r="V34" s="62">
        <f t="shared" si="3"/>
        <v>99.9</v>
      </c>
      <c r="W34" s="49">
        <f t="shared" si="8"/>
        <v>1490669.71</v>
      </c>
      <c r="X34" s="159"/>
      <c r="Y34" s="80"/>
    </row>
    <row r="35" spans="1:25" s="15" customFormat="1" ht="75">
      <c r="A35" s="18"/>
      <c r="B35" s="28" t="s">
        <v>94</v>
      </c>
      <c r="C35" s="28" t="s">
        <v>205</v>
      </c>
      <c r="D35" s="29" t="s">
        <v>95</v>
      </c>
      <c r="E35" s="49">
        <f>'дод. 3'!E71</f>
        <v>658099</v>
      </c>
      <c r="F35" s="49">
        <f>'дод. 3'!F71</f>
        <v>437314</v>
      </c>
      <c r="G35" s="49">
        <f>'дод. 3'!G71</f>
        <v>18580</v>
      </c>
      <c r="H35" s="49">
        <f>'дод. 3'!H71</f>
        <v>460668.56</v>
      </c>
      <c r="I35" s="49">
        <f>'дод. 3'!I71</f>
        <v>323536.01</v>
      </c>
      <c r="J35" s="49">
        <f>'дод. 3'!J71</f>
        <v>7062.94</v>
      </c>
      <c r="K35" s="62">
        <f t="shared" si="2"/>
        <v>69.99988755491195</v>
      </c>
      <c r="L35" s="49">
        <f t="shared" si="9"/>
        <v>40000</v>
      </c>
      <c r="M35" s="49">
        <f>'дод. 3'!M71</f>
        <v>0</v>
      </c>
      <c r="N35" s="49">
        <f>'дод. 3'!N71</f>
        <v>0</v>
      </c>
      <c r="O35" s="49">
        <f>'дод. 3'!O71</f>
        <v>0</v>
      </c>
      <c r="P35" s="49">
        <f>'дод. 3'!P71</f>
        <v>40000</v>
      </c>
      <c r="Q35" s="49">
        <f t="shared" si="10"/>
        <v>39975</v>
      </c>
      <c r="R35" s="49">
        <f>'дод. 3'!R71</f>
        <v>15</v>
      </c>
      <c r="S35" s="49">
        <f>'дод. 3'!S71</f>
        <v>0</v>
      </c>
      <c r="T35" s="49">
        <f>'дод. 3'!T71</f>
        <v>0</v>
      </c>
      <c r="U35" s="49">
        <f>'дод. 3'!U71</f>
        <v>39960</v>
      </c>
      <c r="V35" s="62">
        <f t="shared" si="3"/>
        <v>99.9375</v>
      </c>
      <c r="W35" s="49">
        <f t="shared" si="8"/>
        <v>500643.56</v>
      </c>
      <c r="X35" s="159"/>
      <c r="Y35" s="80"/>
    </row>
    <row r="36" spans="1:25" s="15" customFormat="1" ht="45">
      <c r="A36" s="18"/>
      <c r="B36" s="28" t="s">
        <v>248</v>
      </c>
      <c r="C36" s="28" t="s">
        <v>205</v>
      </c>
      <c r="D36" s="23" t="s">
        <v>249</v>
      </c>
      <c r="E36" s="49">
        <f>'дод. 3'!E72</f>
        <v>10347290</v>
      </c>
      <c r="F36" s="49">
        <f>'дод. 3'!F72</f>
        <v>0</v>
      </c>
      <c r="G36" s="49">
        <f>'дод. 3'!G72</f>
        <v>0</v>
      </c>
      <c r="H36" s="49">
        <f>'дод. 3'!H72</f>
        <v>4511370.79</v>
      </c>
      <c r="I36" s="49">
        <f>'дод. 3'!I72</f>
        <v>0</v>
      </c>
      <c r="J36" s="49">
        <f>'дод. 3'!J72</f>
        <v>0</v>
      </c>
      <c r="K36" s="62">
        <f t="shared" si="2"/>
        <v>43.59953949294936</v>
      </c>
      <c r="L36" s="49">
        <f t="shared" si="9"/>
        <v>0</v>
      </c>
      <c r="M36" s="49">
        <f>'дод. 3'!M72</f>
        <v>0</v>
      </c>
      <c r="N36" s="49">
        <f>'дод. 3'!N72</f>
        <v>0</v>
      </c>
      <c r="O36" s="49">
        <f>'дод. 3'!O72</f>
        <v>0</v>
      </c>
      <c r="P36" s="49">
        <f>'дод. 3'!P72</f>
        <v>0</v>
      </c>
      <c r="Q36" s="49">
        <f t="shared" si="10"/>
        <v>0</v>
      </c>
      <c r="R36" s="49">
        <f>'дод. 3'!R72</f>
        <v>0</v>
      </c>
      <c r="S36" s="49">
        <f>'дод. 3'!S72</f>
        <v>0</v>
      </c>
      <c r="T36" s="49">
        <f>'дод. 3'!T72</f>
        <v>0</v>
      </c>
      <c r="U36" s="49">
        <f>'дод. 3'!U72</f>
        <v>0</v>
      </c>
      <c r="V36" s="62"/>
      <c r="W36" s="49">
        <f t="shared" si="8"/>
        <v>4511370.79</v>
      </c>
      <c r="X36" s="159"/>
      <c r="Y36" s="80"/>
    </row>
    <row r="37" spans="1:25" s="15" customFormat="1" ht="28.5">
      <c r="A37" s="18"/>
      <c r="B37" s="45" t="s">
        <v>256</v>
      </c>
      <c r="C37" s="45"/>
      <c r="D37" s="46" t="s">
        <v>257</v>
      </c>
      <c r="E37" s="98">
        <f>E38+E39+E40+E41+E45+E46+E47+E48+E49+E50+E51+E52+E53+E54+E55+E56+E57+E58+E59+E60+E61+E62+E63+E64+E65+E66+E67+E68+E69+E70+E71+E72+E73+E74+E75+E76+E77+E78+E79+E80+E81</f>
        <v>701492790.0300001</v>
      </c>
      <c r="F37" s="98">
        <f>F38+F39+F40+F41+F45+F46+F47+F48+F49+F50+F51+F52+F53+F54+F55+F56+F57+F58+F59+F60+F61+F62+F63+F64+F65+F66+F67+F68+F69+F70+F71+F72+F73+F74+F75+F76+F77+F78+F79+F80+F81</f>
        <v>6438332.859999999</v>
      </c>
      <c r="G37" s="98">
        <f>G38+G39+G40+G41+G45+G46+G47+G48+G49+G50+G51+G52+G53+G54+G55+G56+G57+G58+G59+G60+G61+G62+G63+G64+G65+G66+G67+G68+G69+G70+G71+G72+G73+G74+G75+G76+G77+G78+G79+G80+G81</f>
        <v>414240</v>
      </c>
      <c r="H37" s="98">
        <f>H38+H39+H40+H41+H45+H46+H47+H48+H49+H50+H51+H52+H53+H54+H55+H56+H57+H58+H59+H60+H61+H62+H63+H64+H65+H66+H67+H68+H69+H70+H71+H72+H73+H74+H75+H76+H77+H78+H79+H80+H81</f>
        <v>482372161.41999996</v>
      </c>
      <c r="I37" s="98">
        <f>I38+I39+I40+I41+I45+I46+I47+I48+I49+I50+I51+I52+I53+I54+I55+I56+I57+I58+I59+I60+I61+I62+I63+I64+I65+I66+I67+I68+I69+I70+I71+I72+I73+I74+I75+I76+I77+I78+I79+I80+I81</f>
        <v>4476768.300000001</v>
      </c>
      <c r="J37" s="98">
        <f>SUM(J38:J81)</f>
        <v>240379.96000000002</v>
      </c>
      <c r="K37" s="97">
        <f>H37/E37*100</f>
        <v>68.76366632355135</v>
      </c>
      <c r="L37" s="98">
        <f aca="true" t="shared" si="11" ref="L37:Q37">SUM(L38:L81)</f>
        <v>717848</v>
      </c>
      <c r="M37" s="98">
        <f t="shared" si="11"/>
        <v>27800</v>
      </c>
      <c r="N37" s="98">
        <f t="shared" si="11"/>
        <v>18822</v>
      </c>
      <c r="O37" s="98">
        <f t="shared" si="11"/>
        <v>0</v>
      </c>
      <c r="P37" s="98">
        <f t="shared" si="11"/>
        <v>690048</v>
      </c>
      <c r="Q37" s="98">
        <f t="shared" si="11"/>
        <v>1590743.5599999998</v>
      </c>
      <c r="R37" s="98">
        <f>R38+R39+R40+R41+R45+R46+R47+R48+R49+R50+R51+R52+R53+R54+R55+R56+R57+R58+R59+R60+R61+R62+R63+R64+R65+R66+R67+R68+R69+R70+R71+R72+R73+R74+R75+R76+R77+R78+R79+R80+R81</f>
        <v>908144.1599999999</v>
      </c>
      <c r="S37" s="98">
        <f>S38+S39+S40+S41+S45+S46+S47+S48+S49+S50+S51+S52+S53+S54+S55+S56+S57+S58+S59+S60+S61+S62+S63+S64+S65+S66+S67+S68+S69+S70+S71+S72+S73+S74+S75+S76+S77+S78+S79+S80+S81</f>
        <v>19515.25</v>
      </c>
      <c r="T37" s="98">
        <f>T38+T39+T40+T41+T45+T46+T47+T48+T49+T50+T51+T52+T53+T54+T55+T56+T57+T58+T59+T60+T61+T62+T63+T64+T65+T66+T67+T68+T69+T70+T71+T72+T73+T74+T75+T76+T77+T78+T79+T80+T81</f>
        <v>0</v>
      </c>
      <c r="U37" s="98">
        <f>U38+U39+U40+U41+U45+U46+U47+U48+U49+U50+U51+U52+U53+U54+U55+U56+U57+U58+U59+U60+U61+U62+U63+U64+U65+U66+U67+U68+U69+U70+U71+U72+U73+U74+U75+U76+U77+U78+U79+U80+U81</f>
        <v>682599.4</v>
      </c>
      <c r="V37" s="97">
        <f t="shared" si="3"/>
        <v>221.59894016560608</v>
      </c>
      <c r="W37" s="98">
        <f>W38+W39+W40+W41+W45+W46+W47+W48+W49+W50+W51+W52+W53+W54+W55+W56+W57+W58+W59+W60+W61+W62+W63+W64+W65+W66+W67+W68+W69+W70+W71+W72+W73+W74+W75+W76+W77+W78+W79+W80+W81</f>
        <v>483962904.98</v>
      </c>
      <c r="X37" s="159"/>
      <c r="Y37" s="80"/>
    </row>
    <row r="38" spans="1:25" s="15" customFormat="1" ht="270">
      <c r="A38" s="18"/>
      <c r="B38" s="22" t="s">
        <v>99</v>
      </c>
      <c r="C38" s="22" t="s">
        <v>206</v>
      </c>
      <c r="D38" s="23" t="s">
        <v>100</v>
      </c>
      <c r="E38" s="49">
        <f>'дод. 3'!E76</f>
        <v>35619200</v>
      </c>
      <c r="F38" s="49">
        <f>'дод. 3'!F76</f>
        <v>0</v>
      </c>
      <c r="G38" s="49">
        <f>'дод. 3'!G76</f>
        <v>0</v>
      </c>
      <c r="H38" s="49">
        <f>'дод. 3'!H76</f>
        <v>25953849.36</v>
      </c>
      <c r="I38" s="49">
        <f>'дод. 3'!I76</f>
        <v>0</v>
      </c>
      <c r="J38" s="49"/>
      <c r="K38" s="62">
        <f>H38/E38*100</f>
        <v>72.86477338064864</v>
      </c>
      <c r="L38" s="49">
        <f>M38+P38</f>
        <v>0</v>
      </c>
      <c r="M38" s="49">
        <f>'дод. 3'!M76</f>
        <v>0</v>
      </c>
      <c r="N38" s="49">
        <f>'дод. 3'!N76</f>
        <v>0</v>
      </c>
      <c r="O38" s="49">
        <f>'дод. 3'!O76</f>
        <v>0</v>
      </c>
      <c r="P38" s="49">
        <f>'дод. 3'!P76</f>
        <v>0</v>
      </c>
      <c r="Q38" s="49">
        <f>R38+U38</f>
        <v>0</v>
      </c>
      <c r="R38" s="49">
        <f>'дод. 3'!R76</f>
        <v>0</v>
      </c>
      <c r="S38" s="49">
        <f>'дод. 3'!S76</f>
        <v>0</v>
      </c>
      <c r="T38" s="49">
        <f>'дод. 3'!T76</f>
        <v>0</v>
      </c>
      <c r="U38" s="49">
        <f>'дод. 3'!U76</f>
        <v>0</v>
      </c>
      <c r="V38" s="62"/>
      <c r="W38" s="49">
        <f>H38+Q38</f>
        <v>25953849.36</v>
      </c>
      <c r="X38" s="164" t="s">
        <v>347</v>
      </c>
      <c r="Y38" s="80"/>
    </row>
    <row r="39" spans="1:25" s="15" customFormat="1" ht="240">
      <c r="A39" s="18"/>
      <c r="B39" s="22" t="s">
        <v>101</v>
      </c>
      <c r="C39" s="22" t="s">
        <v>206</v>
      </c>
      <c r="D39" s="23" t="s">
        <v>102</v>
      </c>
      <c r="E39" s="49">
        <f>'дод. 3'!E77</f>
        <v>23046.23</v>
      </c>
      <c r="F39" s="49">
        <f>'дод. 3'!F77</f>
        <v>0</v>
      </c>
      <c r="G39" s="49">
        <f>'дод. 3'!G77</f>
        <v>0</v>
      </c>
      <c r="H39" s="49">
        <f>'дод. 3'!H77</f>
        <v>18701.88</v>
      </c>
      <c r="I39" s="49">
        <f>'дод. 3'!I77</f>
        <v>0</v>
      </c>
      <c r="J39" s="49"/>
      <c r="K39" s="62">
        <f>H39/E39*100</f>
        <v>81.14941142217188</v>
      </c>
      <c r="L39" s="49">
        <f>M39+P39</f>
        <v>0</v>
      </c>
      <c r="M39" s="49">
        <f>'дод. 3'!M77</f>
        <v>0</v>
      </c>
      <c r="N39" s="49">
        <f>'дод. 3'!N77</f>
        <v>0</v>
      </c>
      <c r="O39" s="49">
        <f>'дод. 3'!O77</f>
        <v>0</v>
      </c>
      <c r="P39" s="49">
        <f>'дод. 3'!P77</f>
        <v>0</v>
      </c>
      <c r="Q39" s="49">
        <f>R39+U39</f>
        <v>0</v>
      </c>
      <c r="R39" s="49">
        <f>'дод. 3'!R77</f>
        <v>0</v>
      </c>
      <c r="S39" s="49">
        <f>'дод. 3'!S77</f>
        <v>0</v>
      </c>
      <c r="T39" s="49">
        <f>'дод. 3'!T77</f>
        <v>0</v>
      </c>
      <c r="U39" s="49">
        <f>'дод. 3'!U77</f>
        <v>0</v>
      </c>
      <c r="V39" s="62"/>
      <c r="W39" s="49">
        <f>H39+Q39</f>
        <v>18701.88</v>
      </c>
      <c r="X39" s="164"/>
      <c r="Y39" s="80"/>
    </row>
    <row r="40" spans="1:25" s="15" customFormat="1" ht="270">
      <c r="A40" s="18"/>
      <c r="B40" s="30" t="s">
        <v>318</v>
      </c>
      <c r="C40" s="30" t="s">
        <v>206</v>
      </c>
      <c r="D40" s="77" t="s">
        <v>319</v>
      </c>
      <c r="E40" s="56">
        <f>'дод. 3'!E78</f>
        <v>269119</v>
      </c>
      <c r="F40" s="56">
        <f>'дод. 3'!F78</f>
        <v>0</v>
      </c>
      <c r="G40" s="56">
        <f>'дод. 3'!G78</f>
        <v>0</v>
      </c>
      <c r="H40" s="56">
        <f>'дод. 3'!H78</f>
        <v>165947.77</v>
      </c>
      <c r="I40" s="56">
        <f>'дод. 3'!I78</f>
        <v>0</v>
      </c>
      <c r="J40" s="56"/>
      <c r="K40" s="63">
        <f>H40/E40*100</f>
        <v>61.66334223893519</v>
      </c>
      <c r="L40" s="53">
        <f>M40+P40</f>
        <v>0</v>
      </c>
      <c r="M40" s="56">
        <f>'дод. 3'!M78</f>
        <v>0</v>
      </c>
      <c r="N40" s="56">
        <f>'дод. 3'!N78</f>
        <v>0</v>
      </c>
      <c r="O40" s="56">
        <f>'дод. 3'!O78</f>
        <v>0</v>
      </c>
      <c r="P40" s="56">
        <f>'дод. 3'!P78</f>
        <v>0</v>
      </c>
      <c r="Q40" s="53">
        <f>R40+U40</f>
        <v>0</v>
      </c>
      <c r="R40" s="56">
        <f>'дод. 3'!R78</f>
        <v>0</v>
      </c>
      <c r="S40" s="56">
        <f>'дод. 3'!S78</f>
        <v>0</v>
      </c>
      <c r="T40" s="56">
        <f>'дод. 3'!T78</f>
        <v>0</v>
      </c>
      <c r="U40" s="56">
        <f>'дод. 3'!U78</f>
        <v>0</v>
      </c>
      <c r="V40" s="64"/>
      <c r="W40" s="53">
        <f>H40+Q40</f>
        <v>165947.77</v>
      </c>
      <c r="X40" s="164"/>
      <c r="Y40" s="80"/>
    </row>
    <row r="41" spans="1:25" s="15" customFormat="1" ht="142.5" customHeight="1">
      <c r="A41" s="18"/>
      <c r="B41" s="89" t="s">
        <v>103</v>
      </c>
      <c r="C41" s="89" t="s">
        <v>206</v>
      </c>
      <c r="D41" s="162" t="s">
        <v>230</v>
      </c>
      <c r="E41" s="90">
        <f>'дод. 3'!E79</f>
        <v>5469100</v>
      </c>
      <c r="F41" s="90">
        <f>'дод. 3'!F79</f>
        <v>0</v>
      </c>
      <c r="G41" s="90">
        <f>'дод. 3'!G79</f>
        <v>0</v>
      </c>
      <c r="H41" s="90">
        <f>'дод. 3'!H79</f>
        <v>3505139.53</v>
      </c>
      <c r="I41" s="90">
        <f>'дод. 3'!I79</f>
        <v>0</v>
      </c>
      <c r="J41" s="90"/>
      <c r="K41" s="93">
        <f>H41/E41*100</f>
        <v>64.08987822493646</v>
      </c>
      <c r="L41" s="90">
        <f>M41+P41</f>
        <v>0</v>
      </c>
      <c r="M41" s="90">
        <f>'дод. 3'!M79</f>
        <v>0</v>
      </c>
      <c r="N41" s="90">
        <f>'дод. 3'!N79</f>
        <v>0</v>
      </c>
      <c r="O41" s="90">
        <f>'дод. 3'!O79</f>
        <v>0</v>
      </c>
      <c r="P41" s="90">
        <f>'дод. 3'!P79</f>
        <v>0</v>
      </c>
      <c r="Q41" s="90">
        <f>R41+U41</f>
        <v>0</v>
      </c>
      <c r="R41" s="90">
        <f>'дод. 3'!R79</f>
        <v>0</v>
      </c>
      <c r="S41" s="90">
        <f>'дод. 3'!S79</f>
        <v>0</v>
      </c>
      <c r="T41" s="90">
        <f>'дод. 3'!T79</f>
        <v>0</v>
      </c>
      <c r="U41" s="90">
        <f>'дод. 3'!U79</f>
        <v>0</v>
      </c>
      <c r="V41" s="90"/>
      <c r="W41" s="90">
        <f>Q41+H41</f>
        <v>3505139.53</v>
      </c>
      <c r="X41" s="164"/>
      <c r="Y41" s="80"/>
    </row>
    <row r="42" spans="1:25" s="15" customFormat="1" ht="154.5" customHeight="1">
      <c r="A42" s="18"/>
      <c r="B42" s="31"/>
      <c r="C42" s="31"/>
      <c r="D42" s="163"/>
      <c r="E42" s="91"/>
      <c r="F42" s="91"/>
      <c r="G42" s="91"/>
      <c r="H42" s="91"/>
      <c r="I42" s="91"/>
      <c r="J42" s="91"/>
      <c r="K42" s="94"/>
      <c r="L42" s="91"/>
      <c r="M42" s="91"/>
      <c r="N42" s="91"/>
      <c r="O42" s="91"/>
      <c r="P42" s="91"/>
      <c r="Q42" s="91"/>
      <c r="R42" s="91"/>
      <c r="S42" s="91"/>
      <c r="T42" s="91"/>
      <c r="U42" s="91"/>
      <c r="V42" s="91"/>
      <c r="W42" s="91"/>
      <c r="X42" s="164"/>
      <c r="Y42" s="80"/>
    </row>
    <row r="43" spans="1:25" s="15" customFormat="1" ht="169.5" customHeight="1">
      <c r="A43" s="18"/>
      <c r="B43" s="31"/>
      <c r="C43" s="31"/>
      <c r="D43" s="51" t="s">
        <v>231</v>
      </c>
      <c r="E43" s="91"/>
      <c r="F43" s="91"/>
      <c r="G43" s="91"/>
      <c r="H43" s="91"/>
      <c r="I43" s="91"/>
      <c r="J43" s="91"/>
      <c r="K43" s="94"/>
      <c r="L43" s="91"/>
      <c r="M43" s="91"/>
      <c r="N43" s="91"/>
      <c r="O43" s="91"/>
      <c r="P43" s="91"/>
      <c r="Q43" s="91"/>
      <c r="R43" s="91"/>
      <c r="S43" s="91"/>
      <c r="T43" s="91"/>
      <c r="U43" s="91"/>
      <c r="V43" s="91"/>
      <c r="W43" s="91"/>
      <c r="X43" s="164" t="s">
        <v>348</v>
      </c>
      <c r="Y43" s="80"/>
    </row>
    <row r="44" spans="1:25" s="15" customFormat="1" ht="306.75" customHeight="1">
      <c r="A44" s="18"/>
      <c r="B44" s="50"/>
      <c r="C44" s="50"/>
      <c r="D44" s="52" t="s">
        <v>234</v>
      </c>
      <c r="E44" s="92"/>
      <c r="F44" s="92"/>
      <c r="G44" s="92"/>
      <c r="H44" s="92"/>
      <c r="I44" s="92"/>
      <c r="J44" s="92"/>
      <c r="K44" s="95"/>
      <c r="L44" s="92"/>
      <c r="M44" s="92"/>
      <c r="N44" s="92"/>
      <c r="O44" s="92"/>
      <c r="P44" s="92"/>
      <c r="Q44" s="92"/>
      <c r="R44" s="92"/>
      <c r="S44" s="92"/>
      <c r="T44" s="92"/>
      <c r="U44" s="92"/>
      <c r="V44" s="92"/>
      <c r="W44" s="92"/>
      <c r="X44" s="164"/>
      <c r="Y44" s="80"/>
    </row>
    <row r="45" spans="1:25" s="15" customFormat="1" ht="105">
      <c r="A45" s="18"/>
      <c r="B45" s="22" t="s">
        <v>104</v>
      </c>
      <c r="C45" s="22" t="s">
        <v>207</v>
      </c>
      <c r="D45" s="23" t="s">
        <v>105</v>
      </c>
      <c r="E45" s="49">
        <f>'дод. 3'!E83</f>
        <v>4278400</v>
      </c>
      <c r="F45" s="49">
        <f>'дод. 3'!F83</f>
        <v>0</v>
      </c>
      <c r="G45" s="49">
        <f>'дод. 3'!G83</f>
        <v>0</v>
      </c>
      <c r="H45" s="49">
        <f>'дод. 3'!H83</f>
        <v>2264876.27</v>
      </c>
      <c r="I45" s="49">
        <f>'дод. 3'!I83</f>
        <v>0</v>
      </c>
      <c r="J45" s="49"/>
      <c r="K45" s="62">
        <f>H45/E45*100</f>
        <v>52.937459564323106</v>
      </c>
      <c r="L45" s="49">
        <f>M45+P45</f>
        <v>0</v>
      </c>
      <c r="M45" s="49">
        <f>'дод. 3'!M83</f>
        <v>0</v>
      </c>
      <c r="N45" s="49">
        <f>'дод. 3'!N83</f>
        <v>0</v>
      </c>
      <c r="O45" s="49">
        <f>'дод. 3'!O83</f>
        <v>0</v>
      </c>
      <c r="P45" s="49">
        <f>'дод. 3'!P83</f>
        <v>0</v>
      </c>
      <c r="Q45" s="49">
        <f>R45+U45</f>
        <v>0</v>
      </c>
      <c r="R45" s="49">
        <f>'дод. 3'!R83</f>
        <v>0</v>
      </c>
      <c r="S45" s="49">
        <f>'дод. 3'!S83</f>
        <v>0</v>
      </c>
      <c r="T45" s="49">
        <f>'дод. 3'!T83</f>
        <v>0</v>
      </c>
      <c r="U45" s="49">
        <f>'дод. 3'!U83</f>
        <v>0</v>
      </c>
      <c r="V45" s="62"/>
      <c r="W45" s="49">
        <f>Q45+H45</f>
        <v>2264876.27</v>
      </c>
      <c r="X45" s="164"/>
      <c r="Y45" s="80"/>
    </row>
    <row r="46" spans="1:25" s="15" customFormat="1" ht="105">
      <c r="A46" s="18"/>
      <c r="B46" s="22" t="s">
        <v>320</v>
      </c>
      <c r="C46" s="22" t="s">
        <v>207</v>
      </c>
      <c r="D46" s="23" t="s">
        <v>321</v>
      </c>
      <c r="E46" s="33">
        <f>'дод. 3'!E84</f>
        <v>70400</v>
      </c>
      <c r="F46" s="33">
        <f>'дод. 3'!F84</f>
        <v>0</v>
      </c>
      <c r="G46" s="33">
        <f>'дод. 3'!G84</f>
        <v>0</v>
      </c>
      <c r="H46" s="33">
        <f>'дод. 3'!H84</f>
        <v>40213.75</v>
      </c>
      <c r="I46" s="33">
        <f>'дод. 3'!I84</f>
        <v>0</v>
      </c>
      <c r="J46" s="33"/>
      <c r="K46" s="62">
        <f aca="true" t="shared" si="12" ref="K46:K82">H46/E46*100</f>
        <v>57.12180397727272</v>
      </c>
      <c r="L46" s="49">
        <f aca="true" t="shared" si="13" ref="L46:L81">M46+P46</f>
        <v>0</v>
      </c>
      <c r="M46" s="33">
        <f>'дод. 3'!M84</f>
        <v>0</v>
      </c>
      <c r="N46" s="33">
        <f>'дод. 3'!N84</f>
        <v>0</v>
      </c>
      <c r="O46" s="33">
        <f>'дод. 3'!O84</f>
        <v>0</v>
      </c>
      <c r="P46" s="33">
        <f>'дод. 3'!P84</f>
        <v>0</v>
      </c>
      <c r="Q46" s="49">
        <f aca="true" t="shared" si="14" ref="Q46:Q81">R46+U46</f>
        <v>0</v>
      </c>
      <c r="R46" s="33">
        <f>'дод. 3'!R84</f>
        <v>0</v>
      </c>
      <c r="S46" s="33">
        <f>'дод. 3'!S84</f>
        <v>0</v>
      </c>
      <c r="T46" s="33">
        <f>'дод. 3'!T84</f>
        <v>0</v>
      </c>
      <c r="U46" s="33">
        <f>'дод. 3'!U84</f>
        <v>0</v>
      </c>
      <c r="V46" s="62"/>
      <c r="W46" s="49">
        <f>Q46+H46</f>
        <v>40213.75</v>
      </c>
      <c r="X46" s="164"/>
      <c r="Y46" s="80"/>
    </row>
    <row r="47" spans="1:25" s="15" customFormat="1" ht="225">
      <c r="A47" s="18"/>
      <c r="B47" s="22" t="s">
        <v>106</v>
      </c>
      <c r="C47" s="22" t="s">
        <v>207</v>
      </c>
      <c r="D47" s="23" t="s">
        <v>233</v>
      </c>
      <c r="E47" s="33">
        <f>'дод. 3'!E85</f>
        <v>110300</v>
      </c>
      <c r="F47" s="33">
        <f>'дод. 3'!F85</f>
        <v>0</v>
      </c>
      <c r="G47" s="33">
        <f>'дод. 3'!G85</f>
        <v>0</v>
      </c>
      <c r="H47" s="33">
        <f>'дод. 3'!H85</f>
        <v>25680</v>
      </c>
      <c r="I47" s="33">
        <f>'дод. 3'!I85</f>
        <v>0</v>
      </c>
      <c r="J47" s="33"/>
      <c r="K47" s="62">
        <f t="shared" si="12"/>
        <v>23.28195829555757</v>
      </c>
      <c r="L47" s="49">
        <f t="shared" si="13"/>
        <v>0</v>
      </c>
      <c r="M47" s="33">
        <f>'дод. 3'!M85</f>
        <v>0</v>
      </c>
      <c r="N47" s="33">
        <f>'дод. 3'!N85</f>
        <v>0</v>
      </c>
      <c r="O47" s="33">
        <f>'дод. 3'!O85</f>
        <v>0</v>
      </c>
      <c r="P47" s="33">
        <f>'дод. 3'!P85</f>
        <v>0</v>
      </c>
      <c r="Q47" s="49">
        <f t="shared" si="14"/>
        <v>0</v>
      </c>
      <c r="R47" s="33">
        <f>'дод. 3'!R85</f>
        <v>0</v>
      </c>
      <c r="S47" s="33">
        <f>'дод. 3'!S85</f>
        <v>0</v>
      </c>
      <c r="T47" s="33">
        <f>'дод. 3'!T85</f>
        <v>0</v>
      </c>
      <c r="U47" s="33">
        <f>'дод. 3'!U85</f>
        <v>0</v>
      </c>
      <c r="V47" s="62"/>
      <c r="W47" s="49">
        <f aca="true" t="shared" si="15" ref="W47:W89">Q47+H47</f>
        <v>25680</v>
      </c>
      <c r="X47" s="164"/>
      <c r="Y47" s="80"/>
    </row>
    <row r="48" spans="1:25" s="15" customFormat="1" ht="66.75" customHeight="1">
      <c r="A48" s="18"/>
      <c r="B48" s="22" t="s">
        <v>107</v>
      </c>
      <c r="C48" s="22" t="s">
        <v>207</v>
      </c>
      <c r="D48" s="23" t="s">
        <v>108</v>
      </c>
      <c r="E48" s="49">
        <f>'дод. 3'!E86</f>
        <v>882700</v>
      </c>
      <c r="F48" s="49">
        <f>'дод. 3'!F86</f>
        <v>0</v>
      </c>
      <c r="G48" s="49">
        <f>'дод. 3'!G86</f>
        <v>0</v>
      </c>
      <c r="H48" s="49">
        <f>'дод. 3'!H86</f>
        <v>522579.69</v>
      </c>
      <c r="I48" s="49">
        <f>'дод. 3'!I86</f>
        <v>0</v>
      </c>
      <c r="J48" s="49"/>
      <c r="K48" s="62">
        <f t="shared" si="12"/>
        <v>59.20241191797893</v>
      </c>
      <c r="L48" s="49">
        <f t="shared" si="13"/>
        <v>0</v>
      </c>
      <c r="M48" s="49">
        <f>'дод. 3'!M86</f>
        <v>0</v>
      </c>
      <c r="N48" s="49">
        <f>'дод. 3'!N86</f>
        <v>0</v>
      </c>
      <c r="O48" s="49">
        <f>'дод. 3'!O86</f>
        <v>0</v>
      </c>
      <c r="P48" s="49">
        <f>'дод. 3'!P86</f>
        <v>0</v>
      </c>
      <c r="Q48" s="49">
        <f t="shared" si="14"/>
        <v>0</v>
      </c>
      <c r="R48" s="49">
        <f>'дод. 3'!R86</f>
        <v>0</v>
      </c>
      <c r="S48" s="49">
        <f>'дод. 3'!S86</f>
        <v>0</v>
      </c>
      <c r="T48" s="49">
        <f>'дод. 3'!T86</f>
        <v>0</v>
      </c>
      <c r="U48" s="49">
        <f>'дод. 3'!U86</f>
        <v>0</v>
      </c>
      <c r="V48" s="62"/>
      <c r="W48" s="49">
        <f t="shared" si="15"/>
        <v>522579.69</v>
      </c>
      <c r="X48" s="164"/>
      <c r="Y48" s="80"/>
    </row>
    <row r="49" spans="1:25" s="15" customFormat="1" ht="30">
      <c r="A49" s="18"/>
      <c r="B49" s="22" t="s">
        <v>322</v>
      </c>
      <c r="C49" s="22" t="s">
        <v>207</v>
      </c>
      <c r="D49" s="23" t="s">
        <v>323</v>
      </c>
      <c r="E49" s="33">
        <f>'дод. 3'!E87</f>
        <v>1394632</v>
      </c>
      <c r="F49" s="33">
        <f>'дод. 3'!F87</f>
        <v>0</v>
      </c>
      <c r="G49" s="33">
        <f>'дод. 3'!G87</f>
        <v>0</v>
      </c>
      <c r="H49" s="33">
        <f>'дод. 3'!H87</f>
        <v>1038255.88</v>
      </c>
      <c r="I49" s="33">
        <f>'дод. 3'!I87</f>
        <v>0</v>
      </c>
      <c r="J49" s="33">
        <f>'дод. 3'!J87</f>
        <v>0</v>
      </c>
      <c r="K49" s="62">
        <f t="shared" si="12"/>
        <v>74.44658375829609</v>
      </c>
      <c r="L49" s="49">
        <f t="shared" si="13"/>
        <v>0</v>
      </c>
      <c r="M49" s="33">
        <f>'дод. 3'!M87</f>
        <v>0</v>
      </c>
      <c r="N49" s="33">
        <f>'дод. 3'!N87</f>
        <v>0</v>
      </c>
      <c r="O49" s="33">
        <f>'дод. 3'!O87</f>
        <v>0</v>
      </c>
      <c r="P49" s="33">
        <f>'дод. 3'!P87</f>
        <v>0</v>
      </c>
      <c r="Q49" s="49">
        <f t="shared" si="14"/>
        <v>0</v>
      </c>
      <c r="R49" s="33">
        <f>'дод. 3'!R87</f>
        <v>0</v>
      </c>
      <c r="S49" s="33">
        <f>'дод. 3'!S87</f>
        <v>0</v>
      </c>
      <c r="T49" s="33">
        <f>'дод. 3'!T87</f>
        <v>0</v>
      </c>
      <c r="U49" s="33">
        <f>'дод. 3'!U87</f>
        <v>0</v>
      </c>
      <c r="V49" s="62"/>
      <c r="W49" s="49">
        <f t="shared" si="15"/>
        <v>1038255.88</v>
      </c>
      <c r="X49" s="164"/>
      <c r="Y49" s="80"/>
    </row>
    <row r="50" spans="1:25" s="15" customFormat="1" ht="150">
      <c r="A50" s="18"/>
      <c r="B50" s="22" t="s">
        <v>109</v>
      </c>
      <c r="C50" s="22" t="s">
        <v>207</v>
      </c>
      <c r="D50" s="23" t="s">
        <v>110</v>
      </c>
      <c r="E50" s="33">
        <f>'дод. 3'!E88</f>
        <v>2195200</v>
      </c>
      <c r="F50" s="33">
        <f>'дод. 3'!F88</f>
        <v>0</v>
      </c>
      <c r="G50" s="33">
        <f>'дод. 3'!G88</f>
        <v>0</v>
      </c>
      <c r="H50" s="33">
        <f>'дод. 3'!H88</f>
        <v>885136.44</v>
      </c>
      <c r="I50" s="33">
        <f>'дод. 3'!I88</f>
        <v>0</v>
      </c>
      <c r="J50" s="33">
        <f>'дод. 3'!J88</f>
        <v>0</v>
      </c>
      <c r="K50" s="62">
        <f t="shared" si="12"/>
        <v>40.32144861516035</v>
      </c>
      <c r="L50" s="49">
        <f t="shared" si="13"/>
        <v>0</v>
      </c>
      <c r="M50" s="33">
        <f>'дод. 3'!M88</f>
        <v>0</v>
      </c>
      <c r="N50" s="33">
        <f>'дод. 3'!N88</f>
        <v>0</v>
      </c>
      <c r="O50" s="33">
        <f>'дод. 3'!O88</f>
        <v>0</v>
      </c>
      <c r="P50" s="33">
        <f>'дод. 3'!P88</f>
        <v>0</v>
      </c>
      <c r="Q50" s="49">
        <f t="shared" si="14"/>
        <v>0</v>
      </c>
      <c r="R50" s="33">
        <f>'дод. 3'!R88</f>
        <v>0</v>
      </c>
      <c r="S50" s="33">
        <f>'дод. 3'!S88</f>
        <v>0</v>
      </c>
      <c r="T50" s="33">
        <f>'дод. 3'!T88</f>
        <v>0</v>
      </c>
      <c r="U50" s="33">
        <f>'дод. 3'!U88</f>
        <v>0</v>
      </c>
      <c r="V50" s="62"/>
      <c r="W50" s="49">
        <f t="shared" si="15"/>
        <v>885136.44</v>
      </c>
      <c r="X50" s="164" t="s">
        <v>349</v>
      </c>
      <c r="Y50" s="80"/>
    </row>
    <row r="51" spans="1:25" s="15" customFormat="1" ht="165">
      <c r="A51" s="18"/>
      <c r="B51" s="25" t="s">
        <v>111</v>
      </c>
      <c r="C51" s="25" t="s">
        <v>207</v>
      </c>
      <c r="D51" s="23" t="s">
        <v>112</v>
      </c>
      <c r="E51" s="49">
        <f>'дод. 3'!E89</f>
        <v>6754.88</v>
      </c>
      <c r="F51" s="49">
        <f>'дод. 3'!F89</f>
        <v>0</v>
      </c>
      <c r="G51" s="49">
        <f>'дод. 3'!G89</f>
        <v>0</v>
      </c>
      <c r="H51" s="49">
        <f>'дод. 3'!H89</f>
        <v>6748.04</v>
      </c>
      <c r="I51" s="49">
        <f>'дод. 3'!I89</f>
        <v>0</v>
      </c>
      <c r="J51" s="49">
        <f>'дод. 3'!J89</f>
        <v>0</v>
      </c>
      <c r="K51" s="62">
        <f t="shared" si="12"/>
        <v>99.8987398739874</v>
      </c>
      <c r="L51" s="49">
        <f t="shared" si="13"/>
        <v>0</v>
      </c>
      <c r="M51" s="49">
        <f>'дод. 3'!M89</f>
        <v>0</v>
      </c>
      <c r="N51" s="49">
        <f>'дод. 3'!N89</f>
        <v>0</v>
      </c>
      <c r="O51" s="49">
        <f>'дод. 3'!O89</f>
        <v>0</v>
      </c>
      <c r="P51" s="49">
        <f>'дод. 3'!P89</f>
        <v>0</v>
      </c>
      <c r="Q51" s="49">
        <f t="shared" si="14"/>
        <v>0</v>
      </c>
      <c r="R51" s="49">
        <f>'дод. 3'!R89</f>
        <v>0</v>
      </c>
      <c r="S51" s="49">
        <f>'дод. 3'!S89</f>
        <v>0</v>
      </c>
      <c r="T51" s="49">
        <f>'дод. 3'!T89</f>
        <v>0</v>
      </c>
      <c r="U51" s="49">
        <f>'дод. 3'!U89</f>
        <v>0</v>
      </c>
      <c r="V51" s="62"/>
      <c r="W51" s="49">
        <f t="shared" si="15"/>
        <v>6748.04</v>
      </c>
      <c r="X51" s="164"/>
      <c r="Y51" s="80"/>
    </row>
    <row r="52" spans="1:25" s="15" customFormat="1" ht="30">
      <c r="A52" s="18"/>
      <c r="B52" s="22" t="s">
        <v>113</v>
      </c>
      <c r="C52" s="22" t="s">
        <v>182</v>
      </c>
      <c r="D52" s="23" t="s">
        <v>114</v>
      </c>
      <c r="E52" s="49">
        <f>'дод. 3'!E90</f>
        <v>2832400</v>
      </c>
      <c r="F52" s="49">
        <f>'дод. 3'!F90</f>
        <v>0</v>
      </c>
      <c r="G52" s="49">
        <f>'дод. 3'!G90</f>
        <v>0</v>
      </c>
      <c r="H52" s="49">
        <f>'дод. 3'!H90</f>
        <v>1761165.89</v>
      </c>
      <c r="I52" s="49">
        <f>'дод. 3'!I90</f>
        <v>0</v>
      </c>
      <c r="J52" s="49">
        <f>'дод. 3'!J90</f>
        <v>0</v>
      </c>
      <c r="K52" s="62">
        <f t="shared" si="12"/>
        <v>62.17927870357294</v>
      </c>
      <c r="L52" s="49">
        <f t="shared" si="13"/>
        <v>0</v>
      </c>
      <c r="M52" s="49">
        <f>'дод. 3'!M90</f>
        <v>0</v>
      </c>
      <c r="N52" s="49">
        <f>'дод. 3'!N90</f>
        <v>0</v>
      </c>
      <c r="O52" s="49">
        <f>'дод. 3'!O90</f>
        <v>0</v>
      </c>
      <c r="P52" s="49">
        <f>'дод. 3'!P90</f>
        <v>0</v>
      </c>
      <c r="Q52" s="49">
        <f t="shared" si="14"/>
        <v>0</v>
      </c>
      <c r="R52" s="49">
        <f>'дод. 3'!R90</f>
        <v>0</v>
      </c>
      <c r="S52" s="49">
        <f>'дод. 3'!S90</f>
        <v>0</v>
      </c>
      <c r="T52" s="49">
        <f>'дод. 3'!T90</f>
        <v>0</v>
      </c>
      <c r="U52" s="49">
        <f>'дод. 3'!U90</f>
        <v>0</v>
      </c>
      <c r="V52" s="62"/>
      <c r="W52" s="49">
        <f t="shared" si="15"/>
        <v>1761165.89</v>
      </c>
      <c r="X52" s="164"/>
      <c r="Y52" s="80"/>
    </row>
    <row r="53" spans="1:25" s="15" customFormat="1" ht="30">
      <c r="A53" s="18"/>
      <c r="B53" s="22" t="s">
        <v>115</v>
      </c>
      <c r="C53" s="22" t="s">
        <v>182</v>
      </c>
      <c r="D53" s="23" t="s">
        <v>226</v>
      </c>
      <c r="E53" s="49">
        <f>'дод. 3'!E91</f>
        <v>2302000</v>
      </c>
      <c r="F53" s="49">
        <f>'дод. 3'!F91</f>
        <v>0</v>
      </c>
      <c r="G53" s="49">
        <f>'дод. 3'!G91</f>
        <v>0</v>
      </c>
      <c r="H53" s="49">
        <f>'дод. 3'!H91</f>
        <v>1638835.19</v>
      </c>
      <c r="I53" s="49">
        <f>'дод. 3'!I91</f>
        <v>0</v>
      </c>
      <c r="J53" s="49">
        <f>'дод. 3'!J91</f>
        <v>0</v>
      </c>
      <c r="K53" s="62">
        <f t="shared" si="12"/>
        <v>71.19179800173761</v>
      </c>
      <c r="L53" s="49">
        <f t="shared" si="13"/>
        <v>0</v>
      </c>
      <c r="M53" s="49">
        <f>'дод. 3'!M91</f>
        <v>0</v>
      </c>
      <c r="N53" s="49">
        <f>'дод. 3'!N91</f>
        <v>0</v>
      </c>
      <c r="O53" s="49">
        <f>'дод. 3'!O91</f>
        <v>0</v>
      </c>
      <c r="P53" s="49">
        <f>'дод. 3'!P91</f>
        <v>0</v>
      </c>
      <c r="Q53" s="49">
        <f t="shared" si="14"/>
        <v>0</v>
      </c>
      <c r="R53" s="49">
        <f>'дод. 3'!R91</f>
        <v>0</v>
      </c>
      <c r="S53" s="49">
        <f>'дод. 3'!S91</f>
        <v>0</v>
      </c>
      <c r="T53" s="49">
        <f>'дод. 3'!T91</f>
        <v>0</v>
      </c>
      <c r="U53" s="49">
        <f>'дод. 3'!U91</f>
        <v>0</v>
      </c>
      <c r="V53" s="62"/>
      <c r="W53" s="49">
        <f t="shared" si="15"/>
        <v>1638835.19</v>
      </c>
      <c r="X53" s="164"/>
      <c r="Y53" s="80"/>
    </row>
    <row r="54" spans="1:25" s="15" customFormat="1" ht="18" customHeight="1">
      <c r="A54" s="18"/>
      <c r="B54" s="22" t="s">
        <v>116</v>
      </c>
      <c r="C54" s="22" t="s">
        <v>182</v>
      </c>
      <c r="D54" s="23" t="s">
        <v>117</v>
      </c>
      <c r="E54" s="49">
        <f>'дод. 3'!E92</f>
        <v>132914300</v>
      </c>
      <c r="F54" s="49">
        <f>'дод. 3'!F92</f>
        <v>0</v>
      </c>
      <c r="G54" s="49">
        <f>'дод. 3'!G92</f>
        <v>0</v>
      </c>
      <c r="H54" s="49">
        <f>'дод. 3'!H92</f>
        <v>101004168.04</v>
      </c>
      <c r="I54" s="49">
        <f>'дод. 3'!I92</f>
        <v>0</v>
      </c>
      <c r="J54" s="49">
        <f>'дод. 3'!J92</f>
        <v>0</v>
      </c>
      <c r="K54" s="62">
        <f t="shared" si="12"/>
        <v>75.99194973001401</v>
      </c>
      <c r="L54" s="49">
        <f t="shared" si="13"/>
        <v>0</v>
      </c>
      <c r="M54" s="49">
        <f>'дод. 3'!M92</f>
        <v>0</v>
      </c>
      <c r="N54" s="49">
        <f>'дод. 3'!N92</f>
        <v>0</v>
      </c>
      <c r="O54" s="49">
        <f>'дод. 3'!O92</f>
        <v>0</v>
      </c>
      <c r="P54" s="49">
        <f>'дод. 3'!P92</f>
        <v>0</v>
      </c>
      <c r="Q54" s="49">
        <f t="shared" si="14"/>
        <v>0</v>
      </c>
      <c r="R54" s="49">
        <f>'дод. 3'!R92</f>
        <v>0</v>
      </c>
      <c r="S54" s="49">
        <f>'дод. 3'!S92</f>
        <v>0</v>
      </c>
      <c r="T54" s="49">
        <f>'дод. 3'!T92</f>
        <v>0</v>
      </c>
      <c r="U54" s="49">
        <f>'дод. 3'!U92</f>
        <v>0</v>
      </c>
      <c r="V54" s="62"/>
      <c r="W54" s="49">
        <f t="shared" si="15"/>
        <v>101004168.04</v>
      </c>
      <c r="X54" s="164"/>
      <c r="Y54" s="80"/>
    </row>
    <row r="55" spans="1:25" s="15" customFormat="1" ht="30">
      <c r="A55" s="18"/>
      <c r="B55" s="22" t="s">
        <v>118</v>
      </c>
      <c r="C55" s="22" t="s">
        <v>182</v>
      </c>
      <c r="D55" s="23" t="s">
        <v>119</v>
      </c>
      <c r="E55" s="49">
        <f>'дод. 3'!E93</f>
        <v>5734000</v>
      </c>
      <c r="F55" s="49">
        <f>'дод. 3'!F93</f>
        <v>0</v>
      </c>
      <c r="G55" s="49">
        <f>'дод. 3'!G93</f>
        <v>0</v>
      </c>
      <c r="H55" s="49">
        <f>'дод. 3'!H93</f>
        <v>4841303.87</v>
      </c>
      <c r="I55" s="49">
        <f>'дод. 3'!I93</f>
        <v>0</v>
      </c>
      <c r="J55" s="49">
        <f>'дод. 3'!J93</f>
        <v>0</v>
      </c>
      <c r="K55" s="62">
        <f t="shared" si="12"/>
        <v>84.43152895012209</v>
      </c>
      <c r="L55" s="49">
        <f t="shared" si="13"/>
        <v>0</v>
      </c>
      <c r="M55" s="49">
        <f>'дод. 3'!M93</f>
        <v>0</v>
      </c>
      <c r="N55" s="49">
        <f>'дод. 3'!N93</f>
        <v>0</v>
      </c>
      <c r="O55" s="49">
        <f>'дод. 3'!O93</f>
        <v>0</v>
      </c>
      <c r="P55" s="49">
        <f>'дод. 3'!P93</f>
        <v>0</v>
      </c>
      <c r="Q55" s="49">
        <f t="shared" si="14"/>
        <v>0</v>
      </c>
      <c r="R55" s="49">
        <f>'дод. 3'!R93</f>
        <v>0</v>
      </c>
      <c r="S55" s="49">
        <f>'дод. 3'!S93</f>
        <v>0</v>
      </c>
      <c r="T55" s="49">
        <f>'дод. 3'!T93</f>
        <v>0</v>
      </c>
      <c r="U55" s="49">
        <f>'дод. 3'!U93</f>
        <v>0</v>
      </c>
      <c r="V55" s="62"/>
      <c r="W55" s="49">
        <f t="shared" si="15"/>
        <v>4841303.87</v>
      </c>
      <c r="X55" s="164"/>
      <c r="Y55" s="80"/>
    </row>
    <row r="56" spans="1:25" s="15" customFormat="1" ht="20.25" customHeight="1">
      <c r="A56" s="18"/>
      <c r="B56" s="22" t="s">
        <v>120</v>
      </c>
      <c r="C56" s="22" t="s">
        <v>182</v>
      </c>
      <c r="D56" s="23" t="s">
        <v>121</v>
      </c>
      <c r="E56" s="49">
        <f>'дод. 3'!E94</f>
        <v>23220500</v>
      </c>
      <c r="F56" s="49">
        <f>'дод. 3'!F94</f>
        <v>0</v>
      </c>
      <c r="G56" s="49">
        <f>'дод. 3'!G94</f>
        <v>0</v>
      </c>
      <c r="H56" s="49">
        <f>'дод. 3'!H94</f>
        <v>18726886.56</v>
      </c>
      <c r="I56" s="49">
        <f>'дод. 3'!I94</f>
        <v>0</v>
      </c>
      <c r="J56" s="49">
        <f>'дод. 3'!J94</f>
        <v>0</v>
      </c>
      <c r="K56" s="62">
        <f t="shared" si="12"/>
        <v>80.64807631187958</v>
      </c>
      <c r="L56" s="49">
        <f t="shared" si="13"/>
        <v>0</v>
      </c>
      <c r="M56" s="49">
        <f>'дод. 3'!M94</f>
        <v>0</v>
      </c>
      <c r="N56" s="49">
        <f>'дод. 3'!N94</f>
        <v>0</v>
      </c>
      <c r="O56" s="49">
        <f>'дод. 3'!O94</f>
        <v>0</v>
      </c>
      <c r="P56" s="49">
        <f>'дод. 3'!P94</f>
        <v>0</v>
      </c>
      <c r="Q56" s="49">
        <f t="shared" si="14"/>
        <v>0</v>
      </c>
      <c r="R56" s="49">
        <f>'дод. 3'!R94</f>
        <v>0</v>
      </c>
      <c r="S56" s="49">
        <f>'дод. 3'!S94</f>
        <v>0</v>
      </c>
      <c r="T56" s="49">
        <f>'дод. 3'!T94</f>
        <v>0</v>
      </c>
      <c r="U56" s="49">
        <f>'дод. 3'!U94</f>
        <v>0</v>
      </c>
      <c r="V56" s="62"/>
      <c r="W56" s="49">
        <f t="shared" si="15"/>
        <v>18726886.56</v>
      </c>
      <c r="X56" s="164"/>
      <c r="Y56" s="80"/>
    </row>
    <row r="57" spans="1:25" s="15" customFormat="1" ht="24" customHeight="1">
      <c r="A57" s="18"/>
      <c r="B57" s="22" t="s">
        <v>122</v>
      </c>
      <c r="C57" s="22" t="s">
        <v>182</v>
      </c>
      <c r="D57" s="23" t="s">
        <v>123</v>
      </c>
      <c r="E57" s="49">
        <f>'дод. 3'!E95</f>
        <v>1304200</v>
      </c>
      <c r="F57" s="49">
        <f>'дод. 3'!F95</f>
        <v>0</v>
      </c>
      <c r="G57" s="49">
        <f>'дод. 3'!G95</f>
        <v>0</v>
      </c>
      <c r="H57" s="49">
        <f>'дод. 3'!H95</f>
        <v>814376.49</v>
      </c>
      <c r="I57" s="49">
        <f>'дод. 3'!I95</f>
        <v>0</v>
      </c>
      <c r="J57" s="49">
        <f>'дод. 3'!J95</f>
        <v>0</v>
      </c>
      <c r="K57" s="62">
        <f t="shared" si="12"/>
        <v>62.44260772887594</v>
      </c>
      <c r="L57" s="49">
        <f t="shared" si="13"/>
        <v>0</v>
      </c>
      <c r="M57" s="49">
        <f>'дод. 3'!M95</f>
        <v>0</v>
      </c>
      <c r="N57" s="49">
        <f>'дод. 3'!N95</f>
        <v>0</v>
      </c>
      <c r="O57" s="49">
        <f>'дод. 3'!O95</f>
        <v>0</v>
      </c>
      <c r="P57" s="49">
        <f>'дод. 3'!P95</f>
        <v>0</v>
      </c>
      <c r="Q57" s="49">
        <f t="shared" si="14"/>
        <v>0</v>
      </c>
      <c r="R57" s="49">
        <f>'дод. 3'!R95</f>
        <v>0</v>
      </c>
      <c r="S57" s="49">
        <f>'дод. 3'!S95</f>
        <v>0</v>
      </c>
      <c r="T57" s="49">
        <f>'дод. 3'!T95</f>
        <v>0</v>
      </c>
      <c r="U57" s="49">
        <f>'дод. 3'!U95</f>
        <v>0</v>
      </c>
      <c r="V57" s="62"/>
      <c r="W57" s="49">
        <f t="shared" si="15"/>
        <v>814376.49</v>
      </c>
      <c r="X57" s="164"/>
      <c r="Y57" s="80"/>
    </row>
    <row r="58" spans="1:25" s="15" customFormat="1" ht="24.75" customHeight="1">
      <c r="A58" s="18"/>
      <c r="B58" s="22" t="s">
        <v>124</v>
      </c>
      <c r="C58" s="22" t="s">
        <v>182</v>
      </c>
      <c r="D58" s="23" t="s">
        <v>125</v>
      </c>
      <c r="E58" s="49">
        <f>'дод. 3'!E96</f>
        <v>276200</v>
      </c>
      <c r="F58" s="49">
        <f>'дод. 3'!F96</f>
        <v>0</v>
      </c>
      <c r="G58" s="49">
        <f>'дод. 3'!G96</f>
        <v>0</v>
      </c>
      <c r="H58" s="49">
        <f>'дод. 3'!H96</f>
        <v>206400</v>
      </c>
      <c r="I58" s="49">
        <f>'дод. 3'!I96</f>
        <v>0</v>
      </c>
      <c r="J58" s="49">
        <f>'дод. 3'!J96</f>
        <v>0</v>
      </c>
      <c r="K58" s="62">
        <f t="shared" si="12"/>
        <v>74.72845763939175</v>
      </c>
      <c r="L58" s="49">
        <f t="shared" si="13"/>
        <v>0</v>
      </c>
      <c r="M58" s="49">
        <f>'дод. 3'!M96</f>
        <v>0</v>
      </c>
      <c r="N58" s="49">
        <f>'дод. 3'!N96</f>
        <v>0</v>
      </c>
      <c r="O58" s="49">
        <f>'дод. 3'!O96</f>
        <v>0</v>
      </c>
      <c r="P58" s="49">
        <f>'дод. 3'!P96</f>
        <v>0</v>
      </c>
      <c r="Q58" s="49">
        <f t="shared" si="14"/>
        <v>0</v>
      </c>
      <c r="R58" s="49">
        <f>'дод. 3'!R96</f>
        <v>0</v>
      </c>
      <c r="S58" s="49">
        <f>'дод. 3'!S96</f>
        <v>0</v>
      </c>
      <c r="T58" s="49">
        <f>'дод. 3'!T96</f>
        <v>0</v>
      </c>
      <c r="U58" s="49">
        <f>'дод. 3'!U96</f>
        <v>0</v>
      </c>
      <c r="V58" s="62"/>
      <c r="W58" s="49">
        <f t="shared" si="15"/>
        <v>206400</v>
      </c>
      <c r="X58" s="164"/>
      <c r="Y58" s="80"/>
    </row>
    <row r="59" spans="1:25" s="15" customFormat="1" ht="30">
      <c r="A59" s="18"/>
      <c r="B59" s="22" t="s">
        <v>126</v>
      </c>
      <c r="C59" s="22" t="s">
        <v>182</v>
      </c>
      <c r="D59" s="23" t="s">
        <v>127</v>
      </c>
      <c r="E59" s="49">
        <f>'дод. 3'!E97</f>
        <v>41101000</v>
      </c>
      <c r="F59" s="49">
        <f>'дод. 3'!F97</f>
        <v>0</v>
      </c>
      <c r="G59" s="49">
        <f>'дод. 3'!G97</f>
        <v>0</v>
      </c>
      <c r="H59" s="49">
        <f>'дод. 3'!H97</f>
        <v>31847720.34</v>
      </c>
      <c r="I59" s="49">
        <f>'дод. 3'!I97</f>
        <v>0</v>
      </c>
      <c r="J59" s="49">
        <f>'дод. 3'!J97</f>
        <v>0</v>
      </c>
      <c r="K59" s="62">
        <f t="shared" si="12"/>
        <v>77.48648534098928</v>
      </c>
      <c r="L59" s="49">
        <f t="shared" si="13"/>
        <v>0</v>
      </c>
      <c r="M59" s="49">
        <f>'дод. 3'!M97</f>
        <v>0</v>
      </c>
      <c r="N59" s="49">
        <f>'дод. 3'!N97</f>
        <v>0</v>
      </c>
      <c r="O59" s="49">
        <f>'дод. 3'!O97</f>
        <v>0</v>
      </c>
      <c r="P59" s="49">
        <f>'дод. 3'!P97</f>
        <v>0</v>
      </c>
      <c r="Q59" s="49">
        <f t="shared" si="14"/>
        <v>0</v>
      </c>
      <c r="R59" s="49">
        <f>'дод. 3'!R97</f>
        <v>0</v>
      </c>
      <c r="S59" s="49">
        <f>'дод. 3'!S97</f>
        <v>0</v>
      </c>
      <c r="T59" s="49">
        <f>'дод. 3'!T97</f>
        <v>0</v>
      </c>
      <c r="U59" s="49">
        <f>'дод. 3'!U97</f>
        <v>0</v>
      </c>
      <c r="V59" s="62"/>
      <c r="W59" s="49">
        <f t="shared" si="15"/>
        <v>31847720.34</v>
      </c>
      <c r="X59" s="164"/>
      <c r="Y59" s="80"/>
    </row>
    <row r="60" spans="1:25" s="15" customFormat="1" ht="45">
      <c r="A60" s="18"/>
      <c r="B60" s="22" t="s">
        <v>128</v>
      </c>
      <c r="C60" s="22" t="s">
        <v>208</v>
      </c>
      <c r="D60" s="23" t="s">
        <v>129</v>
      </c>
      <c r="E60" s="49">
        <f>'дод. 3'!E98</f>
        <v>365245700</v>
      </c>
      <c r="F60" s="49">
        <f>'дод. 3'!F98</f>
        <v>0</v>
      </c>
      <c r="G60" s="49">
        <f>'дод. 3'!G98</f>
        <v>0</v>
      </c>
      <c r="H60" s="49">
        <f>'дод. 3'!H98</f>
        <v>231630976.99</v>
      </c>
      <c r="I60" s="49">
        <f>'дод. 3'!I98</f>
        <v>0</v>
      </c>
      <c r="J60" s="49">
        <f>'дод. 3'!J98</f>
        <v>0</v>
      </c>
      <c r="K60" s="62">
        <f t="shared" si="12"/>
        <v>63.41785187067227</v>
      </c>
      <c r="L60" s="49">
        <f t="shared" si="13"/>
        <v>0</v>
      </c>
      <c r="M60" s="49">
        <f>'дод. 3'!M98</f>
        <v>0</v>
      </c>
      <c r="N60" s="49">
        <f>'дод. 3'!N98</f>
        <v>0</v>
      </c>
      <c r="O60" s="49">
        <f>'дод. 3'!O98</f>
        <v>0</v>
      </c>
      <c r="P60" s="49">
        <f>'дод. 3'!P98</f>
        <v>0</v>
      </c>
      <c r="Q60" s="49">
        <f t="shared" si="14"/>
        <v>0</v>
      </c>
      <c r="R60" s="49">
        <f>'дод. 3'!R98</f>
        <v>0</v>
      </c>
      <c r="S60" s="49">
        <f>'дод. 3'!S98</f>
        <v>0</v>
      </c>
      <c r="T60" s="49">
        <f>'дод. 3'!T98</f>
        <v>0</v>
      </c>
      <c r="U60" s="49">
        <f>'дод. 3'!U98</f>
        <v>0</v>
      </c>
      <c r="V60" s="62"/>
      <c r="W60" s="49">
        <f t="shared" si="15"/>
        <v>231630976.99</v>
      </c>
      <c r="X60" s="164"/>
      <c r="Y60" s="80"/>
    </row>
    <row r="61" spans="1:25" s="15" customFormat="1" ht="60">
      <c r="A61" s="18"/>
      <c r="B61" s="22" t="s">
        <v>130</v>
      </c>
      <c r="C61" s="22" t="s">
        <v>208</v>
      </c>
      <c r="D61" s="23" t="s">
        <v>131</v>
      </c>
      <c r="E61" s="49">
        <f>'дод. 3'!E99</f>
        <v>135028.89</v>
      </c>
      <c r="F61" s="49">
        <f>'дод. 3'!F99</f>
        <v>0</v>
      </c>
      <c r="G61" s="49">
        <f>'дод. 3'!G99</f>
        <v>0</v>
      </c>
      <c r="H61" s="49">
        <f>'дод. 3'!H99</f>
        <v>123680.66</v>
      </c>
      <c r="I61" s="49">
        <f>'дод. 3'!I99</f>
        <v>0</v>
      </c>
      <c r="J61" s="49">
        <f>'дод. 3'!J99</f>
        <v>0</v>
      </c>
      <c r="K61" s="62">
        <f t="shared" si="12"/>
        <v>91.59570222342789</v>
      </c>
      <c r="L61" s="49">
        <f t="shared" si="13"/>
        <v>0</v>
      </c>
      <c r="M61" s="49">
        <f>'дод. 3'!M99</f>
        <v>0</v>
      </c>
      <c r="N61" s="49">
        <f>'дод. 3'!N99</f>
        <v>0</v>
      </c>
      <c r="O61" s="49">
        <f>'дод. 3'!O99</f>
        <v>0</v>
      </c>
      <c r="P61" s="49">
        <f>'дод. 3'!P99</f>
        <v>0</v>
      </c>
      <c r="Q61" s="49">
        <f t="shared" si="14"/>
        <v>0</v>
      </c>
      <c r="R61" s="49">
        <f>'дод. 3'!R99</f>
        <v>0</v>
      </c>
      <c r="S61" s="49">
        <f>'дод. 3'!S99</f>
        <v>0</v>
      </c>
      <c r="T61" s="49">
        <f>'дод. 3'!T99</f>
        <v>0</v>
      </c>
      <c r="U61" s="49">
        <f>'дод. 3'!U99</f>
        <v>0</v>
      </c>
      <c r="V61" s="62"/>
      <c r="W61" s="49">
        <f t="shared" si="15"/>
        <v>123680.66</v>
      </c>
      <c r="X61" s="164"/>
      <c r="Y61" s="80"/>
    </row>
    <row r="62" spans="1:25" s="15" customFormat="1" ht="30">
      <c r="A62" s="18"/>
      <c r="B62" s="22" t="s">
        <v>16</v>
      </c>
      <c r="C62" s="22" t="s">
        <v>181</v>
      </c>
      <c r="D62" s="23" t="s">
        <v>17</v>
      </c>
      <c r="E62" s="49">
        <f>'дод. 3'!E100+'дод. 3'!E15</f>
        <v>5914850.96</v>
      </c>
      <c r="F62" s="49">
        <f>'дод. 3'!F100+'дод. 3'!F15</f>
        <v>0</v>
      </c>
      <c r="G62" s="49">
        <f>'дод. 3'!G100+'дод. 3'!G15</f>
        <v>0</v>
      </c>
      <c r="H62" s="49">
        <f>'дод. 3'!H100+'дод. 3'!H15</f>
        <v>4710884.16</v>
      </c>
      <c r="I62" s="49">
        <f>'дод. 3'!I100+'дод. 3'!I15</f>
        <v>0</v>
      </c>
      <c r="J62" s="49">
        <f>'дод. 3'!J100+'дод. 3'!J15</f>
        <v>0</v>
      </c>
      <c r="K62" s="62">
        <f t="shared" si="12"/>
        <v>79.64501881548678</v>
      </c>
      <c r="L62" s="49">
        <f t="shared" si="13"/>
        <v>0</v>
      </c>
      <c r="M62" s="49">
        <f>'дод. 3'!M100</f>
        <v>0</v>
      </c>
      <c r="N62" s="49">
        <f>'дод. 3'!N100</f>
        <v>0</v>
      </c>
      <c r="O62" s="49">
        <f>'дод. 3'!O100</f>
        <v>0</v>
      </c>
      <c r="P62" s="49">
        <f>'дод. 3'!P100</f>
        <v>0</v>
      </c>
      <c r="Q62" s="49">
        <f t="shared" si="14"/>
        <v>0</v>
      </c>
      <c r="R62" s="49">
        <f>'дод. 3'!R100</f>
        <v>0</v>
      </c>
      <c r="S62" s="49">
        <f>'дод. 3'!S100</f>
        <v>0</v>
      </c>
      <c r="T62" s="49">
        <f>'дод. 3'!T100</f>
        <v>0</v>
      </c>
      <c r="U62" s="49">
        <f>'дод. 3'!U100</f>
        <v>0</v>
      </c>
      <c r="V62" s="62"/>
      <c r="W62" s="49">
        <f t="shared" si="15"/>
        <v>4710884.16</v>
      </c>
      <c r="X62" s="164"/>
      <c r="Y62" s="80"/>
    </row>
    <row r="63" spans="1:25" s="15" customFormat="1" ht="30">
      <c r="A63" s="18"/>
      <c r="B63" s="22" t="s">
        <v>132</v>
      </c>
      <c r="C63" s="22" t="s">
        <v>209</v>
      </c>
      <c r="D63" s="23" t="s">
        <v>133</v>
      </c>
      <c r="E63" s="49">
        <f>'дод. 3'!E101</f>
        <v>7669000</v>
      </c>
      <c r="F63" s="49">
        <f>'дод. 3'!F101</f>
        <v>0</v>
      </c>
      <c r="G63" s="49">
        <f>'дод. 3'!G101</f>
        <v>0</v>
      </c>
      <c r="H63" s="49">
        <f>'дод. 3'!H101</f>
        <v>6251240.25</v>
      </c>
      <c r="I63" s="49">
        <f>'дод. 3'!I101</f>
        <v>0</v>
      </c>
      <c r="J63" s="49">
        <f>'дод. 3'!J101</f>
        <v>0</v>
      </c>
      <c r="K63" s="62">
        <f t="shared" si="12"/>
        <v>81.51310796714043</v>
      </c>
      <c r="L63" s="49">
        <f t="shared" si="13"/>
        <v>0</v>
      </c>
      <c r="M63" s="49">
        <f>'дод. 3'!M101+'дод. 3'!M16</f>
        <v>0</v>
      </c>
      <c r="N63" s="49">
        <f>'дод. 3'!N101+'дод. 3'!N16</f>
        <v>0</v>
      </c>
      <c r="O63" s="49">
        <f>'дод. 3'!O101+'дод. 3'!O16</f>
        <v>0</v>
      </c>
      <c r="P63" s="49">
        <f>'дод. 3'!P101+'дод. 3'!P16</f>
        <v>0</v>
      </c>
      <c r="Q63" s="49">
        <f t="shared" si="14"/>
        <v>0</v>
      </c>
      <c r="R63" s="49">
        <f>'дод. 3'!R101+'дод. 3'!R16</f>
        <v>0</v>
      </c>
      <c r="S63" s="49">
        <f>'дод. 3'!S101+'дод. 3'!S16</f>
        <v>0</v>
      </c>
      <c r="T63" s="49">
        <f>'дод. 3'!T101+'дод. 3'!T16</f>
        <v>0</v>
      </c>
      <c r="U63" s="49">
        <f>'дод. 3'!U101+'дод. 3'!U16</f>
        <v>0</v>
      </c>
      <c r="V63" s="62"/>
      <c r="W63" s="49">
        <f t="shared" si="15"/>
        <v>6251240.25</v>
      </c>
      <c r="X63" s="164"/>
      <c r="Y63" s="80"/>
    </row>
    <row r="64" spans="1:25" s="15" customFormat="1" ht="30">
      <c r="A64" s="18"/>
      <c r="B64" s="22" t="s">
        <v>134</v>
      </c>
      <c r="C64" s="22" t="s">
        <v>206</v>
      </c>
      <c r="D64" s="23" t="s">
        <v>135</v>
      </c>
      <c r="E64" s="49">
        <f>'дод. 3'!E102</f>
        <v>1673159</v>
      </c>
      <c r="F64" s="49">
        <f>'дод. 3'!F102</f>
        <v>0</v>
      </c>
      <c r="G64" s="49">
        <f>'дод. 3'!G102</f>
        <v>0</v>
      </c>
      <c r="H64" s="49">
        <f>'дод. 3'!H102</f>
        <v>983369.9</v>
      </c>
      <c r="I64" s="49">
        <f>'дод. 3'!I102</f>
        <v>0</v>
      </c>
      <c r="J64" s="49">
        <f>'дод. 3'!J102</f>
        <v>0</v>
      </c>
      <c r="K64" s="62">
        <f t="shared" si="12"/>
        <v>58.7732486870644</v>
      </c>
      <c r="L64" s="49">
        <f t="shared" si="13"/>
        <v>0</v>
      </c>
      <c r="M64" s="49">
        <f>'дод. 3'!M102</f>
        <v>0</v>
      </c>
      <c r="N64" s="49">
        <f>'дод. 3'!N102</f>
        <v>0</v>
      </c>
      <c r="O64" s="49">
        <f>'дод. 3'!O102</f>
        <v>0</v>
      </c>
      <c r="P64" s="49">
        <f>'дод. 3'!P102</f>
        <v>0</v>
      </c>
      <c r="Q64" s="49">
        <f t="shared" si="14"/>
        <v>0</v>
      </c>
      <c r="R64" s="49">
        <f>'дод. 3'!R102</f>
        <v>0</v>
      </c>
      <c r="S64" s="49">
        <f>'дод. 3'!S102</f>
        <v>0</v>
      </c>
      <c r="T64" s="49">
        <f>'дод. 3'!T102</f>
        <v>0</v>
      </c>
      <c r="U64" s="49">
        <f>'дод. 3'!U102</f>
        <v>0</v>
      </c>
      <c r="V64" s="62"/>
      <c r="W64" s="49">
        <f t="shared" si="15"/>
        <v>983369.9</v>
      </c>
      <c r="X64" s="164"/>
      <c r="Y64" s="80"/>
    </row>
    <row r="65" spans="1:25" s="15" customFormat="1" ht="30">
      <c r="A65" s="18"/>
      <c r="B65" s="22" t="s">
        <v>239</v>
      </c>
      <c r="C65" s="22" t="s">
        <v>241</v>
      </c>
      <c r="D65" s="23" t="s">
        <v>240</v>
      </c>
      <c r="E65" s="49">
        <f>'дод. 3'!E103</f>
        <v>181400</v>
      </c>
      <c r="F65" s="49">
        <f>'дод. 3'!F103</f>
        <v>0</v>
      </c>
      <c r="G65" s="49">
        <f>'дод. 3'!G103</f>
        <v>0</v>
      </c>
      <c r="H65" s="49">
        <f>'дод. 3'!H103</f>
        <v>114977.34</v>
      </c>
      <c r="I65" s="49">
        <f>'дод. 3'!I103</f>
        <v>0</v>
      </c>
      <c r="J65" s="49">
        <f>'дод. 3'!J103</f>
        <v>0</v>
      </c>
      <c r="K65" s="62">
        <f t="shared" si="12"/>
        <v>63.38331863285557</v>
      </c>
      <c r="L65" s="49">
        <f t="shared" si="13"/>
        <v>0</v>
      </c>
      <c r="M65" s="49">
        <f>'дод. 3'!M103</f>
        <v>0</v>
      </c>
      <c r="N65" s="49">
        <f>'дод. 3'!N103</f>
        <v>0</v>
      </c>
      <c r="O65" s="49">
        <f>'дод. 3'!O103</f>
        <v>0</v>
      </c>
      <c r="P65" s="49">
        <f>'дод. 3'!P103</f>
        <v>0</v>
      </c>
      <c r="Q65" s="49">
        <f t="shared" si="14"/>
        <v>0</v>
      </c>
      <c r="R65" s="49">
        <f>'дод. 3'!R103</f>
        <v>0</v>
      </c>
      <c r="S65" s="49">
        <f>'дод. 3'!S103</f>
        <v>0</v>
      </c>
      <c r="T65" s="49">
        <f>'дод. 3'!T103</f>
        <v>0</v>
      </c>
      <c r="U65" s="49">
        <f>'дод. 3'!U103</f>
        <v>0</v>
      </c>
      <c r="V65" s="62"/>
      <c r="W65" s="49">
        <f t="shared" si="15"/>
        <v>114977.34</v>
      </c>
      <c r="X65" s="164"/>
      <c r="Y65" s="80"/>
    </row>
    <row r="66" spans="1:25" s="15" customFormat="1" ht="30">
      <c r="A66" s="18"/>
      <c r="B66" s="22" t="s">
        <v>292</v>
      </c>
      <c r="C66" s="22" t="s">
        <v>293</v>
      </c>
      <c r="D66" s="23" t="s">
        <v>294</v>
      </c>
      <c r="E66" s="49">
        <f>'дод. 3'!E104+'дод. 3'!E128</f>
        <v>724903.0700000001</v>
      </c>
      <c r="F66" s="49">
        <f>'дод. 3'!F104+'дод. 3'!F128</f>
        <v>307212.86</v>
      </c>
      <c r="G66" s="49">
        <f>'дод. 3'!G104+'дод. 3'!G128</f>
        <v>0</v>
      </c>
      <c r="H66" s="49">
        <f>'дод. 3'!H104+'дод. 3'!H128</f>
        <v>385510.9</v>
      </c>
      <c r="I66" s="49">
        <f>'дод. 3'!I104+'дод. 3'!I128</f>
        <v>188132.59</v>
      </c>
      <c r="J66" s="49">
        <f>'дод. 3'!J104+'дод. 3'!J128</f>
        <v>0</v>
      </c>
      <c r="K66" s="62">
        <f t="shared" si="12"/>
        <v>53.18102736135467</v>
      </c>
      <c r="L66" s="49">
        <f t="shared" si="13"/>
        <v>0</v>
      </c>
      <c r="M66" s="49">
        <f>'дод. 3'!M104</f>
        <v>0</v>
      </c>
      <c r="N66" s="49">
        <f>'дод. 3'!N104</f>
        <v>0</v>
      </c>
      <c r="O66" s="49">
        <f>'дод. 3'!O104</f>
        <v>0</v>
      </c>
      <c r="P66" s="49">
        <f>'дод. 3'!P104</f>
        <v>0</v>
      </c>
      <c r="Q66" s="49">
        <f t="shared" si="14"/>
        <v>0</v>
      </c>
      <c r="R66" s="49">
        <f>'дод. 3'!R104</f>
        <v>0</v>
      </c>
      <c r="S66" s="49">
        <f>'дод. 3'!S104</f>
        <v>0</v>
      </c>
      <c r="T66" s="49">
        <f>'дод. 3'!T104</f>
        <v>0</v>
      </c>
      <c r="U66" s="49">
        <f>'дод. 3'!U104</f>
        <v>0</v>
      </c>
      <c r="V66" s="62"/>
      <c r="W66" s="49">
        <f t="shared" si="15"/>
        <v>385510.9</v>
      </c>
      <c r="X66" s="164"/>
      <c r="Y66" s="80"/>
    </row>
    <row r="67" spans="1:25" s="15" customFormat="1" ht="30">
      <c r="A67" s="18"/>
      <c r="B67" s="22" t="s">
        <v>150</v>
      </c>
      <c r="C67" s="22" t="s">
        <v>182</v>
      </c>
      <c r="D67" s="23" t="s">
        <v>151</v>
      </c>
      <c r="E67" s="49">
        <f>'дод. 3'!E119</f>
        <v>50000</v>
      </c>
      <c r="F67" s="49">
        <f>'дод. 3'!F119</f>
        <v>0</v>
      </c>
      <c r="G67" s="49">
        <f>'дод. 3'!G119</f>
        <v>0</v>
      </c>
      <c r="H67" s="49">
        <f>'дод. 3'!H119</f>
        <v>31846.64</v>
      </c>
      <c r="I67" s="49">
        <f>'дод. 3'!I119</f>
        <v>0</v>
      </c>
      <c r="J67" s="49">
        <f>'дод. 3'!J119</f>
        <v>0</v>
      </c>
      <c r="K67" s="62">
        <f t="shared" si="12"/>
        <v>63.693279999999994</v>
      </c>
      <c r="L67" s="49">
        <f t="shared" si="13"/>
        <v>0</v>
      </c>
      <c r="M67" s="49">
        <f>'дод. 3'!M119</f>
        <v>0</v>
      </c>
      <c r="N67" s="49">
        <f>'дод. 3'!N119</f>
        <v>0</v>
      </c>
      <c r="O67" s="49">
        <f>'дод. 3'!O119</f>
        <v>0</v>
      </c>
      <c r="P67" s="49">
        <f>'дод. 3'!P119</f>
        <v>0</v>
      </c>
      <c r="Q67" s="49">
        <f t="shared" si="14"/>
        <v>0</v>
      </c>
      <c r="R67" s="49">
        <f>'дод. 3'!R119</f>
        <v>0</v>
      </c>
      <c r="S67" s="49">
        <f>'дод. 3'!S119</f>
        <v>0</v>
      </c>
      <c r="T67" s="49">
        <f>'дод. 3'!T119</f>
        <v>0</v>
      </c>
      <c r="U67" s="49">
        <f>'дод. 3'!U119</f>
        <v>0</v>
      </c>
      <c r="V67" s="62"/>
      <c r="W67" s="49">
        <f t="shared" si="15"/>
        <v>31846.64</v>
      </c>
      <c r="X67" s="164"/>
      <c r="Y67" s="80"/>
    </row>
    <row r="68" spans="1:25" s="15" customFormat="1" ht="30">
      <c r="A68" s="18"/>
      <c r="B68" s="22" t="s">
        <v>18</v>
      </c>
      <c r="C68" s="22" t="s">
        <v>182</v>
      </c>
      <c r="D68" s="23" t="s">
        <v>19</v>
      </c>
      <c r="E68" s="49">
        <f>'дод. 3'!E16</f>
        <v>717600</v>
      </c>
      <c r="F68" s="49">
        <f>'дод. 3'!F16</f>
        <v>506950</v>
      </c>
      <c r="G68" s="49">
        <f>'дод. 3'!G16</f>
        <v>55897</v>
      </c>
      <c r="H68" s="49">
        <f>'дод. 3'!H16</f>
        <v>502908.92</v>
      </c>
      <c r="I68" s="49">
        <f>'дод. 3'!I16</f>
        <v>365059.53</v>
      </c>
      <c r="J68" s="49">
        <f>'дод. 3'!J16</f>
        <v>32865.4</v>
      </c>
      <c r="K68" s="62">
        <f t="shared" si="12"/>
        <v>70.0820680044593</v>
      </c>
      <c r="L68" s="49">
        <f t="shared" si="13"/>
        <v>0</v>
      </c>
      <c r="M68" s="49">
        <f>'дод. 3'!M16</f>
        <v>0</v>
      </c>
      <c r="N68" s="49">
        <f>'дод. 3'!N16</f>
        <v>0</v>
      </c>
      <c r="O68" s="49">
        <f>'дод. 3'!O16</f>
        <v>0</v>
      </c>
      <c r="P68" s="49">
        <f>'дод. 3'!P16</f>
        <v>0</v>
      </c>
      <c r="Q68" s="49">
        <f t="shared" si="14"/>
        <v>0</v>
      </c>
      <c r="R68" s="49">
        <f>'дод. 3'!R16</f>
        <v>0</v>
      </c>
      <c r="S68" s="49">
        <f>'дод. 3'!S16</f>
        <v>0</v>
      </c>
      <c r="T68" s="49">
        <f>'дод. 3'!T16</f>
        <v>0</v>
      </c>
      <c r="U68" s="49">
        <f>'дод. 3'!U16</f>
        <v>0</v>
      </c>
      <c r="V68" s="62"/>
      <c r="W68" s="49">
        <f t="shared" si="15"/>
        <v>502908.92</v>
      </c>
      <c r="X68" s="164"/>
      <c r="Y68" s="80"/>
    </row>
    <row r="69" spans="1:25" s="15" customFormat="1" ht="30">
      <c r="A69" s="18"/>
      <c r="B69" s="22" t="s">
        <v>20</v>
      </c>
      <c r="C69" s="22" t="s">
        <v>182</v>
      </c>
      <c r="D69" s="23" t="s">
        <v>21</v>
      </c>
      <c r="E69" s="49">
        <f>'дод. 3'!E17</f>
        <v>40000</v>
      </c>
      <c r="F69" s="49">
        <f>'дод. 3'!F17</f>
        <v>0</v>
      </c>
      <c r="G69" s="49">
        <f>'дод. 3'!G17</f>
        <v>0</v>
      </c>
      <c r="H69" s="49">
        <f>'дод. 3'!H17</f>
        <v>24950</v>
      </c>
      <c r="I69" s="49">
        <f>'дод. 3'!I17</f>
        <v>0</v>
      </c>
      <c r="J69" s="49">
        <f>'дод. 3'!J17</f>
        <v>0</v>
      </c>
      <c r="K69" s="62">
        <f t="shared" si="12"/>
        <v>62.375</v>
      </c>
      <c r="L69" s="49">
        <f t="shared" si="13"/>
        <v>0</v>
      </c>
      <c r="M69" s="49">
        <f>'дод. 3'!M17</f>
        <v>0</v>
      </c>
      <c r="N69" s="49">
        <f>'дод. 3'!N17</f>
        <v>0</v>
      </c>
      <c r="O69" s="49">
        <f>'дод. 3'!O17</f>
        <v>0</v>
      </c>
      <c r="P69" s="49">
        <f>'дод. 3'!P17</f>
        <v>0</v>
      </c>
      <c r="Q69" s="49">
        <f t="shared" si="14"/>
        <v>0</v>
      </c>
      <c r="R69" s="49">
        <f>'дод. 3'!R17</f>
        <v>0</v>
      </c>
      <c r="S69" s="49">
        <f>'дод. 3'!S17</f>
        <v>0</v>
      </c>
      <c r="T69" s="49">
        <f>'дод. 3'!T17</f>
        <v>0</v>
      </c>
      <c r="U69" s="49">
        <f>'дод. 3'!U17</f>
        <v>0</v>
      </c>
      <c r="V69" s="62"/>
      <c r="W69" s="49">
        <f t="shared" si="15"/>
        <v>24950</v>
      </c>
      <c r="X69" s="164"/>
      <c r="Y69" s="80"/>
    </row>
    <row r="70" spans="1:25" s="15" customFormat="1" ht="30">
      <c r="A70" s="18"/>
      <c r="B70" s="22" t="s">
        <v>22</v>
      </c>
      <c r="C70" s="22" t="s">
        <v>182</v>
      </c>
      <c r="D70" s="23" t="s">
        <v>23</v>
      </c>
      <c r="E70" s="49">
        <f>'дод. 3'!E18</f>
        <v>605000</v>
      </c>
      <c r="F70" s="49">
        <f>'дод. 3'!F18</f>
        <v>0</v>
      </c>
      <c r="G70" s="49">
        <f>'дод. 3'!G18</f>
        <v>0</v>
      </c>
      <c r="H70" s="49">
        <f>'дод. 3'!H18</f>
        <v>346217.13</v>
      </c>
      <c r="I70" s="49">
        <f>'дод. 3'!I18</f>
        <v>0</v>
      </c>
      <c r="J70" s="49">
        <f>'дод. 3'!J18</f>
        <v>0</v>
      </c>
      <c r="K70" s="62">
        <f t="shared" si="12"/>
        <v>57.225971900826444</v>
      </c>
      <c r="L70" s="49">
        <f t="shared" si="13"/>
        <v>0</v>
      </c>
      <c r="M70" s="49">
        <f>'дод. 3'!M18</f>
        <v>0</v>
      </c>
      <c r="N70" s="49">
        <f>'дод. 3'!N18</f>
        <v>0</v>
      </c>
      <c r="O70" s="49">
        <f>'дод. 3'!O18</f>
        <v>0</v>
      </c>
      <c r="P70" s="49">
        <f>'дод. 3'!P18</f>
        <v>0</v>
      </c>
      <c r="Q70" s="49">
        <f t="shared" si="14"/>
        <v>0</v>
      </c>
      <c r="R70" s="49">
        <f>'дод. 3'!R18</f>
        <v>0</v>
      </c>
      <c r="S70" s="49">
        <f>'дод. 3'!S18</f>
        <v>0</v>
      </c>
      <c r="T70" s="49">
        <f>'дод. 3'!T18</f>
        <v>0</v>
      </c>
      <c r="U70" s="49">
        <f>'дод. 3'!U18</f>
        <v>0</v>
      </c>
      <c r="V70" s="62"/>
      <c r="W70" s="49">
        <f t="shared" si="15"/>
        <v>346217.13</v>
      </c>
      <c r="X70" s="164"/>
      <c r="Y70" s="80"/>
    </row>
    <row r="71" spans="1:25" s="15" customFormat="1" ht="24.75" customHeight="1">
      <c r="A71" s="18"/>
      <c r="B71" s="22" t="s">
        <v>24</v>
      </c>
      <c r="C71" s="22" t="s">
        <v>182</v>
      </c>
      <c r="D71" s="23" t="s">
        <v>25</v>
      </c>
      <c r="E71" s="49">
        <f>'дод. 3'!E19</f>
        <v>511500</v>
      </c>
      <c r="F71" s="49">
        <f>'дод. 3'!F19</f>
        <v>338600</v>
      </c>
      <c r="G71" s="49">
        <f>'дод. 3'!G19</f>
        <v>72433</v>
      </c>
      <c r="H71" s="49">
        <f>'дод. 3'!H19</f>
        <v>356248.08</v>
      </c>
      <c r="I71" s="49">
        <f>'дод. 3'!I19</f>
        <v>247212.12</v>
      </c>
      <c r="J71" s="49">
        <f>'дод. 3'!J19</f>
        <v>44316.68</v>
      </c>
      <c r="K71" s="62">
        <f t="shared" si="12"/>
        <v>69.64771847507332</v>
      </c>
      <c r="L71" s="49">
        <f t="shared" si="13"/>
        <v>9645</v>
      </c>
      <c r="M71" s="49">
        <f>'дод. 3'!M19</f>
        <v>0</v>
      </c>
      <c r="N71" s="49">
        <f>'дод. 3'!N19</f>
        <v>0</v>
      </c>
      <c r="O71" s="49">
        <f>'дод. 3'!O19</f>
        <v>0</v>
      </c>
      <c r="P71" s="49">
        <f>'дод. 3'!P19</f>
        <v>9645</v>
      </c>
      <c r="Q71" s="49">
        <f t="shared" si="14"/>
        <v>1665</v>
      </c>
      <c r="R71" s="49">
        <f>'дод. 3'!R19</f>
        <v>1665</v>
      </c>
      <c r="S71" s="49">
        <f>'дод. 3'!S19</f>
        <v>0</v>
      </c>
      <c r="T71" s="49">
        <f>'дод. 3'!T19</f>
        <v>0</v>
      </c>
      <c r="U71" s="49">
        <f>'дод. 3'!U19</f>
        <v>0</v>
      </c>
      <c r="V71" s="62">
        <f>Q71/L71*100</f>
        <v>17.262830482115085</v>
      </c>
      <c r="W71" s="49">
        <f t="shared" si="15"/>
        <v>357913.08</v>
      </c>
      <c r="X71" s="164"/>
      <c r="Y71" s="80"/>
    </row>
    <row r="72" spans="1:25" s="15" customFormat="1" ht="90">
      <c r="A72" s="18"/>
      <c r="B72" s="22" t="s">
        <v>26</v>
      </c>
      <c r="C72" s="22" t="s">
        <v>182</v>
      </c>
      <c r="D72" s="24" t="s">
        <v>27</v>
      </c>
      <c r="E72" s="49">
        <f>'дод. 3'!E20+'дод. 3'!E59</f>
        <v>3216868</v>
      </c>
      <c r="F72" s="49">
        <f>'дод. 3'!F20+'дод. 3'!F59</f>
        <v>0</v>
      </c>
      <c r="G72" s="49">
        <f>'дод. 3'!G20+'дод. 3'!G59</f>
        <v>0</v>
      </c>
      <c r="H72" s="49">
        <f>'дод. 3'!H20+'дод. 3'!H59</f>
        <v>3077268.5300000003</v>
      </c>
      <c r="I72" s="49">
        <f>'дод. 3'!I20+'дод. 3'!I59</f>
        <v>0</v>
      </c>
      <c r="J72" s="49">
        <f>'дод. 3'!J20+'дод. 3'!J59</f>
        <v>0</v>
      </c>
      <c r="K72" s="62">
        <f t="shared" si="12"/>
        <v>95.66039172263208</v>
      </c>
      <c r="L72" s="49">
        <f t="shared" si="13"/>
        <v>0</v>
      </c>
      <c r="M72" s="49">
        <f>'дод. 3'!M20+'дод. 3'!M59</f>
        <v>0</v>
      </c>
      <c r="N72" s="49">
        <f>'дод. 3'!N20+'дод. 3'!N59</f>
        <v>0</v>
      </c>
      <c r="O72" s="49">
        <f>'дод. 3'!O20+'дод. 3'!O59</f>
        <v>0</v>
      </c>
      <c r="P72" s="49">
        <f>'дод. 3'!P20+'дод. 3'!P59</f>
        <v>0</v>
      </c>
      <c r="Q72" s="49">
        <f t="shared" si="14"/>
        <v>727846.1</v>
      </c>
      <c r="R72" s="49">
        <f>'дод. 3'!R20+'дод. 3'!R59</f>
        <v>727846.1</v>
      </c>
      <c r="S72" s="49">
        <f>'дод. 3'!S20+'дод. 3'!S59</f>
        <v>0</v>
      </c>
      <c r="T72" s="49">
        <f>'дод. 3'!T20+'дод. 3'!T59</f>
        <v>0</v>
      </c>
      <c r="U72" s="49">
        <f>'дод. 3'!U20+'дод. 3'!U59</f>
        <v>0</v>
      </c>
      <c r="V72" s="62"/>
      <c r="W72" s="49">
        <f t="shared" si="15"/>
        <v>3805114.6300000004</v>
      </c>
      <c r="X72" s="164"/>
      <c r="Y72" s="80"/>
    </row>
    <row r="73" spans="1:25" s="15" customFormat="1" ht="45">
      <c r="A73" s="18"/>
      <c r="B73" s="22" t="s">
        <v>136</v>
      </c>
      <c r="C73" s="22" t="s">
        <v>210</v>
      </c>
      <c r="D73" s="23" t="s">
        <v>137</v>
      </c>
      <c r="E73" s="49">
        <f>'дод. 3'!E105</f>
        <v>5925555</v>
      </c>
      <c r="F73" s="49">
        <f>'дод. 3'!F105</f>
        <v>4387170</v>
      </c>
      <c r="G73" s="49">
        <f>'дод. 3'!G105</f>
        <v>156566</v>
      </c>
      <c r="H73" s="49">
        <f>'дод. 3'!H105</f>
        <v>4123443.5</v>
      </c>
      <c r="I73" s="49">
        <f>'дод. 3'!I105</f>
        <v>3069417.54</v>
      </c>
      <c r="J73" s="49">
        <f>'дод. 3'!J105</f>
        <v>98242.99</v>
      </c>
      <c r="K73" s="62">
        <f t="shared" si="12"/>
        <v>69.587464802875</v>
      </c>
      <c r="L73" s="49">
        <f t="shared" si="13"/>
        <v>464703</v>
      </c>
      <c r="M73" s="49">
        <f>'дод. 3'!M105</f>
        <v>27800</v>
      </c>
      <c r="N73" s="49">
        <f>'дод. 3'!N105</f>
        <v>18822</v>
      </c>
      <c r="O73" s="49">
        <f>'дод. 3'!O105</f>
        <v>0</v>
      </c>
      <c r="P73" s="49">
        <f>'дод. 3'!P105</f>
        <v>436903</v>
      </c>
      <c r="Q73" s="49">
        <f t="shared" si="14"/>
        <v>508463.26</v>
      </c>
      <c r="R73" s="49">
        <f>'дод. 3'!R105</f>
        <v>69343.86</v>
      </c>
      <c r="S73" s="49">
        <f>'дод. 3'!S105</f>
        <v>19515.25</v>
      </c>
      <c r="T73" s="49">
        <f>'дод. 3'!T105</f>
        <v>0</v>
      </c>
      <c r="U73" s="49">
        <f>'дод. 3'!U105</f>
        <v>439119.4</v>
      </c>
      <c r="V73" s="62">
        <f>Q73/L73*100</f>
        <v>109.4168232182706</v>
      </c>
      <c r="W73" s="49">
        <f t="shared" si="15"/>
        <v>4631906.76</v>
      </c>
      <c r="X73" s="164"/>
      <c r="Y73" s="80"/>
    </row>
    <row r="74" spans="1:25" s="15" customFormat="1" ht="90">
      <c r="A74" s="18"/>
      <c r="B74" s="22" t="s">
        <v>138</v>
      </c>
      <c r="C74" s="22" t="s">
        <v>209</v>
      </c>
      <c r="D74" s="23" t="s">
        <v>139</v>
      </c>
      <c r="E74" s="49">
        <f>'дод. 3'!E106</f>
        <v>1397200</v>
      </c>
      <c r="F74" s="49">
        <f>'дод. 3'!F106</f>
        <v>0</v>
      </c>
      <c r="G74" s="49">
        <f>'дод. 3'!G106</f>
        <v>0</v>
      </c>
      <c r="H74" s="49">
        <f>'дод. 3'!H106</f>
        <v>840485.38</v>
      </c>
      <c r="I74" s="49">
        <f>'дод. 3'!I106</f>
        <v>0</v>
      </c>
      <c r="J74" s="49">
        <f>'дод. 3'!J106</f>
        <v>0</v>
      </c>
      <c r="K74" s="62">
        <f t="shared" si="12"/>
        <v>60.15497995991984</v>
      </c>
      <c r="L74" s="49">
        <f t="shared" si="13"/>
        <v>0</v>
      </c>
      <c r="M74" s="49">
        <f>'дод. 3'!M106</f>
        <v>0</v>
      </c>
      <c r="N74" s="49">
        <f>'дод. 3'!N106</f>
        <v>0</v>
      </c>
      <c r="O74" s="49">
        <f>'дод. 3'!O106</f>
        <v>0</v>
      </c>
      <c r="P74" s="49">
        <f>'дод. 3'!P106</f>
        <v>0</v>
      </c>
      <c r="Q74" s="49">
        <f t="shared" si="14"/>
        <v>0</v>
      </c>
      <c r="R74" s="49">
        <f>'дод. 3'!R106</f>
        <v>0</v>
      </c>
      <c r="S74" s="49">
        <f>'дод. 3'!S106</f>
        <v>0</v>
      </c>
      <c r="T74" s="49">
        <f>'дод. 3'!T106</f>
        <v>0</v>
      </c>
      <c r="U74" s="49">
        <f>'дод. 3'!U106</f>
        <v>0</v>
      </c>
      <c r="V74" s="62"/>
      <c r="W74" s="49">
        <f t="shared" si="15"/>
        <v>840485.38</v>
      </c>
      <c r="X74" s="164" t="s">
        <v>350</v>
      </c>
      <c r="Y74" s="80"/>
    </row>
    <row r="75" spans="1:25" s="15" customFormat="1" ht="105">
      <c r="A75" s="18"/>
      <c r="B75" s="22" t="s">
        <v>140</v>
      </c>
      <c r="C75" s="22" t="s">
        <v>208</v>
      </c>
      <c r="D75" s="23" t="s">
        <v>141</v>
      </c>
      <c r="E75" s="49">
        <f>'дод. 3'!E107</f>
        <v>2482439</v>
      </c>
      <c r="F75" s="49">
        <f>'дод. 3'!F107</f>
        <v>0</v>
      </c>
      <c r="G75" s="49">
        <f>'дод. 3'!G107</f>
        <v>0</v>
      </c>
      <c r="H75" s="49">
        <f>'дод. 3'!H107</f>
        <v>940510.43</v>
      </c>
      <c r="I75" s="49">
        <f>'дод. 3'!I107</f>
        <v>0</v>
      </c>
      <c r="J75" s="49">
        <f>'дод. 3'!J107</f>
        <v>0</v>
      </c>
      <c r="K75" s="62">
        <f t="shared" si="12"/>
        <v>37.88654746400616</v>
      </c>
      <c r="L75" s="49">
        <f t="shared" si="13"/>
        <v>0</v>
      </c>
      <c r="M75" s="49">
        <f>'дод. 3'!M107</f>
        <v>0</v>
      </c>
      <c r="N75" s="49">
        <f>'дод. 3'!N107</f>
        <v>0</v>
      </c>
      <c r="O75" s="49">
        <f>'дод. 3'!O107</f>
        <v>0</v>
      </c>
      <c r="P75" s="49">
        <f>'дод. 3'!P107</f>
        <v>0</v>
      </c>
      <c r="Q75" s="49">
        <f t="shared" si="14"/>
        <v>0</v>
      </c>
      <c r="R75" s="49">
        <f>'дод. 3'!R107</f>
        <v>0</v>
      </c>
      <c r="S75" s="49">
        <f>'дод. 3'!S107</f>
        <v>0</v>
      </c>
      <c r="T75" s="49">
        <f>'дод. 3'!T107</f>
        <v>0</v>
      </c>
      <c r="U75" s="49">
        <f>'дод. 3'!U107</f>
        <v>0</v>
      </c>
      <c r="V75" s="62"/>
      <c r="W75" s="49">
        <f t="shared" si="15"/>
        <v>940510.43</v>
      </c>
      <c r="X75" s="164"/>
      <c r="Y75" s="80"/>
    </row>
    <row r="76" spans="1:25" s="15" customFormat="1" ht="30">
      <c r="A76" s="18"/>
      <c r="B76" s="22" t="s">
        <v>142</v>
      </c>
      <c r="C76" s="22" t="s">
        <v>206</v>
      </c>
      <c r="D76" s="23" t="s">
        <v>143</v>
      </c>
      <c r="E76" s="49">
        <f>'дод. 3'!E108</f>
        <v>798900</v>
      </c>
      <c r="F76" s="49">
        <f>'дод. 3'!F108</f>
        <v>0</v>
      </c>
      <c r="G76" s="49">
        <f>'дод. 3'!G108</f>
        <v>0</v>
      </c>
      <c r="H76" s="49">
        <f>'дод. 3'!H108</f>
        <v>522643.86</v>
      </c>
      <c r="I76" s="49">
        <f>'дод. 3'!I108</f>
        <v>0</v>
      </c>
      <c r="J76" s="49">
        <f>'дод. 3'!J108</f>
        <v>0</v>
      </c>
      <c r="K76" s="62">
        <f t="shared" si="12"/>
        <v>65.42043559894856</v>
      </c>
      <c r="L76" s="49">
        <f t="shared" si="13"/>
        <v>0</v>
      </c>
      <c r="M76" s="49">
        <f>'дод. 3'!M108</f>
        <v>0</v>
      </c>
      <c r="N76" s="49">
        <f>'дод. 3'!N108</f>
        <v>0</v>
      </c>
      <c r="O76" s="49">
        <f>'дод. 3'!O108</f>
        <v>0</v>
      </c>
      <c r="P76" s="49">
        <f>'дод. 3'!P108</f>
        <v>0</v>
      </c>
      <c r="Q76" s="49">
        <f t="shared" si="14"/>
        <v>0</v>
      </c>
      <c r="R76" s="49">
        <f>'дод. 3'!R108</f>
        <v>0</v>
      </c>
      <c r="S76" s="49">
        <f>'дод. 3'!S108</f>
        <v>0</v>
      </c>
      <c r="T76" s="49">
        <f>'дод. 3'!T108</f>
        <v>0</v>
      </c>
      <c r="U76" s="49">
        <f>'дод. 3'!U108</f>
        <v>0</v>
      </c>
      <c r="V76" s="62"/>
      <c r="W76" s="49">
        <f t="shared" si="15"/>
        <v>522643.86</v>
      </c>
      <c r="X76" s="164"/>
      <c r="Y76" s="80"/>
    </row>
    <row r="77" spans="1:25" s="15" customFormat="1" ht="30">
      <c r="A77" s="18"/>
      <c r="B77" s="22" t="s">
        <v>242</v>
      </c>
      <c r="C77" s="22" t="s">
        <v>181</v>
      </c>
      <c r="D77" s="23" t="s">
        <v>243</v>
      </c>
      <c r="E77" s="49">
        <f>'дод. 3'!E109</f>
        <v>111717</v>
      </c>
      <c r="F77" s="49">
        <f>'дод. 3'!F109</f>
        <v>0</v>
      </c>
      <c r="G77" s="49">
        <f>'дод. 3'!G109</f>
        <v>0</v>
      </c>
      <c r="H77" s="49">
        <f>'дод. 3'!H109</f>
        <v>86782</v>
      </c>
      <c r="I77" s="49">
        <f>'дод. 3'!I109</f>
        <v>0</v>
      </c>
      <c r="J77" s="49">
        <f>'дод. 3'!J109</f>
        <v>0</v>
      </c>
      <c r="K77" s="62">
        <f t="shared" si="12"/>
        <v>77.68020981587404</v>
      </c>
      <c r="L77" s="49">
        <f t="shared" si="13"/>
        <v>0</v>
      </c>
      <c r="M77" s="49">
        <f>'дод. 3'!M109</f>
        <v>0</v>
      </c>
      <c r="N77" s="49">
        <f>'дод. 3'!N109</f>
        <v>0</v>
      </c>
      <c r="O77" s="49">
        <f>'дод. 3'!O109</f>
        <v>0</v>
      </c>
      <c r="P77" s="49">
        <f>'дод. 3'!P109</f>
        <v>0</v>
      </c>
      <c r="Q77" s="49">
        <f t="shared" si="14"/>
        <v>0</v>
      </c>
      <c r="R77" s="49">
        <f>'дод. 3'!R109</f>
        <v>0</v>
      </c>
      <c r="S77" s="49">
        <f>'дод. 3'!S109</f>
        <v>0</v>
      </c>
      <c r="T77" s="49">
        <f>'дод. 3'!T109</f>
        <v>0</v>
      </c>
      <c r="U77" s="49">
        <f>'дод. 3'!U109</f>
        <v>0</v>
      </c>
      <c r="V77" s="62"/>
      <c r="W77" s="49">
        <f t="shared" si="15"/>
        <v>86782</v>
      </c>
      <c r="X77" s="164"/>
      <c r="Y77" s="80"/>
    </row>
    <row r="78" spans="1:25" s="15" customFormat="1" ht="23.25" customHeight="1">
      <c r="A78" s="18"/>
      <c r="B78" s="22" t="s">
        <v>144</v>
      </c>
      <c r="C78" s="22" t="s">
        <v>181</v>
      </c>
      <c r="D78" s="23" t="s">
        <v>145</v>
      </c>
      <c r="E78" s="49">
        <f>'дод. 3'!E110</f>
        <v>1481942</v>
      </c>
      <c r="F78" s="49">
        <f>'дод. 3'!F110</f>
        <v>898400</v>
      </c>
      <c r="G78" s="49">
        <f>'дод. 3'!G110</f>
        <v>129344</v>
      </c>
      <c r="H78" s="49">
        <f>'дод. 3'!H110</f>
        <v>997526.96</v>
      </c>
      <c r="I78" s="49">
        <f>'дод. 3'!I110</f>
        <v>606946.52</v>
      </c>
      <c r="J78" s="49">
        <f>'дод. 3'!J110</f>
        <v>64954.89</v>
      </c>
      <c r="K78" s="62">
        <f t="shared" si="12"/>
        <v>67.31214581947201</v>
      </c>
      <c r="L78" s="49">
        <f t="shared" si="13"/>
        <v>243500</v>
      </c>
      <c r="M78" s="49">
        <f>'дод. 3'!M110</f>
        <v>0</v>
      </c>
      <c r="N78" s="49">
        <f>'дод. 3'!N110</f>
        <v>0</v>
      </c>
      <c r="O78" s="49">
        <f>'дод. 3'!O110</f>
        <v>0</v>
      </c>
      <c r="P78" s="49">
        <f>'дод. 3'!P110</f>
        <v>243500</v>
      </c>
      <c r="Q78" s="49">
        <f t="shared" si="14"/>
        <v>352769.2</v>
      </c>
      <c r="R78" s="49">
        <f>'дод. 3'!R110</f>
        <v>109289.2</v>
      </c>
      <c r="S78" s="49">
        <f>'дод. 3'!S110</f>
        <v>0</v>
      </c>
      <c r="T78" s="49">
        <f>'дод. 3'!T110</f>
        <v>0</v>
      </c>
      <c r="U78" s="49">
        <f>'дод. 3'!U110</f>
        <v>243480</v>
      </c>
      <c r="V78" s="62">
        <f>Q78/L78*100</f>
        <v>144.87441478439425</v>
      </c>
      <c r="W78" s="49">
        <f t="shared" si="15"/>
        <v>1350296.16</v>
      </c>
      <c r="X78" s="164"/>
      <c r="Y78" s="80"/>
    </row>
    <row r="79" spans="1:25" s="15" customFormat="1" ht="38.25" customHeight="1">
      <c r="A79" s="18"/>
      <c r="B79" s="22" t="s">
        <v>146</v>
      </c>
      <c r="C79" s="22" t="s">
        <v>209</v>
      </c>
      <c r="D79" s="23" t="s">
        <v>147</v>
      </c>
      <c r="E79" s="49">
        <f>'дод. 3'!E111</f>
        <v>42439500</v>
      </c>
      <c r="F79" s="49">
        <f>'дод. 3'!F111</f>
        <v>0</v>
      </c>
      <c r="G79" s="49">
        <f>'дод. 3'!G111</f>
        <v>0</v>
      </c>
      <c r="H79" s="49">
        <f>'дод. 3'!H111</f>
        <v>30909769.12</v>
      </c>
      <c r="I79" s="49">
        <f>'дод. 3'!I111</f>
        <v>0</v>
      </c>
      <c r="J79" s="49">
        <f>'дод. 3'!J111</f>
        <v>0</v>
      </c>
      <c r="K79" s="62">
        <f t="shared" si="12"/>
        <v>72.8325477915621</v>
      </c>
      <c r="L79" s="49">
        <f t="shared" si="13"/>
        <v>0</v>
      </c>
      <c r="M79" s="49">
        <f>'дод. 3'!M111</f>
        <v>0</v>
      </c>
      <c r="N79" s="49">
        <f>'дод. 3'!N111</f>
        <v>0</v>
      </c>
      <c r="O79" s="49">
        <f>'дод. 3'!O111</f>
        <v>0</v>
      </c>
      <c r="P79" s="49">
        <f>'дод. 3'!P111</f>
        <v>0</v>
      </c>
      <c r="Q79" s="49">
        <f t="shared" si="14"/>
        <v>0</v>
      </c>
      <c r="R79" s="49">
        <f>'дод. 3'!R111</f>
        <v>0</v>
      </c>
      <c r="S79" s="49">
        <f>'дод. 3'!S111</f>
        <v>0</v>
      </c>
      <c r="T79" s="49">
        <f>'дод. 3'!T111</f>
        <v>0</v>
      </c>
      <c r="U79" s="49">
        <f>'дод. 3'!U111</f>
        <v>0</v>
      </c>
      <c r="V79" s="62"/>
      <c r="W79" s="49">
        <f t="shared" si="15"/>
        <v>30909769.12</v>
      </c>
      <c r="X79" s="164"/>
      <c r="Y79" s="80"/>
    </row>
    <row r="80" spans="1:25" s="15" customFormat="1" ht="60">
      <c r="A80" s="18"/>
      <c r="B80" s="22" t="s">
        <v>244</v>
      </c>
      <c r="C80" s="22" t="s">
        <v>209</v>
      </c>
      <c r="D80" s="23" t="s">
        <v>245</v>
      </c>
      <c r="E80" s="49">
        <f>'дод. 3'!E112</f>
        <v>162275</v>
      </c>
      <c r="F80" s="49">
        <f>'дод. 3'!F112</f>
        <v>0</v>
      </c>
      <c r="G80" s="49">
        <f>'дод. 3'!G112</f>
        <v>0</v>
      </c>
      <c r="H80" s="49">
        <f>'дод. 3'!H112</f>
        <v>142179.68</v>
      </c>
      <c r="I80" s="49">
        <f>'дод. 3'!I112</f>
        <v>0</v>
      </c>
      <c r="J80" s="49">
        <f>'дод. 3'!J112</f>
        <v>0</v>
      </c>
      <c r="K80" s="62">
        <f t="shared" si="12"/>
        <v>87.61650285010013</v>
      </c>
      <c r="L80" s="49">
        <f t="shared" si="13"/>
        <v>0</v>
      </c>
      <c r="M80" s="49">
        <f>'дод. 3'!M112</f>
        <v>0</v>
      </c>
      <c r="N80" s="49">
        <f>'дод. 3'!N112</f>
        <v>0</v>
      </c>
      <c r="O80" s="49">
        <f>'дод. 3'!O112</f>
        <v>0</v>
      </c>
      <c r="P80" s="49">
        <f>'дод. 3'!P112</f>
        <v>0</v>
      </c>
      <c r="Q80" s="49">
        <f t="shared" si="14"/>
        <v>0</v>
      </c>
      <c r="R80" s="49">
        <f>'дод. 3'!R112</f>
        <v>0</v>
      </c>
      <c r="S80" s="49">
        <f>'дод. 3'!S112</f>
        <v>0</v>
      </c>
      <c r="T80" s="49">
        <f>'дод. 3'!T112</f>
        <v>0</v>
      </c>
      <c r="U80" s="49">
        <f>'дод. 3'!U112</f>
        <v>0</v>
      </c>
      <c r="V80" s="62"/>
      <c r="W80" s="49">
        <f t="shared" si="15"/>
        <v>142179.68</v>
      </c>
      <c r="X80" s="164"/>
      <c r="Y80" s="80"/>
    </row>
    <row r="81" spans="1:25" s="15" customFormat="1" ht="30">
      <c r="A81" s="18"/>
      <c r="B81" s="22" t="s">
        <v>246</v>
      </c>
      <c r="C81" s="22" t="s">
        <v>209</v>
      </c>
      <c r="D81" s="23" t="s">
        <v>247</v>
      </c>
      <c r="E81" s="49">
        <f>'дод. 3'!E113</f>
        <v>4800</v>
      </c>
      <c r="F81" s="49">
        <f>'дод. 3'!F113</f>
        <v>0</v>
      </c>
      <c r="G81" s="49">
        <f>'дод. 3'!G113</f>
        <v>0</v>
      </c>
      <c r="H81" s="49">
        <f>'дод. 3'!H113</f>
        <v>756</v>
      </c>
      <c r="I81" s="49">
        <f>'дод. 3'!I113</f>
        <v>0</v>
      </c>
      <c r="J81" s="49">
        <f>'дод. 3'!J113</f>
        <v>0</v>
      </c>
      <c r="K81" s="62">
        <f t="shared" si="12"/>
        <v>15.75</v>
      </c>
      <c r="L81" s="49">
        <f t="shared" si="13"/>
        <v>0</v>
      </c>
      <c r="M81" s="49">
        <f>'дод. 3'!M113</f>
        <v>0</v>
      </c>
      <c r="N81" s="49">
        <f>'дод. 3'!N113</f>
        <v>0</v>
      </c>
      <c r="O81" s="49">
        <f>'дод. 3'!O113</f>
        <v>0</v>
      </c>
      <c r="P81" s="49">
        <f>'дод. 3'!P113</f>
        <v>0</v>
      </c>
      <c r="Q81" s="49">
        <f t="shared" si="14"/>
        <v>0</v>
      </c>
      <c r="R81" s="49">
        <f>'дод. 3'!R113</f>
        <v>0</v>
      </c>
      <c r="S81" s="49">
        <f>'дод. 3'!S113</f>
        <v>0</v>
      </c>
      <c r="T81" s="49">
        <f>'дод. 3'!T113</f>
        <v>0</v>
      </c>
      <c r="U81" s="49">
        <f>'дод. 3'!U113</f>
        <v>0</v>
      </c>
      <c r="V81" s="62"/>
      <c r="W81" s="49">
        <f t="shared" si="15"/>
        <v>756</v>
      </c>
      <c r="X81" s="164"/>
      <c r="Y81" s="80"/>
    </row>
    <row r="82" spans="1:25" s="15" customFormat="1" ht="15">
      <c r="A82" s="18"/>
      <c r="B82" s="45" t="s">
        <v>258</v>
      </c>
      <c r="C82" s="45"/>
      <c r="D82" s="46" t="s">
        <v>259</v>
      </c>
      <c r="E82" s="98">
        <f>SUM(E83:E89)</f>
        <v>94743405.62</v>
      </c>
      <c r="F82" s="98">
        <f aca="true" t="shared" si="16" ref="F82:W82">SUM(F83:F89)</f>
        <v>0</v>
      </c>
      <c r="G82" s="98">
        <f t="shared" si="16"/>
        <v>7268679.79</v>
      </c>
      <c r="H82" s="98">
        <f t="shared" si="16"/>
        <v>73937041.81</v>
      </c>
      <c r="I82" s="98">
        <f t="shared" si="16"/>
        <v>0</v>
      </c>
      <c r="J82" s="98">
        <f t="shared" si="16"/>
        <v>6232269.029999999</v>
      </c>
      <c r="K82" s="97">
        <f t="shared" si="12"/>
        <v>78.03924856422107</v>
      </c>
      <c r="L82" s="98">
        <f t="shared" si="16"/>
        <v>166951132.34</v>
      </c>
      <c r="M82" s="98">
        <f t="shared" si="16"/>
        <v>0</v>
      </c>
      <c r="N82" s="98">
        <f t="shared" si="16"/>
        <v>0</v>
      </c>
      <c r="O82" s="98">
        <f t="shared" si="16"/>
        <v>0</v>
      </c>
      <c r="P82" s="98">
        <f t="shared" si="16"/>
        <v>166951132.34</v>
      </c>
      <c r="Q82" s="98">
        <f t="shared" si="16"/>
        <v>74981416.47</v>
      </c>
      <c r="R82" s="98">
        <f t="shared" si="16"/>
        <v>0</v>
      </c>
      <c r="S82" s="98">
        <f t="shared" si="16"/>
        <v>0</v>
      </c>
      <c r="T82" s="98">
        <f t="shared" si="16"/>
        <v>0</v>
      </c>
      <c r="U82" s="98">
        <f t="shared" si="16"/>
        <v>74981416.47</v>
      </c>
      <c r="V82" s="97">
        <f aca="true" t="shared" si="17" ref="V82:V145">Q82/L82*100</f>
        <v>44.91219401692858</v>
      </c>
      <c r="W82" s="98">
        <f t="shared" si="16"/>
        <v>148918458.28</v>
      </c>
      <c r="X82" s="164"/>
      <c r="Y82" s="80"/>
    </row>
    <row r="83" spans="1:25" s="15" customFormat="1" ht="15">
      <c r="A83" s="18"/>
      <c r="B83" s="22" t="s">
        <v>307</v>
      </c>
      <c r="C83" s="22" t="s">
        <v>216</v>
      </c>
      <c r="D83" s="23" t="s">
        <v>308</v>
      </c>
      <c r="E83" s="49">
        <f>'дод. 3'!E129</f>
        <v>1680000</v>
      </c>
      <c r="F83" s="49">
        <f>'дод. 3'!F129</f>
        <v>0</v>
      </c>
      <c r="G83" s="49">
        <f>'дод. 3'!G129</f>
        <v>0</v>
      </c>
      <c r="H83" s="49">
        <f>'дод. 3'!H129</f>
        <v>178041.07</v>
      </c>
      <c r="I83" s="49">
        <f>'дод. 3'!I129</f>
        <v>0</v>
      </c>
      <c r="J83" s="49">
        <f>'дод. 3'!J129</f>
        <v>0</v>
      </c>
      <c r="K83" s="62">
        <f>H83/E83*100</f>
        <v>10.597682738095239</v>
      </c>
      <c r="L83" s="49">
        <f>M83+P83</f>
        <v>0</v>
      </c>
      <c r="M83" s="49">
        <f>'дод. 3'!M129</f>
        <v>0</v>
      </c>
      <c r="N83" s="49">
        <f>'дод. 3'!N129</f>
        <v>0</v>
      </c>
      <c r="O83" s="49">
        <f>'дод. 3'!O129</f>
        <v>0</v>
      </c>
      <c r="P83" s="49">
        <f>'дод. 3'!P129</f>
        <v>0</v>
      </c>
      <c r="Q83" s="49">
        <f>R83+U83</f>
        <v>0</v>
      </c>
      <c r="R83" s="49">
        <f>'дод. 3'!R129</f>
        <v>0</v>
      </c>
      <c r="S83" s="49">
        <f>'дод. 3'!S129</f>
        <v>0</v>
      </c>
      <c r="T83" s="49">
        <f>'дод. 3'!T129</f>
        <v>0</v>
      </c>
      <c r="U83" s="49">
        <f>'дод. 3'!U129</f>
        <v>0</v>
      </c>
      <c r="V83" s="62"/>
      <c r="W83" s="49">
        <f t="shared" si="15"/>
        <v>178041.07</v>
      </c>
      <c r="X83" s="164"/>
      <c r="Y83" s="80"/>
    </row>
    <row r="84" spans="1:25" s="15" customFormat="1" ht="30">
      <c r="A84" s="18"/>
      <c r="B84" s="22" t="s">
        <v>158</v>
      </c>
      <c r="C84" s="22" t="s">
        <v>216</v>
      </c>
      <c r="D84" s="23" t="s">
        <v>159</v>
      </c>
      <c r="E84" s="49">
        <f>'дод. 3'!E130</f>
        <v>390000</v>
      </c>
      <c r="F84" s="49">
        <f>'дод. 3'!F130</f>
        <v>0</v>
      </c>
      <c r="G84" s="49">
        <f>'дод. 3'!G130</f>
        <v>0</v>
      </c>
      <c r="H84" s="49">
        <f>'дод. 3'!H130</f>
        <v>146149.36</v>
      </c>
      <c r="I84" s="49">
        <f>'дод. 3'!I130</f>
        <v>0</v>
      </c>
      <c r="J84" s="49">
        <f>'дод. 3'!J130</f>
        <v>0</v>
      </c>
      <c r="K84" s="62">
        <f>H84/E84*100</f>
        <v>37.47419487179487</v>
      </c>
      <c r="L84" s="49">
        <f aca="true" t="shared" si="18" ref="L84:L89">M84+P84</f>
        <v>59315444.14</v>
      </c>
      <c r="M84" s="49">
        <f>'дод. 3'!M130</f>
        <v>0</v>
      </c>
      <c r="N84" s="49">
        <f>'дод. 3'!N130</f>
        <v>0</v>
      </c>
      <c r="O84" s="49">
        <f>'дод. 3'!O130</f>
        <v>0</v>
      </c>
      <c r="P84" s="49">
        <f>'дод. 3'!P130</f>
        <v>59315444.14</v>
      </c>
      <c r="Q84" s="49">
        <f aca="true" t="shared" si="19" ref="Q84:Q89">R84+U84</f>
        <v>19409432.51</v>
      </c>
      <c r="R84" s="49">
        <f>'дод. 3'!R130</f>
        <v>0</v>
      </c>
      <c r="S84" s="49">
        <f>'дод. 3'!S130</f>
        <v>0</v>
      </c>
      <c r="T84" s="49">
        <f>'дод. 3'!T130</f>
        <v>0</v>
      </c>
      <c r="U84" s="49">
        <f>'дод. 3'!U130</f>
        <v>19409432.51</v>
      </c>
      <c r="V84" s="62">
        <f t="shared" si="17"/>
        <v>32.72239261024271</v>
      </c>
      <c r="W84" s="49">
        <f t="shared" si="15"/>
        <v>19555581.87</v>
      </c>
      <c r="X84" s="164"/>
      <c r="Y84" s="80"/>
    </row>
    <row r="85" spans="1:25" s="15" customFormat="1" ht="45">
      <c r="A85" s="18"/>
      <c r="B85" s="22" t="s">
        <v>160</v>
      </c>
      <c r="C85" s="22" t="s">
        <v>216</v>
      </c>
      <c r="D85" s="23" t="s">
        <v>161</v>
      </c>
      <c r="E85" s="49">
        <f>'дод. 3'!E131</f>
        <v>0</v>
      </c>
      <c r="F85" s="49">
        <f>'дод. 3'!F131</f>
        <v>0</v>
      </c>
      <c r="G85" s="49">
        <f>'дод. 3'!G131</f>
        <v>0</v>
      </c>
      <c r="H85" s="49">
        <f>'дод. 3'!H131</f>
        <v>0</v>
      </c>
      <c r="I85" s="49">
        <f>'дод. 3'!I131</f>
        <v>0</v>
      </c>
      <c r="J85" s="49">
        <f>'дод. 3'!J131</f>
        <v>0</v>
      </c>
      <c r="K85" s="62"/>
      <c r="L85" s="49">
        <f t="shared" si="18"/>
        <v>7000000</v>
      </c>
      <c r="M85" s="49">
        <f>'дод. 3'!M131</f>
        <v>0</v>
      </c>
      <c r="N85" s="49">
        <f>'дод. 3'!N131</f>
        <v>0</v>
      </c>
      <c r="O85" s="49">
        <f>'дод. 3'!O131</f>
        <v>0</v>
      </c>
      <c r="P85" s="49">
        <f>'дод. 3'!P131</f>
        <v>7000000</v>
      </c>
      <c r="Q85" s="49">
        <f t="shared" si="19"/>
        <v>888404.49</v>
      </c>
      <c r="R85" s="49">
        <f>'дод. 3'!R131</f>
        <v>0</v>
      </c>
      <c r="S85" s="49">
        <f>'дод. 3'!S131</f>
        <v>0</v>
      </c>
      <c r="T85" s="49">
        <f>'дод. 3'!T131</f>
        <v>0</v>
      </c>
      <c r="U85" s="49">
        <f>'дод. 3'!U131</f>
        <v>888404.49</v>
      </c>
      <c r="V85" s="62">
        <f t="shared" si="17"/>
        <v>12.691492714285715</v>
      </c>
      <c r="W85" s="49">
        <f t="shared" si="15"/>
        <v>888404.49</v>
      </c>
      <c r="X85" s="164"/>
      <c r="Y85" s="80"/>
    </row>
    <row r="86" spans="1:25" s="15" customFormat="1" ht="30">
      <c r="A86" s="18"/>
      <c r="B86" s="22" t="s">
        <v>162</v>
      </c>
      <c r="C86" s="22" t="s">
        <v>183</v>
      </c>
      <c r="D86" s="23" t="s">
        <v>163</v>
      </c>
      <c r="E86" s="49">
        <f>'дод. 3'!E132</f>
        <v>5174103</v>
      </c>
      <c r="F86" s="49">
        <f>'дод. 3'!F132</f>
        <v>0</v>
      </c>
      <c r="G86" s="49">
        <f>'дод. 3'!G132</f>
        <v>0</v>
      </c>
      <c r="H86" s="49">
        <f>'дод. 3'!H132</f>
        <v>2933073.52</v>
      </c>
      <c r="I86" s="49">
        <f>'дод. 3'!I132</f>
        <v>0</v>
      </c>
      <c r="J86" s="49">
        <f>'дод. 3'!J132</f>
        <v>0</v>
      </c>
      <c r="K86" s="62">
        <f>H86/E86*100</f>
        <v>56.687575025081635</v>
      </c>
      <c r="L86" s="49">
        <f t="shared" si="18"/>
        <v>4269334</v>
      </c>
      <c r="M86" s="49">
        <f>'дод. 3'!M132</f>
        <v>0</v>
      </c>
      <c r="N86" s="49">
        <f>'дод. 3'!N132</f>
        <v>0</v>
      </c>
      <c r="O86" s="49">
        <f>'дод. 3'!O132</f>
        <v>0</v>
      </c>
      <c r="P86" s="49">
        <f>'дод. 3'!P132</f>
        <v>4269334</v>
      </c>
      <c r="Q86" s="49">
        <f t="shared" si="19"/>
        <v>1663373.31</v>
      </c>
      <c r="R86" s="49">
        <f>'дод. 3'!R132</f>
        <v>0</v>
      </c>
      <c r="S86" s="49">
        <f>'дод. 3'!S132</f>
        <v>0</v>
      </c>
      <c r="T86" s="49">
        <f>'дод. 3'!T132</f>
        <v>0</v>
      </c>
      <c r="U86" s="49">
        <f>'дод. 3'!U132</f>
        <v>1663373.31</v>
      </c>
      <c r="V86" s="62">
        <f t="shared" si="17"/>
        <v>38.96095526843297</v>
      </c>
      <c r="W86" s="49">
        <f t="shared" si="15"/>
        <v>4596446.83</v>
      </c>
      <c r="X86" s="164"/>
      <c r="Y86" s="80"/>
    </row>
    <row r="87" spans="1:25" s="15" customFormat="1" ht="21.75" customHeight="1">
      <c r="A87" s="18"/>
      <c r="B87" s="22" t="s">
        <v>28</v>
      </c>
      <c r="C87" s="22" t="s">
        <v>183</v>
      </c>
      <c r="D87" s="23" t="s">
        <v>29</v>
      </c>
      <c r="E87" s="49">
        <f>'дод. 3'!E21+'дод. 3'!E133+'дод. 3'!E161+'дод. 3'!E185</f>
        <v>87399302.62</v>
      </c>
      <c r="F87" s="49">
        <f>'дод. 3'!F21+'дод. 3'!F133+'дод. 3'!F161+'дод. 3'!F185</f>
        <v>0</v>
      </c>
      <c r="G87" s="49">
        <f>'дод. 3'!G21+'дод. 3'!G133+'дод. 3'!G161+'дод. 3'!G185</f>
        <v>7268679.79</v>
      </c>
      <c r="H87" s="49">
        <f>'дод. 3'!H21+'дод. 3'!H133+'дод. 3'!H161+'дод. 3'!H185</f>
        <v>70579777.86</v>
      </c>
      <c r="I87" s="49">
        <f>'дод. 3'!I21+'дод. 3'!I133+'дод. 3'!I161+'дод. 3'!I185</f>
        <v>0</v>
      </c>
      <c r="J87" s="49">
        <f>'дод. 3'!J21+'дод. 3'!J133+'дод. 3'!J161+'дод. 3'!J185</f>
        <v>6232269.029999999</v>
      </c>
      <c r="K87" s="62">
        <f>H87/E87*100</f>
        <v>80.75553893933348</v>
      </c>
      <c r="L87" s="49">
        <f t="shared" si="18"/>
        <v>95520416.2</v>
      </c>
      <c r="M87" s="49">
        <f>'дод. 3'!M21+'дод. 3'!M133+'дод. 3'!M161+'дод. 3'!M185</f>
        <v>0</v>
      </c>
      <c r="N87" s="49">
        <f>'дод. 3'!N21+'дод. 3'!N133+'дод. 3'!N161+'дод. 3'!N185</f>
        <v>0</v>
      </c>
      <c r="O87" s="49">
        <f>'дод. 3'!O21+'дод. 3'!O133+'дод. 3'!O161+'дод. 3'!O185</f>
        <v>0</v>
      </c>
      <c r="P87" s="49">
        <f>'дод. 3'!P21+'дод. 3'!P133+'дод. 3'!P161+'дод. 3'!P185</f>
        <v>95520416.2</v>
      </c>
      <c r="Q87" s="49">
        <f>'дод. 3'!Q21+'дод. 3'!Q133+'дод. 3'!Q161+'дод. 3'!Q185</f>
        <v>52882953.29</v>
      </c>
      <c r="R87" s="49">
        <f>'дод. 3'!R21+'дод. 3'!R133+'дод. 3'!R161+'дод. 3'!R185</f>
        <v>0</v>
      </c>
      <c r="S87" s="49">
        <f>'дод. 3'!S21+'дод. 3'!S133+'дод. 3'!S161+'дод. 3'!S185</f>
        <v>0</v>
      </c>
      <c r="T87" s="49">
        <f>'дод. 3'!T21+'дод. 3'!T133+'дод. 3'!T161+'дод. 3'!T185</f>
        <v>0</v>
      </c>
      <c r="U87" s="49">
        <f>'дод. 3'!U21+'дод. 3'!U133+'дод. 3'!U161+'дод. 3'!U185</f>
        <v>52882953.29</v>
      </c>
      <c r="V87" s="62">
        <f t="shared" si="17"/>
        <v>55.36298457836912</v>
      </c>
      <c r="W87" s="49">
        <f t="shared" si="15"/>
        <v>123462731.15</v>
      </c>
      <c r="X87" s="164"/>
      <c r="Y87" s="80"/>
    </row>
    <row r="88" spans="1:25" s="15" customFormat="1" ht="45">
      <c r="A88" s="18"/>
      <c r="B88" s="22" t="s">
        <v>299</v>
      </c>
      <c r="C88" s="22" t="s">
        <v>300</v>
      </c>
      <c r="D88" s="23" t="s">
        <v>301</v>
      </c>
      <c r="E88" s="49">
        <f>'дод. 3'!E134</f>
        <v>0</v>
      </c>
      <c r="F88" s="49">
        <f>'дод. 3'!F134</f>
        <v>0</v>
      </c>
      <c r="G88" s="49">
        <f>'дод. 3'!G134</f>
        <v>0</v>
      </c>
      <c r="H88" s="49">
        <f>'дод. 3'!H134</f>
        <v>0</v>
      </c>
      <c r="I88" s="49">
        <f>'дод. 3'!I134</f>
        <v>0</v>
      </c>
      <c r="J88" s="49">
        <f>'дод. 3'!J134</f>
        <v>0</v>
      </c>
      <c r="K88" s="62"/>
      <c r="L88" s="49">
        <f t="shared" si="18"/>
        <v>845938</v>
      </c>
      <c r="M88" s="49">
        <f>'дод. 3'!M134</f>
        <v>0</v>
      </c>
      <c r="N88" s="49">
        <f>'дод. 3'!N134</f>
        <v>0</v>
      </c>
      <c r="O88" s="49">
        <f>'дод. 3'!O134</f>
        <v>0</v>
      </c>
      <c r="P88" s="49">
        <f>'дод. 3'!P134</f>
        <v>845938</v>
      </c>
      <c r="Q88" s="49">
        <f t="shared" si="19"/>
        <v>137252.87</v>
      </c>
      <c r="R88" s="49">
        <f>'дод. 3'!R134</f>
        <v>0</v>
      </c>
      <c r="S88" s="49">
        <f>'дод. 3'!S134</f>
        <v>0</v>
      </c>
      <c r="T88" s="49">
        <f>'дод. 3'!T134</f>
        <v>0</v>
      </c>
      <c r="U88" s="49">
        <f>'дод. 3'!U134</f>
        <v>137252.87</v>
      </c>
      <c r="V88" s="62">
        <f t="shared" si="17"/>
        <v>16.224932560069412</v>
      </c>
      <c r="W88" s="49">
        <f t="shared" si="15"/>
        <v>137252.87</v>
      </c>
      <c r="X88" s="164"/>
      <c r="Y88" s="80"/>
    </row>
    <row r="89" spans="1:25" s="15" customFormat="1" ht="60">
      <c r="A89" s="18"/>
      <c r="B89" s="22" t="s">
        <v>326</v>
      </c>
      <c r="C89" s="22" t="s">
        <v>183</v>
      </c>
      <c r="D89" s="23" t="s">
        <v>327</v>
      </c>
      <c r="E89" s="33">
        <f>'дод. 3'!E135</f>
        <v>100000</v>
      </c>
      <c r="F89" s="33">
        <f>'дод. 3'!F135</f>
        <v>0</v>
      </c>
      <c r="G89" s="33">
        <f>'дод. 3'!G135</f>
        <v>0</v>
      </c>
      <c r="H89" s="33">
        <f>'дод. 3'!H135</f>
        <v>100000</v>
      </c>
      <c r="I89" s="33">
        <f>'дод. 3'!I135</f>
        <v>0</v>
      </c>
      <c r="J89" s="33">
        <f>'дод. 3'!J135</f>
        <v>0</v>
      </c>
      <c r="K89" s="62">
        <f>H89/E89*100</f>
        <v>100</v>
      </c>
      <c r="L89" s="49">
        <f t="shared" si="18"/>
        <v>0</v>
      </c>
      <c r="M89" s="33">
        <f>'дод. 3'!M135</f>
        <v>0</v>
      </c>
      <c r="N89" s="33">
        <f>'дод. 3'!N135</f>
        <v>0</v>
      </c>
      <c r="O89" s="33">
        <f>'дод. 3'!O135</f>
        <v>0</v>
      </c>
      <c r="P89" s="33">
        <f>'дод. 3'!P135</f>
        <v>0</v>
      </c>
      <c r="Q89" s="49">
        <f t="shared" si="19"/>
        <v>0</v>
      </c>
      <c r="R89" s="33">
        <f>'дод. 3'!R135</f>
        <v>0</v>
      </c>
      <c r="S89" s="33">
        <f>'дод. 3'!S135</f>
        <v>0</v>
      </c>
      <c r="T89" s="33">
        <f>'дод. 3'!T135</f>
        <v>0</v>
      </c>
      <c r="U89" s="33">
        <f>'дод. 3'!U135</f>
        <v>0</v>
      </c>
      <c r="V89" s="62"/>
      <c r="W89" s="49">
        <f t="shared" si="15"/>
        <v>100000</v>
      </c>
      <c r="X89" s="164"/>
      <c r="Y89" s="80"/>
    </row>
    <row r="90" spans="1:25" s="15" customFormat="1" ht="23.25" customHeight="1">
      <c r="A90" s="18"/>
      <c r="B90" s="45" t="s">
        <v>260</v>
      </c>
      <c r="C90" s="45"/>
      <c r="D90" s="46" t="s">
        <v>261</v>
      </c>
      <c r="E90" s="98">
        <f>E91+E92+E93+E94</f>
        <v>31100672</v>
      </c>
      <c r="F90" s="98">
        <f aca="true" t="shared" si="20" ref="F90:W90">F91+F92+F93+F94</f>
        <v>21697564</v>
      </c>
      <c r="G90" s="98">
        <f t="shared" si="20"/>
        <v>1855080</v>
      </c>
      <c r="H90" s="98">
        <f t="shared" si="20"/>
        <v>22902848.3</v>
      </c>
      <c r="I90" s="98">
        <f t="shared" si="20"/>
        <v>16059472.75</v>
      </c>
      <c r="J90" s="98">
        <f t="shared" si="20"/>
        <v>1028967.04</v>
      </c>
      <c r="K90" s="97">
        <f aca="true" t="shared" si="21" ref="K90:K146">H90/E90*100</f>
        <v>73.6410078213101</v>
      </c>
      <c r="L90" s="98">
        <f t="shared" si="20"/>
        <v>2586679</v>
      </c>
      <c r="M90" s="98">
        <f t="shared" si="20"/>
        <v>1320320</v>
      </c>
      <c r="N90" s="98">
        <f t="shared" si="20"/>
        <v>953732</v>
      </c>
      <c r="O90" s="98">
        <f t="shared" si="20"/>
        <v>0</v>
      </c>
      <c r="P90" s="98">
        <f t="shared" si="20"/>
        <v>1266359</v>
      </c>
      <c r="Q90" s="98">
        <f t="shared" si="20"/>
        <v>1876018.5999999999</v>
      </c>
      <c r="R90" s="98">
        <f t="shared" si="20"/>
        <v>944124.69</v>
      </c>
      <c r="S90" s="98">
        <f t="shared" si="20"/>
        <v>741615.54</v>
      </c>
      <c r="T90" s="98">
        <f t="shared" si="20"/>
        <v>0</v>
      </c>
      <c r="U90" s="98">
        <f t="shared" si="20"/>
        <v>931893.91</v>
      </c>
      <c r="V90" s="97">
        <f t="shared" si="17"/>
        <v>72.52614646038414</v>
      </c>
      <c r="W90" s="98">
        <f t="shared" si="20"/>
        <v>24778866.9</v>
      </c>
      <c r="X90" s="164"/>
      <c r="Y90" s="80"/>
    </row>
    <row r="91" spans="1:25" s="15" customFormat="1" ht="45">
      <c r="A91" s="18"/>
      <c r="B91" s="22" t="s">
        <v>152</v>
      </c>
      <c r="C91" s="22" t="s">
        <v>213</v>
      </c>
      <c r="D91" s="23" t="s">
        <v>153</v>
      </c>
      <c r="E91" s="49">
        <f>'дод. 3'!E122</f>
        <v>1075000</v>
      </c>
      <c r="F91" s="49">
        <f>'дод. 3'!F122</f>
        <v>0</v>
      </c>
      <c r="G91" s="49">
        <f>'дод. 3'!G122</f>
        <v>0</v>
      </c>
      <c r="H91" s="49">
        <f>'дод. 3'!H122</f>
        <v>1059143.31</v>
      </c>
      <c r="I91" s="49">
        <f>'дод. 3'!I122</f>
        <v>0</v>
      </c>
      <c r="J91" s="49">
        <f>'дод. 3'!J122</f>
        <v>0</v>
      </c>
      <c r="K91" s="62">
        <f t="shared" si="21"/>
        <v>98.52495906976745</v>
      </c>
      <c r="L91" s="49">
        <f aca="true" t="shared" si="22" ref="L91:L96">M91+P91</f>
        <v>0</v>
      </c>
      <c r="M91" s="49">
        <f>'дод. 3'!M122</f>
        <v>0</v>
      </c>
      <c r="N91" s="49">
        <f>'дод. 3'!N122</f>
        <v>0</v>
      </c>
      <c r="O91" s="49">
        <f>'дод. 3'!O122</f>
        <v>0</v>
      </c>
      <c r="P91" s="49">
        <f>'дод. 3'!P122</f>
        <v>0</v>
      </c>
      <c r="Q91" s="49">
        <f aca="true" t="shared" si="23" ref="Q91:Q96">R91+U91</f>
        <v>0</v>
      </c>
      <c r="R91" s="49">
        <f>'дод. 3'!R122</f>
        <v>0</v>
      </c>
      <c r="S91" s="49">
        <f>'дод. 3'!S122</f>
        <v>0</v>
      </c>
      <c r="T91" s="49">
        <f>'дод. 3'!T122</f>
        <v>0</v>
      </c>
      <c r="U91" s="49">
        <f>'дод. 3'!U122</f>
        <v>0</v>
      </c>
      <c r="V91" s="62"/>
      <c r="W91" s="49">
        <f>Q91+H91</f>
        <v>1059143.31</v>
      </c>
      <c r="X91" s="164"/>
      <c r="Y91" s="80"/>
    </row>
    <row r="92" spans="1:25" s="15" customFormat="1" ht="15">
      <c r="A92" s="18"/>
      <c r="B92" s="22" t="s">
        <v>154</v>
      </c>
      <c r="C92" s="22" t="s">
        <v>214</v>
      </c>
      <c r="D92" s="23" t="s">
        <v>155</v>
      </c>
      <c r="E92" s="49">
        <f>'дод. 3'!E123</f>
        <v>10519452</v>
      </c>
      <c r="F92" s="49">
        <f>'дод. 3'!F123</f>
        <v>7091432</v>
      </c>
      <c r="G92" s="49">
        <f>'дод. 3'!G123</f>
        <v>1039633</v>
      </c>
      <c r="H92" s="49">
        <f>'дод. 3'!H123</f>
        <v>7545187.21</v>
      </c>
      <c r="I92" s="49">
        <f>'дод. 3'!I123</f>
        <v>5235966.32</v>
      </c>
      <c r="J92" s="49">
        <f>'дод. 3'!J123</f>
        <v>589672.49</v>
      </c>
      <c r="K92" s="62">
        <f t="shared" si="21"/>
        <v>71.72604818197755</v>
      </c>
      <c r="L92" s="49">
        <f t="shared" si="22"/>
        <v>705500</v>
      </c>
      <c r="M92" s="49">
        <f>'дод. 3'!M123</f>
        <v>21000</v>
      </c>
      <c r="N92" s="49">
        <f>'дод. 3'!N123</f>
        <v>5000</v>
      </c>
      <c r="O92" s="49">
        <f>'дод. 3'!O123</f>
        <v>0</v>
      </c>
      <c r="P92" s="49">
        <f>'дод. 3'!P123</f>
        <v>684500</v>
      </c>
      <c r="Q92" s="49">
        <f t="shared" si="23"/>
        <v>596221.84</v>
      </c>
      <c r="R92" s="49">
        <f>'дод. 3'!R123</f>
        <v>6286.82</v>
      </c>
      <c r="S92" s="49">
        <f>'дод. 3'!S123</f>
        <v>1100</v>
      </c>
      <c r="T92" s="49">
        <f>'дод. 3'!T123</f>
        <v>0</v>
      </c>
      <c r="U92" s="49">
        <f>'дод. 3'!U123</f>
        <v>589935.02</v>
      </c>
      <c r="V92" s="62">
        <f t="shared" si="17"/>
        <v>84.51053720765415</v>
      </c>
      <c r="W92" s="49">
        <f>Q92+H92</f>
        <v>8141409.05</v>
      </c>
      <c r="X92" s="164"/>
      <c r="Y92" s="80"/>
    </row>
    <row r="93" spans="1:25" s="15" customFormat="1" ht="15">
      <c r="A93" s="18"/>
      <c r="B93" s="22" t="s">
        <v>156</v>
      </c>
      <c r="C93" s="22" t="s">
        <v>197</v>
      </c>
      <c r="D93" s="23" t="s">
        <v>157</v>
      </c>
      <c r="E93" s="49">
        <f>'дод. 3'!E124</f>
        <v>16969240</v>
      </c>
      <c r="F93" s="49">
        <f>'дод. 3'!F124</f>
        <v>13079650</v>
      </c>
      <c r="G93" s="49">
        <f>'дод. 3'!G124</f>
        <v>702306</v>
      </c>
      <c r="H93" s="49">
        <f>'дод. 3'!H124</f>
        <v>12477088.19</v>
      </c>
      <c r="I93" s="49">
        <f>'дод. 3'!I124</f>
        <v>9703464</v>
      </c>
      <c r="J93" s="49">
        <f>'дод. 3'!J124</f>
        <v>376266.64</v>
      </c>
      <c r="K93" s="62">
        <f t="shared" si="21"/>
        <v>73.52767825783594</v>
      </c>
      <c r="L93" s="49">
        <f t="shared" si="22"/>
        <v>1741420</v>
      </c>
      <c r="M93" s="49">
        <f>'дод. 3'!M124</f>
        <v>1299320</v>
      </c>
      <c r="N93" s="49">
        <f>'дод. 3'!N124</f>
        <v>948732</v>
      </c>
      <c r="O93" s="49">
        <f>'дод. 3'!O124</f>
        <v>0</v>
      </c>
      <c r="P93" s="49">
        <f>'дод. 3'!P124</f>
        <v>442100</v>
      </c>
      <c r="Q93" s="49">
        <f t="shared" si="23"/>
        <v>1144289.04</v>
      </c>
      <c r="R93" s="49">
        <f>'дод. 3'!R124</f>
        <v>923377.87</v>
      </c>
      <c r="S93" s="49">
        <f>'дод. 3'!S124</f>
        <v>740515.54</v>
      </c>
      <c r="T93" s="49">
        <f>'дод. 3'!T124</f>
        <v>0</v>
      </c>
      <c r="U93" s="49">
        <f>'дод. 3'!U124</f>
        <v>220911.17</v>
      </c>
      <c r="V93" s="62">
        <f t="shared" si="17"/>
        <v>65.71011243697671</v>
      </c>
      <c r="W93" s="49">
        <f>Q93+H93</f>
        <v>13621377.23</v>
      </c>
      <c r="X93" s="164"/>
      <c r="Y93" s="80"/>
    </row>
    <row r="94" spans="1:25" s="15" customFormat="1" ht="30">
      <c r="A94" s="18"/>
      <c r="B94" s="22" t="s">
        <v>30</v>
      </c>
      <c r="C94" s="22" t="s">
        <v>184</v>
      </c>
      <c r="D94" s="23" t="s">
        <v>31</v>
      </c>
      <c r="E94" s="49">
        <f>'дод. 3'!E125+'дод. 3'!E22</f>
        <v>2536980</v>
      </c>
      <c r="F94" s="49">
        <f>'дод. 3'!F125+'дод. 3'!F22</f>
        <v>1526482</v>
      </c>
      <c r="G94" s="49">
        <f>'дод. 3'!G125+'дод. 3'!G22</f>
        <v>113141</v>
      </c>
      <c r="H94" s="49">
        <f>'дод. 3'!H125+'дод. 3'!H22</f>
        <v>1821429.5899999999</v>
      </c>
      <c r="I94" s="49">
        <f>'дод. 3'!I125+'дод. 3'!I22</f>
        <v>1120042.43</v>
      </c>
      <c r="J94" s="49">
        <f>'дод. 3'!J125+'дод. 3'!J22</f>
        <v>63027.91</v>
      </c>
      <c r="K94" s="62">
        <f t="shared" si="21"/>
        <v>71.79518916191692</v>
      </c>
      <c r="L94" s="49">
        <f t="shared" si="22"/>
        <v>139759</v>
      </c>
      <c r="M94" s="49">
        <f>'дод. 3'!M125+'дод. 3'!M22</f>
        <v>0</v>
      </c>
      <c r="N94" s="49">
        <f>'дод. 3'!N125+'дод. 3'!N22</f>
        <v>0</v>
      </c>
      <c r="O94" s="49">
        <f>'дод. 3'!O125+'дод. 3'!O22</f>
        <v>0</v>
      </c>
      <c r="P94" s="49">
        <f>'дод. 3'!P125+'дод. 3'!P22</f>
        <v>139759</v>
      </c>
      <c r="Q94" s="49">
        <f t="shared" si="23"/>
        <v>135507.72</v>
      </c>
      <c r="R94" s="49">
        <f>'дод. 3'!R125+'дод. 3'!R22</f>
        <v>14460</v>
      </c>
      <c r="S94" s="49">
        <f>'дод. 3'!S125+'дод. 3'!S22</f>
        <v>0</v>
      </c>
      <c r="T94" s="49">
        <f>'дод. 3'!T125+'дод. 3'!T22</f>
        <v>0</v>
      </c>
      <c r="U94" s="49">
        <f>'дод. 3'!U125+'дод. 3'!U22</f>
        <v>121047.72</v>
      </c>
      <c r="V94" s="62">
        <f t="shared" si="17"/>
        <v>96.95813507537976</v>
      </c>
      <c r="W94" s="49">
        <f>Q94+H94</f>
        <v>1956937.3099999998</v>
      </c>
      <c r="X94" s="164"/>
      <c r="Y94" s="80"/>
    </row>
    <row r="95" spans="1:25" s="15" customFormat="1" ht="23.25" customHeight="1">
      <c r="A95" s="18"/>
      <c r="B95" s="45" t="s">
        <v>290</v>
      </c>
      <c r="C95" s="45"/>
      <c r="D95" s="46" t="s">
        <v>291</v>
      </c>
      <c r="E95" s="98">
        <f>E96</f>
        <v>101500</v>
      </c>
      <c r="F95" s="98">
        <f aca="true" t="shared" si="24" ref="F95:W95">F96</f>
        <v>0</v>
      </c>
      <c r="G95" s="98">
        <f t="shared" si="24"/>
        <v>0</v>
      </c>
      <c r="H95" s="98">
        <f t="shared" si="24"/>
        <v>44741</v>
      </c>
      <c r="I95" s="98">
        <f t="shared" si="24"/>
        <v>0</v>
      </c>
      <c r="J95" s="98">
        <f t="shared" si="24"/>
        <v>0</v>
      </c>
      <c r="K95" s="62">
        <f t="shared" si="21"/>
        <v>44.07980295566502</v>
      </c>
      <c r="L95" s="49">
        <f t="shared" si="22"/>
        <v>0</v>
      </c>
      <c r="M95" s="98">
        <f t="shared" si="24"/>
        <v>0</v>
      </c>
      <c r="N95" s="98">
        <f t="shared" si="24"/>
        <v>0</v>
      </c>
      <c r="O95" s="98">
        <f t="shared" si="24"/>
        <v>0</v>
      </c>
      <c r="P95" s="98">
        <f t="shared" si="24"/>
        <v>0</v>
      </c>
      <c r="Q95" s="49">
        <f t="shared" si="23"/>
        <v>0</v>
      </c>
      <c r="R95" s="98">
        <f t="shared" si="24"/>
        <v>0</v>
      </c>
      <c r="S95" s="98">
        <f t="shared" si="24"/>
        <v>0</v>
      </c>
      <c r="T95" s="98">
        <f t="shared" si="24"/>
        <v>0</v>
      </c>
      <c r="U95" s="98">
        <f t="shared" si="24"/>
        <v>0</v>
      </c>
      <c r="V95" s="62"/>
      <c r="W95" s="98">
        <f t="shared" si="24"/>
        <v>44741</v>
      </c>
      <c r="X95" s="164"/>
      <c r="Y95" s="80"/>
    </row>
    <row r="96" spans="1:25" s="15" customFormat="1" ht="15">
      <c r="A96" s="18"/>
      <c r="B96" s="22" t="s">
        <v>281</v>
      </c>
      <c r="C96" s="22" t="s">
        <v>282</v>
      </c>
      <c r="D96" s="23" t="s">
        <v>283</v>
      </c>
      <c r="E96" s="49">
        <f>'дод. 3'!E23</f>
        <v>101500</v>
      </c>
      <c r="F96" s="49">
        <f>'дод. 3'!F23</f>
        <v>0</v>
      </c>
      <c r="G96" s="49">
        <f>'дод. 3'!G23</f>
        <v>0</v>
      </c>
      <c r="H96" s="49">
        <f>'дод. 3'!H23</f>
        <v>44741</v>
      </c>
      <c r="I96" s="49">
        <f>'дод. 3'!I23</f>
        <v>0</v>
      </c>
      <c r="J96" s="49">
        <f>'дод. 3'!J23</f>
        <v>0</v>
      </c>
      <c r="K96" s="62">
        <f t="shared" si="21"/>
        <v>44.07980295566502</v>
      </c>
      <c r="L96" s="49">
        <f t="shared" si="22"/>
        <v>0</v>
      </c>
      <c r="M96" s="49">
        <f>'дод. 3'!M23</f>
        <v>0</v>
      </c>
      <c r="N96" s="49">
        <f>'дод. 3'!N23</f>
        <v>0</v>
      </c>
      <c r="O96" s="49">
        <f>'дод. 3'!O23</f>
        <v>0</v>
      </c>
      <c r="P96" s="49">
        <f>'дод. 3'!P23</f>
        <v>0</v>
      </c>
      <c r="Q96" s="49">
        <f t="shared" si="23"/>
        <v>0</v>
      </c>
      <c r="R96" s="49">
        <f>'дод. 3'!R23</f>
        <v>0</v>
      </c>
      <c r="S96" s="49">
        <f>'дод. 3'!S23</f>
        <v>0</v>
      </c>
      <c r="T96" s="49">
        <f>'дод. 3'!T23</f>
        <v>0</v>
      </c>
      <c r="U96" s="49">
        <f>'дод. 3'!U23</f>
        <v>0</v>
      </c>
      <c r="V96" s="62"/>
      <c r="W96" s="49">
        <f>Q96+H96</f>
        <v>44741</v>
      </c>
      <c r="X96" s="164"/>
      <c r="Y96" s="80"/>
    </row>
    <row r="97" spans="1:25" s="15" customFormat="1" ht="20.25" customHeight="1">
      <c r="A97" s="18"/>
      <c r="B97" s="45" t="s">
        <v>262</v>
      </c>
      <c r="C97" s="45"/>
      <c r="D97" s="46" t="s">
        <v>263</v>
      </c>
      <c r="E97" s="98">
        <f>E98+E99+E100+E101+E102+E103</f>
        <v>17652011</v>
      </c>
      <c r="F97" s="98">
        <f aca="true" t="shared" si="25" ref="F97:W97">F98+F99+F100+F101+F102+F103</f>
        <v>6289101</v>
      </c>
      <c r="G97" s="98">
        <f t="shared" si="25"/>
        <v>976907</v>
      </c>
      <c r="H97" s="98">
        <f t="shared" si="25"/>
        <v>12177900.530000001</v>
      </c>
      <c r="I97" s="98">
        <f t="shared" si="25"/>
        <v>4612414.5</v>
      </c>
      <c r="J97" s="98">
        <f t="shared" si="25"/>
        <v>570158.76</v>
      </c>
      <c r="K97" s="97">
        <f t="shared" si="21"/>
        <v>68.98874315226747</v>
      </c>
      <c r="L97" s="98">
        <f t="shared" si="25"/>
        <v>1037714</v>
      </c>
      <c r="M97" s="98">
        <f t="shared" si="25"/>
        <v>317714</v>
      </c>
      <c r="N97" s="98">
        <f t="shared" si="25"/>
        <v>144491</v>
      </c>
      <c r="O97" s="98">
        <f t="shared" si="25"/>
        <v>97628</v>
      </c>
      <c r="P97" s="98">
        <f t="shared" si="25"/>
        <v>720000</v>
      </c>
      <c r="Q97" s="98">
        <f t="shared" si="25"/>
        <v>879794.57</v>
      </c>
      <c r="R97" s="98">
        <f t="shared" si="25"/>
        <v>164885.43</v>
      </c>
      <c r="S97" s="98">
        <f t="shared" si="25"/>
        <v>69822.95</v>
      </c>
      <c r="T97" s="98">
        <f t="shared" si="25"/>
        <v>46358.62</v>
      </c>
      <c r="U97" s="98">
        <f t="shared" si="25"/>
        <v>714909.14</v>
      </c>
      <c r="V97" s="97">
        <f t="shared" si="17"/>
        <v>84.7819890644243</v>
      </c>
      <c r="W97" s="98">
        <f t="shared" si="25"/>
        <v>13057695.100000001</v>
      </c>
      <c r="X97" s="164"/>
      <c r="Y97" s="80"/>
    </row>
    <row r="98" spans="1:25" s="15" customFormat="1" ht="30">
      <c r="A98" s="18"/>
      <c r="B98" s="22" t="s">
        <v>32</v>
      </c>
      <c r="C98" s="22" t="s">
        <v>185</v>
      </c>
      <c r="D98" s="23" t="s">
        <v>33</v>
      </c>
      <c r="E98" s="49">
        <f>'дод. 3'!E24</f>
        <v>500000</v>
      </c>
      <c r="F98" s="49">
        <f>'дод. 3'!F24</f>
        <v>0</v>
      </c>
      <c r="G98" s="49">
        <f>'дод. 3'!G24</f>
        <v>0</v>
      </c>
      <c r="H98" s="49">
        <f>'дод. 3'!H24</f>
        <v>206013.75</v>
      </c>
      <c r="I98" s="49">
        <f>'дод. 3'!I24</f>
        <v>0</v>
      </c>
      <c r="J98" s="49">
        <f>'дод. 3'!J24</f>
        <v>0</v>
      </c>
      <c r="K98" s="62">
        <f t="shared" si="21"/>
        <v>41.20275</v>
      </c>
      <c r="L98" s="49">
        <f aca="true" t="shared" si="26" ref="L98:L103">M98+P98</f>
        <v>0</v>
      </c>
      <c r="M98" s="49">
        <f>'дод. 3'!M24</f>
        <v>0</v>
      </c>
      <c r="N98" s="49">
        <f>'дод. 3'!N24</f>
        <v>0</v>
      </c>
      <c r="O98" s="49">
        <f>'дод. 3'!O24</f>
        <v>0</v>
      </c>
      <c r="P98" s="49">
        <f>'дод. 3'!P24</f>
        <v>0</v>
      </c>
      <c r="Q98" s="49">
        <f aca="true" t="shared" si="27" ref="Q98:Q103">R98+U98</f>
        <v>0</v>
      </c>
      <c r="R98" s="49">
        <f>'дод. 3'!R24</f>
        <v>0</v>
      </c>
      <c r="S98" s="49">
        <f>'дод. 3'!S24</f>
        <v>0</v>
      </c>
      <c r="T98" s="49">
        <f>'дод. 3'!T24</f>
        <v>0</v>
      </c>
      <c r="U98" s="49">
        <f>'дод. 3'!U24</f>
        <v>0</v>
      </c>
      <c r="V98" s="62"/>
      <c r="W98" s="49">
        <f aca="true" t="shared" si="28" ref="W98:W103">Q98+H98</f>
        <v>206013.75</v>
      </c>
      <c r="X98" s="164"/>
      <c r="Y98" s="80"/>
    </row>
    <row r="99" spans="1:25" s="15" customFormat="1" ht="45">
      <c r="A99" s="18"/>
      <c r="B99" s="22" t="s">
        <v>34</v>
      </c>
      <c r="C99" s="22" t="s">
        <v>185</v>
      </c>
      <c r="D99" s="23" t="s">
        <v>35</v>
      </c>
      <c r="E99" s="49">
        <f>'дод. 3'!E25</f>
        <v>523780</v>
      </c>
      <c r="F99" s="49">
        <f>'дод. 3'!F25</f>
        <v>0</v>
      </c>
      <c r="G99" s="49">
        <f>'дод. 3'!G25</f>
        <v>0</v>
      </c>
      <c r="H99" s="49">
        <f>'дод. 3'!H25</f>
        <v>181361.78</v>
      </c>
      <c r="I99" s="49">
        <f>'дод. 3'!I25</f>
        <v>0</v>
      </c>
      <c r="J99" s="49">
        <f>'дод. 3'!J25</f>
        <v>0</v>
      </c>
      <c r="K99" s="62">
        <f t="shared" si="21"/>
        <v>34.62556416816221</v>
      </c>
      <c r="L99" s="49">
        <f t="shared" si="26"/>
        <v>0</v>
      </c>
      <c r="M99" s="49">
        <f>'дод. 3'!M25</f>
        <v>0</v>
      </c>
      <c r="N99" s="49">
        <f>'дод. 3'!N25</f>
        <v>0</v>
      </c>
      <c r="O99" s="49">
        <f>'дод. 3'!O25</f>
        <v>0</v>
      </c>
      <c r="P99" s="49">
        <f>'дод. 3'!P25</f>
        <v>0</v>
      </c>
      <c r="Q99" s="49">
        <f t="shared" si="27"/>
        <v>0</v>
      </c>
      <c r="R99" s="49">
        <f>'дод. 3'!R25</f>
        <v>0</v>
      </c>
      <c r="S99" s="49">
        <f>'дод. 3'!S25</f>
        <v>0</v>
      </c>
      <c r="T99" s="49">
        <f>'дод. 3'!T25</f>
        <v>0</v>
      </c>
      <c r="U99" s="49">
        <f>'дод. 3'!U25</f>
        <v>0</v>
      </c>
      <c r="V99" s="62"/>
      <c r="W99" s="49">
        <f t="shared" si="28"/>
        <v>181361.78</v>
      </c>
      <c r="X99" s="164"/>
      <c r="Y99" s="80"/>
    </row>
    <row r="100" spans="1:25" s="15" customFormat="1" ht="45">
      <c r="A100" s="18"/>
      <c r="B100" s="22" t="s">
        <v>36</v>
      </c>
      <c r="C100" s="22" t="s">
        <v>185</v>
      </c>
      <c r="D100" s="23" t="s">
        <v>37</v>
      </c>
      <c r="E100" s="49">
        <f>'дод. 3'!E26+'дод. 3'!E60</f>
        <v>7916825</v>
      </c>
      <c r="F100" s="49">
        <f>'дод. 3'!F26+'дод. 3'!F60</f>
        <v>5353609</v>
      </c>
      <c r="G100" s="49">
        <f>'дод. 3'!G26+'дод. 3'!G60</f>
        <v>592617</v>
      </c>
      <c r="H100" s="49">
        <f>'дод. 3'!H26+'дод. 3'!H60</f>
        <v>5619164.11</v>
      </c>
      <c r="I100" s="49">
        <f>'дод. 3'!I26+'дод. 3'!I60</f>
        <v>3923393.39</v>
      </c>
      <c r="J100" s="49">
        <f>'дод. 3'!J26+'дод. 3'!J60</f>
        <v>375695.07</v>
      </c>
      <c r="K100" s="62">
        <f t="shared" si="21"/>
        <v>70.97749552377374</v>
      </c>
      <c r="L100" s="49">
        <f t="shared" si="26"/>
        <v>197000</v>
      </c>
      <c r="M100" s="49">
        <f>'дод. 3'!M26+'дод. 3'!M60</f>
        <v>0</v>
      </c>
      <c r="N100" s="49">
        <f>'дод. 3'!N26+'дод. 3'!N60</f>
        <v>0</v>
      </c>
      <c r="O100" s="49">
        <f>'дод. 3'!O26+'дод. 3'!O60</f>
        <v>0</v>
      </c>
      <c r="P100" s="49">
        <f>'дод. 3'!P26+'дод. 3'!P60</f>
        <v>197000</v>
      </c>
      <c r="Q100" s="49">
        <f t="shared" si="27"/>
        <v>196879.6</v>
      </c>
      <c r="R100" s="49">
        <f>'дод. 3'!R26+'дод. 3'!R60</f>
        <v>500</v>
      </c>
      <c r="S100" s="49">
        <f>'дод. 3'!S26+'дод. 3'!S60</f>
        <v>0</v>
      </c>
      <c r="T100" s="49">
        <f>'дод. 3'!T26+'дод. 3'!T60</f>
        <v>0</v>
      </c>
      <c r="U100" s="49">
        <f>'дод. 3'!U26+'дод. 3'!U60</f>
        <v>196379.6</v>
      </c>
      <c r="V100" s="62">
        <f t="shared" si="17"/>
        <v>99.93888324873097</v>
      </c>
      <c r="W100" s="49">
        <f t="shared" si="28"/>
        <v>5816043.71</v>
      </c>
      <c r="X100" s="164"/>
      <c r="Y100" s="80"/>
    </row>
    <row r="101" spans="1:25" s="15" customFormat="1" ht="30" customHeight="1">
      <c r="A101" s="18"/>
      <c r="B101" s="22" t="s">
        <v>38</v>
      </c>
      <c r="C101" s="22" t="s">
        <v>185</v>
      </c>
      <c r="D101" s="23" t="s">
        <v>25</v>
      </c>
      <c r="E101" s="49">
        <f>'дод. 3'!E27</f>
        <v>2373363</v>
      </c>
      <c r="F101" s="49">
        <f>'дод. 3'!F27</f>
        <v>0</v>
      </c>
      <c r="G101" s="49">
        <f>'дод. 3'!G27</f>
        <v>0</v>
      </c>
      <c r="H101" s="49">
        <f>'дод. 3'!H27</f>
        <v>1905468.16</v>
      </c>
      <c r="I101" s="49">
        <f>'дод. 3'!I27</f>
        <v>0</v>
      </c>
      <c r="J101" s="49">
        <f>'дод. 3'!J27</f>
        <v>0</v>
      </c>
      <c r="K101" s="62">
        <f t="shared" si="21"/>
        <v>80.28557620557832</v>
      </c>
      <c r="L101" s="49">
        <f t="shared" si="26"/>
        <v>0</v>
      </c>
      <c r="M101" s="49">
        <f>'дод. 3'!M27</f>
        <v>0</v>
      </c>
      <c r="N101" s="49">
        <f>'дод. 3'!N27</f>
        <v>0</v>
      </c>
      <c r="O101" s="49">
        <f>'дод. 3'!O27</f>
        <v>0</v>
      </c>
      <c r="P101" s="49">
        <f>'дод. 3'!P27</f>
        <v>0</v>
      </c>
      <c r="Q101" s="49">
        <f t="shared" si="27"/>
        <v>0</v>
      </c>
      <c r="R101" s="49">
        <f>'дод. 3'!R27</f>
        <v>0</v>
      </c>
      <c r="S101" s="49">
        <f>'дод. 3'!S27</f>
        <v>0</v>
      </c>
      <c r="T101" s="49">
        <f>'дод. 3'!T27</f>
        <v>0</v>
      </c>
      <c r="U101" s="49">
        <f>'дод. 3'!U27</f>
        <v>0</v>
      </c>
      <c r="V101" s="62"/>
      <c r="W101" s="49">
        <f t="shared" si="28"/>
        <v>1905468.16</v>
      </c>
      <c r="X101" s="164"/>
      <c r="Y101" s="80"/>
    </row>
    <row r="102" spans="1:25" s="15" customFormat="1" ht="30">
      <c r="A102" s="18"/>
      <c r="B102" s="22" t="s">
        <v>39</v>
      </c>
      <c r="C102" s="22" t="s">
        <v>185</v>
      </c>
      <c r="D102" s="23" t="s">
        <v>40</v>
      </c>
      <c r="E102" s="49">
        <f>'дод. 3'!E28</f>
        <v>2125166</v>
      </c>
      <c r="F102" s="49">
        <f>'дод. 3'!F28</f>
        <v>935492</v>
      </c>
      <c r="G102" s="49">
        <f>'дод. 3'!G28</f>
        <v>384290</v>
      </c>
      <c r="H102" s="49">
        <f>'дод. 3'!H28</f>
        <v>1274902.93</v>
      </c>
      <c r="I102" s="49">
        <f>'дод. 3'!I28</f>
        <v>689021.11</v>
      </c>
      <c r="J102" s="49">
        <f>'дод. 3'!J28</f>
        <v>194463.69</v>
      </c>
      <c r="K102" s="62">
        <f t="shared" si="21"/>
        <v>59.990745664103414</v>
      </c>
      <c r="L102" s="49">
        <f t="shared" si="26"/>
        <v>817714</v>
      </c>
      <c r="M102" s="49">
        <f>'дод. 3'!M28</f>
        <v>317714</v>
      </c>
      <c r="N102" s="49">
        <f>'дод. 3'!N28</f>
        <v>144491</v>
      </c>
      <c r="O102" s="49">
        <f>'дод. 3'!O28</f>
        <v>97628</v>
      </c>
      <c r="P102" s="49">
        <f>'дод. 3'!P28</f>
        <v>500000</v>
      </c>
      <c r="Q102" s="49">
        <f t="shared" si="27"/>
        <v>659914.97</v>
      </c>
      <c r="R102" s="49">
        <f>'дод. 3'!R28</f>
        <v>164385.43</v>
      </c>
      <c r="S102" s="49">
        <f>'дод. 3'!S28</f>
        <v>69822.95</v>
      </c>
      <c r="T102" s="49">
        <f>'дод. 3'!T28</f>
        <v>46358.62</v>
      </c>
      <c r="U102" s="49">
        <f>'дод. 3'!U28</f>
        <v>495529.54</v>
      </c>
      <c r="V102" s="62">
        <f t="shared" si="17"/>
        <v>80.70241796031375</v>
      </c>
      <c r="W102" s="49">
        <f t="shared" si="28"/>
        <v>1934817.9</v>
      </c>
      <c r="X102" s="164"/>
      <c r="Y102" s="80"/>
    </row>
    <row r="103" spans="1:25" s="15" customFormat="1" ht="75">
      <c r="A103" s="18"/>
      <c r="B103" s="22" t="s">
        <v>41</v>
      </c>
      <c r="C103" s="22" t="s">
        <v>185</v>
      </c>
      <c r="D103" s="23" t="s">
        <v>42</v>
      </c>
      <c r="E103" s="49">
        <f>'дод. 3'!E29</f>
        <v>4212877</v>
      </c>
      <c r="F103" s="49">
        <f>'дод. 3'!F29</f>
        <v>0</v>
      </c>
      <c r="G103" s="49">
        <f>'дод. 3'!G29</f>
        <v>0</v>
      </c>
      <c r="H103" s="49">
        <f>'дод. 3'!H29</f>
        <v>2990989.8</v>
      </c>
      <c r="I103" s="49">
        <f>'дод. 3'!I29</f>
        <v>0</v>
      </c>
      <c r="J103" s="49">
        <f>'дод. 3'!J29</f>
        <v>0</v>
      </c>
      <c r="K103" s="62">
        <f t="shared" si="21"/>
        <v>70.9963713633225</v>
      </c>
      <c r="L103" s="49">
        <f t="shared" si="26"/>
        <v>23000</v>
      </c>
      <c r="M103" s="49">
        <f>'дод. 3'!M29</f>
        <v>0</v>
      </c>
      <c r="N103" s="49">
        <f>'дод. 3'!N29</f>
        <v>0</v>
      </c>
      <c r="O103" s="49">
        <f>'дод. 3'!O29</f>
        <v>0</v>
      </c>
      <c r="P103" s="49">
        <f>'дод. 3'!P29</f>
        <v>23000</v>
      </c>
      <c r="Q103" s="49">
        <f t="shared" si="27"/>
        <v>23000</v>
      </c>
      <c r="R103" s="49">
        <f>'дод. 3'!R29</f>
        <v>0</v>
      </c>
      <c r="S103" s="49">
        <f>'дод. 3'!S29</f>
        <v>0</v>
      </c>
      <c r="T103" s="49">
        <f>'дод. 3'!T29</f>
        <v>0</v>
      </c>
      <c r="U103" s="49">
        <f>'дод. 3'!U29</f>
        <v>23000</v>
      </c>
      <c r="V103" s="62">
        <f t="shared" si="17"/>
        <v>100</v>
      </c>
      <c r="W103" s="49">
        <f t="shared" si="28"/>
        <v>3013989.8</v>
      </c>
      <c r="X103" s="164"/>
      <c r="Y103" s="80"/>
    </row>
    <row r="104" spans="1:25" s="15" customFormat="1" ht="23.25" customHeight="1">
      <c r="A104" s="18"/>
      <c r="B104" s="45" t="s">
        <v>264</v>
      </c>
      <c r="C104" s="45"/>
      <c r="D104" s="46" t="s">
        <v>265</v>
      </c>
      <c r="E104" s="98">
        <f>SUM(E105:E107)</f>
        <v>764000</v>
      </c>
      <c r="F104" s="98">
        <f aca="true" t="shared" si="29" ref="F104:W104">SUM(F105:F107)</f>
        <v>0</v>
      </c>
      <c r="G104" s="98">
        <f t="shared" si="29"/>
        <v>0</v>
      </c>
      <c r="H104" s="98">
        <f t="shared" si="29"/>
        <v>99000</v>
      </c>
      <c r="I104" s="98">
        <f t="shared" si="29"/>
        <v>0</v>
      </c>
      <c r="J104" s="98">
        <f>J105+J106+J107</f>
        <v>0</v>
      </c>
      <c r="K104" s="97">
        <f t="shared" si="21"/>
        <v>12.958115183246074</v>
      </c>
      <c r="L104" s="98">
        <f t="shared" si="29"/>
        <v>146203090.94</v>
      </c>
      <c r="M104" s="98">
        <f t="shared" si="29"/>
        <v>0</v>
      </c>
      <c r="N104" s="98">
        <f t="shared" si="29"/>
        <v>0</v>
      </c>
      <c r="O104" s="98">
        <f t="shared" si="29"/>
        <v>0</v>
      </c>
      <c r="P104" s="98">
        <f t="shared" si="29"/>
        <v>146203090.94</v>
      </c>
      <c r="Q104" s="98">
        <f t="shared" si="29"/>
        <v>59820179</v>
      </c>
      <c r="R104" s="98">
        <f t="shared" si="29"/>
        <v>0</v>
      </c>
      <c r="S104" s="98">
        <f t="shared" si="29"/>
        <v>0</v>
      </c>
      <c r="T104" s="98">
        <f t="shared" si="29"/>
        <v>0</v>
      </c>
      <c r="U104" s="98">
        <f t="shared" si="29"/>
        <v>59820179</v>
      </c>
      <c r="V104" s="97">
        <f t="shared" si="17"/>
        <v>40.91581006625194</v>
      </c>
      <c r="W104" s="98">
        <f t="shared" si="29"/>
        <v>59919179</v>
      </c>
      <c r="X104" s="164" t="s">
        <v>351</v>
      </c>
      <c r="Y104" s="80"/>
    </row>
    <row r="105" spans="1:25" s="15" customFormat="1" ht="33.75" customHeight="1">
      <c r="A105" s="18"/>
      <c r="B105" s="22" t="s">
        <v>172</v>
      </c>
      <c r="C105" s="22" t="s">
        <v>188</v>
      </c>
      <c r="D105" s="23" t="s">
        <v>173</v>
      </c>
      <c r="E105" s="49">
        <f>'дод. 3'!E162+'дод. 3'!E136</f>
        <v>0</v>
      </c>
      <c r="F105" s="49">
        <f>'дод. 3'!F162+'дод. 3'!F136</f>
        <v>0</v>
      </c>
      <c r="G105" s="49">
        <f>'дод. 3'!G162+'дод. 3'!G136</f>
        <v>0</v>
      </c>
      <c r="H105" s="49">
        <f>'дод. 3'!H162+'дод. 3'!H136</f>
        <v>0</v>
      </c>
      <c r="I105" s="49">
        <f>'дод. 3'!I162+'дод. 3'!I136</f>
        <v>0</v>
      </c>
      <c r="J105" s="49">
        <f>'дод. 3'!J162+'дод. 3'!J136</f>
        <v>0</v>
      </c>
      <c r="K105" s="62"/>
      <c r="L105" s="49">
        <f>M105+P105</f>
        <v>146003090.94</v>
      </c>
      <c r="M105" s="49">
        <f>'дод. 3'!M162+'дод. 3'!M136</f>
        <v>0</v>
      </c>
      <c r="N105" s="49">
        <f>'дод. 3'!N162+'дод. 3'!N136</f>
        <v>0</v>
      </c>
      <c r="O105" s="49">
        <f>'дод. 3'!O162+'дод. 3'!O136</f>
        <v>0</v>
      </c>
      <c r="P105" s="49">
        <f>'дод. 3'!P162+'дод. 3'!P136</f>
        <v>146003090.94</v>
      </c>
      <c r="Q105" s="49">
        <f>'дод. 3'!Q162+'дод. 3'!Q136</f>
        <v>59773596</v>
      </c>
      <c r="R105" s="49">
        <f>'дод. 3'!R162+'дод. 3'!R136</f>
        <v>0</v>
      </c>
      <c r="S105" s="49">
        <f>'дод. 3'!S162+'дод. 3'!S136</f>
        <v>0</v>
      </c>
      <c r="T105" s="49">
        <f>'дод. 3'!T162+'дод. 3'!T136</f>
        <v>0</v>
      </c>
      <c r="U105" s="49">
        <f>'дод. 3'!U162+'дод. 3'!U136</f>
        <v>59773596</v>
      </c>
      <c r="V105" s="62">
        <f t="shared" si="17"/>
        <v>40.93995244563964</v>
      </c>
      <c r="W105" s="49">
        <f>Q105+H105</f>
        <v>59773596</v>
      </c>
      <c r="X105" s="164"/>
      <c r="Y105" s="80"/>
    </row>
    <row r="106" spans="1:25" s="15" customFormat="1" ht="30">
      <c r="A106" s="18"/>
      <c r="B106" s="22" t="s">
        <v>329</v>
      </c>
      <c r="C106" s="22" t="s">
        <v>184</v>
      </c>
      <c r="D106" s="23" t="s">
        <v>330</v>
      </c>
      <c r="E106" s="49">
        <f>'дод. 3'!E163</f>
        <v>0</v>
      </c>
      <c r="F106" s="49">
        <f>'дод. 3'!F163</f>
        <v>0</v>
      </c>
      <c r="G106" s="49">
        <f>'дод. 3'!G163</f>
        <v>0</v>
      </c>
      <c r="H106" s="49">
        <f>'дод. 3'!H163</f>
        <v>0</v>
      </c>
      <c r="I106" s="49">
        <f>'дод. 3'!I163</f>
        <v>0</v>
      </c>
      <c r="J106" s="49">
        <f>'дод. 3'!J163</f>
        <v>0</v>
      </c>
      <c r="K106" s="62"/>
      <c r="L106" s="49">
        <f>M106+P106</f>
        <v>200000</v>
      </c>
      <c r="M106" s="49">
        <f>'дод. 3'!M163</f>
        <v>0</v>
      </c>
      <c r="N106" s="49">
        <f>'дод. 3'!N163</f>
        <v>0</v>
      </c>
      <c r="O106" s="49">
        <f>'дод. 3'!O163</f>
        <v>0</v>
      </c>
      <c r="P106" s="49">
        <f>'дод. 3'!P163</f>
        <v>200000</v>
      </c>
      <c r="Q106" s="49">
        <f>R106+U106</f>
        <v>46583</v>
      </c>
      <c r="R106" s="49">
        <f>'дод. 3'!R163</f>
        <v>0</v>
      </c>
      <c r="S106" s="49">
        <f>'дод. 3'!S163</f>
        <v>0</v>
      </c>
      <c r="T106" s="49">
        <f>'дод. 3'!T163</f>
        <v>0</v>
      </c>
      <c r="U106" s="49">
        <f>'дод. 3'!U163</f>
        <v>46583</v>
      </c>
      <c r="V106" s="62">
        <f t="shared" si="17"/>
        <v>23.291500000000003</v>
      </c>
      <c r="W106" s="49">
        <f>Q106+H106</f>
        <v>46583</v>
      </c>
      <c r="X106" s="164"/>
      <c r="Y106" s="80"/>
    </row>
    <row r="107" spans="1:25" s="15" customFormat="1" ht="30">
      <c r="A107" s="18"/>
      <c r="B107" s="22" t="s">
        <v>285</v>
      </c>
      <c r="C107" s="22" t="s">
        <v>286</v>
      </c>
      <c r="D107" s="23" t="s">
        <v>287</v>
      </c>
      <c r="E107" s="49">
        <f>'дод. 3'!E30+'дод. 3'!E137+'дод. 3'!E164</f>
        <v>764000</v>
      </c>
      <c r="F107" s="49">
        <f>'дод. 3'!F30+'дод. 3'!F137+'дод. 3'!F164</f>
        <v>0</v>
      </c>
      <c r="G107" s="49">
        <f>'дод. 3'!G30+'дод. 3'!G137+'дод. 3'!G164</f>
        <v>0</v>
      </c>
      <c r="H107" s="49">
        <f>'дод. 3'!H30+'дод. 3'!H137+'дод. 3'!H164</f>
        <v>99000</v>
      </c>
      <c r="I107" s="49">
        <f>'дод. 3'!I30+'дод. 3'!I137+'дод. 3'!I164</f>
        <v>0</v>
      </c>
      <c r="J107" s="49">
        <f>'дод. 3'!J30+'дод. 3'!J137+'дод. 3'!J164</f>
        <v>0</v>
      </c>
      <c r="K107" s="62">
        <f t="shared" si="21"/>
        <v>12.958115183246074</v>
      </c>
      <c r="L107" s="49">
        <f>M107+P107</f>
        <v>0</v>
      </c>
      <c r="M107" s="49">
        <f>'дод. 3'!M30+'дод. 3'!M137+'дод. 3'!M164</f>
        <v>0</v>
      </c>
      <c r="N107" s="49">
        <f>'дод. 3'!N30+'дод. 3'!N137+'дод. 3'!N164</f>
        <v>0</v>
      </c>
      <c r="O107" s="49">
        <f>'дод. 3'!O30+'дод. 3'!O137+'дод. 3'!O164</f>
        <v>0</v>
      </c>
      <c r="P107" s="49">
        <f>'дод. 3'!P30+'дод. 3'!P137+'дод. 3'!P164</f>
        <v>0</v>
      </c>
      <c r="Q107" s="49">
        <f>R107+U107</f>
        <v>0</v>
      </c>
      <c r="R107" s="49">
        <f>'дод. 3'!R30+'дод. 3'!R137+'дод. 3'!R164</f>
        <v>0</v>
      </c>
      <c r="S107" s="49">
        <f>'дод. 3'!S30+'дод. 3'!S137+'дод. 3'!S164</f>
        <v>0</v>
      </c>
      <c r="T107" s="49">
        <f>'дод. 3'!T30+'дод. 3'!T137+'дод. 3'!T164</f>
        <v>0</v>
      </c>
      <c r="U107" s="49">
        <f>'дод. 3'!U30+'дод. 3'!U137</f>
        <v>0</v>
      </c>
      <c r="V107" s="62"/>
      <c r="W107" s="49">
        <f>Q107+H107</f>
        <v>99000</v>
      </c>
      <c r="X107" s="164"/>
      <c r="Y107" s="80"/>
    </row>
    <row r="108" spans="1:25" s="15" customFormat="1" ht="28.5">
      <c r="A108" s="18"/>
      <c r="B108" s="45" t="s">
        <v>266</v>
      </c>
      <c r="C108" s="45"/>
      <c r="D108" s="46" t="s">
        <v>267</v>
      </c>
      <c r="E108" s="98">
        <f>E109</f>
        <v>1736351</v>
      </c>
      <c r="F108" s="98">
        <f aca="true" t="shared" si="30" ref="F108:W108">F109</f>
        <v>0</v>
      </c>
      <c r="G108" s="98">
        <f t="shared" si="30"/>
        <v>0</v>
      </c>
      <c r="H108" s="98">
        <f t="shared" si="30"/>
        <v>77052.04000000001</v>
      </c>
      <c r="I108" s="98">
        <f t="shared" si="30"/>
        <v>0</v>
      </c>
      <c r="J108" s="98">
        <f>J109</f>
        <v>0</v>
      </c>
      <c r="K108" s="97">
        <f t="shared" si="21"/>
        <v>4.437584336346742</v>
      </c>
      <c r="L108" s="98">
        <f t="shared" si="30"/>
        <v>148000</v>
      </c>
      <c r="M108" s="98">
        <f t="shared" si="30"/>
        <v>0</v>
      </c>
      <c r="N108" s="98">
        <f t="shared" si="30"/>
        <v>0</v>
      </c>
      <c r="O108" s="98">
        <f t="shared" si="30"/>
        <v>0</v>
      </c>
      <c r="P108" s="98">
        <f t="shared" si="30"/>
        <v>148000</v>
      </c>
      <c r="Q108" s="98">
        <f t="shared" si="30"/>
        <v>7000</v>
      </c>
      <c r="R108" s="98">
        <f t="shared" si="30"/>
        <v>0</v>
      </c>
      <c r="S108" s="98">
        <f t="shared" si="30"/>
        <v>0</v>
      </c>
      <c r="T108" s="98">
        <f t="shared" si="30"/>
        <v>0</v>
      </c>
      <c r="U108" s="98">
        <f t="shared" si="30"/>
        <v>7000</v>
      </c>
      <c r="V108" s="97">
        <f t="shared" si="17"/>
        <v>4.72972972972973</v>
      </c>
      <c r="W108" s="98">
        <f t="shared" si="30"/>
        <v>84052.04000000001</v>
      </c>
      <c r="X108" s="164"/>
      <c r="Y108" s="80"/>
    </row>
    <row r="109" spans="1:25" s="15" customFormat="1" ht="21.75" customHeight="1">
      <c r="A109" s="18"/>
      <c r="B109" s="22" t="s">
        <v>164</v>
      </c>
      <c r="C109" s="22" t="s">
        <v>217</v>
      </c>
      <c r="D109" s="23" t="s">
        <v>165</v>
      </c>
      <c r="E109" s="49">
        <f>'дод. 3'!E138+'дод. 3'!E150+'дод. 3'!E174+'дод. 3'!E165+'дод. 3'!E154</f>
        <v>1736351</v>
      </c>
      <c r="F109" s="49">
        <f>'дод. 3'!F138+'дод. 3'!F150+'дод. 3'!F174+'дод. 3'!F165+'дод. 3'!F154</f>
        <v>0</v>
      </c>
      <c r="G109" s="49">
        <f>'дод. 3'!G138+'дод. 3'!G150+'дод. 3'!G174+'дод. 3'!G165+'дод. 3'!G154</f>
        <v>0</v>
      </c>
      <c r="H109" s="49">
        <f>'дод. 3'!H138+'дод. 3'!H150+'дод. 3'!H174+'дод. 3'!H165+'дод. 3'!H154</f>
        <v>77052.04000000001</v>
      </c>
      <c r="I109" s="49">
        <f>'дод. 3'!I138+'дод. 3'!I150+'дод. 3'!I174+'дод. 3'!I165+'дод. 3'!I154</f>
        <v>0</v>
      </c>
      <c r="J109" s="49">
        <f>'дод. 3'!J138+'дод. 3'!J150+'дод. 3'!J174+'дод. 3'!J165+'дод. 3'!J154</f>
        <v>0</v>
      </c>
      <c r="K109" s="62">
        <f t="shared" si="21"/>
        <v>4.437584336346742</v>
      </c>
      <c r="L109" s="49">
        <f>M109+P109</f>
        <v>148000</v>
      </c>
      <c r="M109" s="49">
        <f>'дод. 3'!M138+'дод. 3'!M150+'дод. 3'!M174+'дод. 3'!M165+'дод. 3'!M154</f>
        <v>0</v>
      </c>
      <c r="N109" s="49">
        <f>'дод. 3'!N138+'дод. 3'!N150+'дод. 3'!N174+'дод. 3'!N165+'дод. 3'!N154</f>
        <v>0</v>
      </c>
      <c r="O109" s="49">
        <f>'дод. 3'!O138+'дод. 3'!O150+'дод. 3'!O174+'дод. 3'!O165+'дод. 3'!O154</f>
        <v>0</v>
      </c>
      <c r="P109" s="49">
        <f>'дод. 3'!P138+'дод. 3'!P150+'дод. 3'!P174+'дод. 3'!P165+'дод. 3'!P154</f>
        <v>148000</v>
      </c>
      <c r="Q109" s="49">
        <f>R109+U109</f>
        <v>7000</v>
      </c>
      <c r="R109" s="49">
        <f>'дод. 3'!R138+'дод. 3'!R150+'дод. 3'!R174+'дод. 3'!R165+'дод. 3'!R154</f>
        <v>0</v>
      </c>
      <c r="S109" s="49">
        <f>'дод. 3'!S138+'дод. 3'!S150+'дод. 3'!S174+'дод. 3'!S165+'дод. 3'!S154</f>
        <v>0</v>
      </c>
      <c r="T109" s="49">
        <f>'дод. 3'!T138+'дод. 3'!T150+'дод. 3'!T174+'дод. 3'!T165+'дод. 3'!T154</f>
        <v>0</v>
      </c>
      <c r="U109" s="49">
        <f>'дод. 3'!U138+'дод. 3'!U150+'дод. 3'!U174+'дод. 3'!U165+'дод. 3'!U154</f>
        <v>7000</v>
      </c>
      <c r="V109" s="62">
        <f t="shared" si="17"/>
        <v>4.72972972972973</v>
      </c>
      <c r="W109" s="49">
        <f>Q109+H109</f>
        <v>84052.04000000001</v>
      </c>
      <c r="X109" s="164"/>
      <c r="Y109" s="80"/>
    </row>
    <row r="110" spans="1:25" s="15" customFormat="1" ht="42.75">
      <c r="A110" s="18"/>
      <c r="B110" s="45" t="s">
        <v>268</v>
      </c>
      <c r="C110" s="45"/>
      <c r="D110" s="46" t="s">
        <v>269</v>
      </c>
      <c r="E110" s="98">
        <f>SUM(E111:E116)</f>
        <v>32078740</v>
      </c>
      <c r="F110" s="98">
        <f aca="true" t="shared" si="31" ref="F110:W110">SUM(F111:F116)</f>
        <v>0</v>
      </c>
      <c r="G110" s="98">
        <f t="shared" si="31"/>
        <v>0</v>
      </c>
      <c r="H110" s="98">
        <f t="shared" si="31"/>
        <v>21797441.37</v>
      </c>
      <c r="I110" s="98">
        <f t="shared" si="31"/>
        <v>0</v>
      </c>
      <c r="J110" s="98">
        <f>J111+J112+J113+J114+J115+J116</f>
        <v>0</v>
      </c>
      <c r="K110" s="97">
        <f t="shared" si="21"/>
        <v>67.94980529160435</v>
      </c>
      <c r="L110" s="98">
        <f t="shared" si="31"/>
        <v>650000</v>
      </c>
      <c r="M110" s="98">
        <f t="shared" si="31"/>
        <v>0</v>
      </c>
      <c r="N110" s="98">
        <f t="shared" si="31"/>
        <v>0</v>
      </c>
      <c r="O110" s="98">
        <f t="shared" si="31"/>
        <v>0</v>
      </c>
      <c r="P110" s="98">
        <f t="shared" si="31"/>
        <v>650000</v>
      </c>
      <c r="Q110" s="104">
        <f aca="true" t="shared" si="32" ref="Q110:Q116">R110+U110</f>
        <v>194907.42</v>
      </c>
      <c r="R110" s="104">
        <f t="shared" si="31"/>
        <v>0</v>
      </c>
      <c r="S110" s="104">
        <f t="shared" si="31"/>
        <v>0</v>
      </c>
      <c r="T110" s="104">
        <f t="shared" si="31"/>
        <v>0</v>
      </c>
      <c r="U110" s="98">
        <f t="shared" si="31"/>
        <v>194907.42</v>
      </c>
      <c r="V110" s="62"/>
      <c r="W110" s="98">
        <f t="shared" si="31"/>
        <v>21992348.79</v>
      </c>
      <c r="X110" s="164"/>
      <c r="Y110" s="80"/>
    </row>
    <row r="111" spans="1:25" s="15" customFormat="1" ht="35.25" customHeight="1">
      <c r="A111" s="18"/>
      <c r="B111" s="99" t="s">
        <v>295</v>
      </c>
      <c r="C111" s="99" t="s">
        <v>314</v>
      </c>
      <c r="D111" s="47" t="s">
        <v>297</v>
      </c>
      <c r="E111" s="49">
        <f>'дод. 3'!E31</f>
        <v>1642000</v>
      </c>
      <c r="F111" s="49">
        <f>'дод. 3'!F31</f>
        <v>0</v>
      </c>
      <c r="G111" s="49">
        <f>'дод. 3'!G31</f>
        <v>0</v>
      </c>
      <c r="H111" s="49">
        <f>'дод. 3'!H31</f>
        <v>653746.5</v>
      </c>
      <c r="I111" s="49">
        <f>'дод. 3'!I31</f>
        <v>0</v>
      </c>
      <c r="J111" s="49">
        <f>'дод. 3'!J31</f>
        <v>0</v>
      </c>
      <c r="K111" s="62">
        <f t="shared" si="21"/>
        <v>39.81403775883069</v>
      </c>
      <c r="L111" s="49">
        <f aca="true" t="shared" si="33" ref="L111:L116">M111+P111</f>
        <v>0</v>
      </c>
      <c r="M111" s="49">
        <f>'дод. 3'!M31</f>
        <v>0</v>
      </c>
      <c r="N111" s="49">
        <f>'дод. 3'!N31</f>
        <v>0</v>
      </c>
      <c r="O111" s="49">
        <f>'дод. 3'!O31</f>
        <v>0</v>
      </c>
      <c r="P111" s="49">
        <f>'дод. 3'!P31</f>
        <v>0</v>
      </c>
      <c r="Q111" s="49">
        <f t="shared" si="32"/>
        <v>0</v>
      </c>
      <c r="R111" s="49">
        <f>'дод. 3'!R31</f>
        <v>0</v>
      </c>
      <c r="S111" s="49">
        <f>'дод. 3'!S31</f>
        <v>0</v>
      </c>
      <c r="T111" s="49">
        <f>'дод. 3'!T31</f>
        <v>0</v>
      </c>
      <c r="U111" s="49">
        <f>'дод. 3'!U31</f>
        <v>0</v>
      </c>
      <c r="V111" s="62"/>
      <c r="W111" s="49">
        <f aca="true" t="shared" si="34" ref="W111:W116">Q111+H111</f>
        <v>653746.5</v>
      </c>
      <c r="X111" s="164"/>
      <c r="Y111" s="80"/>
    </row>
    <row r="112" spans="1:25" s="15" customFormat="1" ht="45">
      <c r="A112" s="18"/>
      <c r="B112" s="99" t="s">
        <v>324</v>
      </c>
      <c r="C112" s="99" t="s">
        <v>207</v>
      </c>
      <c r="D112" s="23" t="s">
        <v>325</v>
      </c>
      <c r="E112" s="49">
        <f>'дод. 3'!E114</f>
        <v>4009742</v>
      </c>
      <c r="F112" s="49">
        <f>'дод. 3'!F114</f>
        <v>0</v>
      </c>
      <c r="G112" s="49">
        <f>'дод. 3'!G114</f>
        <v>0</v>
      </c>
      <c r="H112" s="49">
        <f>'дод. 3'!H114</f>
        <v>1536510.61</v>
      </c>
      <c r="I112" s="49">
        <f>'дод. 3'!I114</f>
        <v>0</v>
      </c>
      <c r="J112" s="49">
        <f>'дод. 3'!J114</f>
        <v>0</v>
      </c>
      <c r="K112" s="62">
        <f t="shared" si="21"/>
        <v>38.31943825812235</v>
      </c>
      <c r="L112" s="49">
        <f t="shared" si="33"/>
        <v>0</v>
      </c>
      <c r="M112" s="49">
        <f>'дод. 3'!M114</f>
        <v>0</v>
      </c>
      <c r="N112" s="49">
        <f>'дод. 3'!N114</f>
        <v>0</v>
      </c>
      <c r="O112" s="49">
        <f>'дод. 3'!O114</f>
        <v>0</v>
      </c>
      <c r="P112" s="49">
        <f>'дод. 3'!P114</f>
        <v>0</v>
      </c>
      <c r="Q112" s="49">
        <f t="shared" si="32"/>
        <v>0</v>
      </c>
      <c r="R112" s="49">
        <f>'дод. 3'!R114</f>
        <v>0</v>
      </c>
      <c r="S112" s="49">
        <f>'дод. 3'!S114</f>
        <v>0</v>
      </c>
      <c r="T112" s="49">
        <f>'дод. 3'!T114</f>
        <v>0</v>
      </c>
      <c r="U112" s="49">
        <f>'дод. 3'!U114</f>
        <v>0</v>
      </c>
      <c r="V112" s="62"/>
      <c r="W112" s="49">
        <f t="shared" si="34"/>
        <v>1536510.61</v>
      </c>
      <c r="X112" s="164"/>
      <c r="Y112" s="80"/>
    </row>
    <row r="113" spans="1:25" s="15" customFormat="1" ht="30">
      <c r="A113" s="18"/>
      <c r="B113" s="22" t="s">
        <v>302</v>
      </c>
      <c r="C113" s="22" t="s">
        <v>314</v>
      </c>
      <c r="D113" s="23" t="s">
        <v>303</v>
      </c>
      <c r="E113" s="49">
        <f>'дод. 3'!E32</f>
        <v>2447500</v>
      </c>
      <c r="F113" s="49">
        <f>'дод. 3'!F32</f>
        <v>0</v>
      </c>
      <c r="G113" s="49">
        <f>'дод. 3'!G32</f>
        <v>0</v>
      </c>
      <c r="H113" s="49">
        <f>'дод. 3'!H32</f>
        <v>2445565.01</v>
      </c>
      <c r="I113" s="49">
        <f>'дод. 3'!I32</f>
        <v>0</v>
      </c>
      <c r="J113" s="49">
        <f>'дод. 3'!J32</f>
        <v>0</v>
      </c>
      <c r="K113" s="62">
        <f t="shared" si="21"/>
        <v>99.92094014300305</v>
      </c>
      <c r="L113" s="49">
        <f t="shared" si="33"/>
        <v>0</v>
      </c>
      <c r="M113" s="49">
        <f>'дод. 3'!M32</f>
        <v>0</v>
      </c>
      <c r="N113" s="49">
        <f>'дод. 3'!N32</f>
        <v>0</v>
      </c>
      <c r="O113" s="49">
        <f>'дод. 3'!O32</f>
        <v>0</v>
      </c>
      <c r="P113" s="49">
        <f>'дод. 3'!P32</f>
        <v>0</v>
      </c>
      <c r="Q113" s="49">
        <f t="shared" si="32"/>
        <v>0</v>
      </c>
      <c r="R113" s="49">
        <f>'дод. 3'!R32</f>
        <v>0</v>
      </c>
      <c r="S113" s="49">
        <f>'дод. 3'!S32</f>
        <v>0</v>
      </c>
      <c r="T113" s="49">
        <f>'дод. 3'!T32</f>
        <v>0</v>
      </c>
      <c r="U113" s="49">
        <f>'дод. 3'!U32</f>
        <v>0</v>
      </c>
      <c r="V113" s="62"/>
      <c r="W113" s="49">
        <f t="shared" si="34"/>
        <v>2445565.01</v>
      </c>
      <c r="X113" s="164"/>
      <c r="Y113" s="80"/>
    </row>
    <row r="114" spans="1:25" s="15" customFormat="1" ht="30">
      <c r="A114" s="18"/>
      <c r="B114" s="22" t="s">
        <v>296</v>
      </c>
      <c r="C114" s="22" t="s">
        <v>315</v>
      </c>
      <c r="D114" s="23" t="s">
        <v>298</v>
      </c>
      <c r="E114" s="49">
        <f>'дод. 3'!E33</f>
        <v>3607600</v>
      </c>
      <c r="F114" s="49">
        <f>'дод. 3'!F33</f>
        <v>0</v>
      </c>
      <c r="G114" s="49">
        <f>'дод. 3'!G33</f>
        <v>0</v>
      </c>
      <c r="H114" s="49">
        <f>'дод. 3'!H33</f>
        <v>1865713</v>
      </c>
      <c r="I114" s="49">
        <f>'дод. 3'!I33</f>
        <v>0</v>
      </c>
      <c r="J114" s="49">
        <f>'дод. 3'!J33</f>
        <v>0</v>
      </c>
      <c r="K114" s="62">
        <f t="shared" si="21"/>
        <v>51.716182503603505</v>
      </c>
      <c r="L114" s="49">
        <f t="shared" si="33"/>
        <v>0</v>
      </c>
      <c r="M114" s="49">
        <f>'дод. 3'!M33</f>
        <v>0</v>
      </c>
      <c r="N114" s="49">
        <f>'дод. 3'!N33</f>
        <v>0</v>
      </c>
      <c r="O114" s="49">
        <f>'дод. 3'!O33</f>
        <v>0</v>
      </c>
      <c r="P114" s="49">
        <f>'дод. 3'!P33</f>
        <v>0</v>
      </c>
      <c r="Q114" s="49">
        <f t="shared" si="32"/>
        <v>0</v>
      </c>
      <c r="R114" s="49">
        <f>'дод. 3'!R33</f>
        <v>0</v>
      </c>
      <c r="S114" s="49">
        <f>'дод. 3'!S33</f>
        <v>0</v>
      </c>
      <c r="T114" s="49">
        <f>'дод. 3'!T33</f>
        <v>0</v>
      </c>
      <c r="U114" s="49">
        <f>'дод. 3'!U33</f>
        <v>0</v>
      </c>
      <c r="V114" s="62"/>
      <c r="W114" s="49">
        <f t="shared" si="34"/>
        <v>1865713</v>
      </c>
      <c r="X114" s="164"/>
      <c r="Y114" s="80"/>
    </row>
    <row r="115" spans="1:25" s="15" customFormat="1" ht="45">
      <c r="A115" s="18"/>
      <c r="B115" s="22" t="s">
        <v>148</v>
      </c>
      <c r="C115" s="22" t="s">
        <v>207</v>
      </c>
      <c r="D115" s="23" t="s">
        <v>149</v>
      </c>
      <c r="E115" s="49">
        <f>'дод. 3'!E115+'дод. 3'!E34</f>
        <v>9720158</v>
      </c>
      <c r="F115" s="49">
        <f>'дод. 3'!F115+'дод. 3'!F34</f>
        <v>0</v>
      </c>
      <c r="G115" s="49">
        <f>'дод. 3'!G115+'дод. 3'!G34</f>
        <v>0</v>
      </c>
      <c r="H115" s="49">
        <f>'дод. 3'!H115+'дод. 3'!H34</f>
        <v>4644556.25</v>
      </c>
      <c r="I115" s="49">
        <f>'дод. 3'!I115+'дод. 3'!I34</f>
        <v>0</v>
      </c>
      <c r="J115" s="49">
        <f>'дод. 3'!J115+'дод. 3'!J34</f>
        <v>0</v>
      </c>
      <c r="K115" s="62">
        <f t="shared" si="21"/>
        <v>47.782723799345646</v>
      </c>
      <c r="L115" s="49">
        <f t="shared" si="33"/>
        <v>0</v>
      </c>
      <c r="M115" s="49">
        <f>'дод. 3'!M115+'дод. 3'!M34</f>
        <v>0</v>
      </c>
      <c r="N115" s="49">
        <f>'дод. 3'!N115+'дод. 3'!N34</f>
        <v>0</v>
      </c>
      <c r="O115" s="49">
        <f>'дод. 3'!O115+'дод. 3'!O34</f>
        <v>0</v>
      </c>
      <c r="P115" s="49">
        <f>'дод. 3'!P115+'дод. 3'!P34</f>
        <v>0</v>
      </c>
      <c r="Q115" s="49">
        <f t="shared" si="32"/>
        <v>0</v>
      </c>
      <c r="R115" s="49">
        <f>'дод. 3'!R115+'дод. 3'!R34</f>
        <v>0</v>
      </c>
      <c r="S115" s="49">
        <f>'дод. 3'!S115+'дод. 3'!S34</f>
        <v>0</v>
      </c>
      <c r="T115" s="49">
        <f>'дод. 3'!T115+'дод. 3'!T34</f>
        <v>0</v>
      </c>
      <c r="U115" s="49">
        <f>'дод. 3'!U115+'дод. 3'!U34</f>
        <v>0</v>
      </c>
      <c r="V115" s="62"/>
      <c r="W115" s="49">
        <f t="shared" si="34"/>
        <v>4644556.25</v>
      </c>
      <c r="X115" s="164"/>
      <c r="Y115" s="80"/>
    </row>
    <row r="116" spans="1:25" s="15" customFormat="1" ht="15">
      <c r="A116" s="18"/>
      <c r="B116" s="22" t="s">
        <v>43</v>
      </c>
      <c r="C116" s="22" t="s">
        <v>186</v>
      </c>
      <c r="D116" s="23" t="s">
        <v>44</v>
      </c>
      <c r="E116" s="49">
        <f>'дод. 3'!E35</f>
        <v>10651740</v>
      </c>
      <c r="F116" s="49">
        <f>'дод. 3'!F35</f>
        <v>0</v>
      </c>
      <c r="G116" s="49">
        <f>'дод. 3'!G35</f>
        <v>0</v>
      </c>
      <c r="H116" s="49">
        <f>'дод. 3'!H35</f>
        <v>10651350</v>
      </c>
      <c r="I116" s="49">
        <f>'дод. 3'!I35</f>
        <v>0</v>
      </c>
      <c r="J116" s="49">
        <f>'дод. 3'!J35</f>
        <v>0</v>
      </c>
      <c r="K116" s="62">
        <f t="shared" si="21"/>
        <v>99.99633862636527</v>
      </c>
      <c r="L116" s="49">
        <f t="shared" si="33"/>
        <v>650000</v>
      </c>
      <c r="M116" s="49">
        <f>'дод. 3'!M35</f>
        <v>0</v>
      </c>
      <c r="N116" s="49">
        <f>'дод. 3'!N35</f>
        <v>0</v>
      </c>
      <c r="O116" s="49">
        <f>'дод. 3'!O35</f>
        <v>0</v>
      </c>
      <c r="P116" s="49">
        <f>'дод. 3'!P35</f>
        <v>650000</v>
      </c>
      <c r="Q116" s="49">
        <f t="shared" si="32"/>
        <v>194907.42</v>
      </c>
      <c r="R116" s="49">
        <f>'дод. 3'!R35</f>
        <v>0</v>
      </c>
      <c r="S116" s="49">
        <f>'дод. 3'!S35</f>
        <v>0</v>
      </c>
      <c r="T116" s="49">
        <f>'дод. 3'!T35</f>
        <v>0</v>
      </c>
      <c r="U116" s="49">
        <f>'дод. 3'!U35</f>
        <v>194907.42</v>
      </c>
      <c r="V116" s="62"/>
      <c r="W116" s="49">
        <f t="shared" si="34"/>
        <v>10846257.42</v>
      </c>
      <c r="X116" s="164"/>
      <c r="Y116" s="80"/>
    </row>
    <row r="117" spans="1:25" s="15" customFormat="1" ht="28.5">
      <c r="A117" s="18"/>
      <c r="B117" s="45" t="s">
        <v>270</v>
      </c>
      <c r="C117" s="45"/>
      <c r="D117" s="46" t="s">
        <v>271</v>
      </c>
      <c r="E117" s="98">
        <f>E118+E119+E120+E121</f>
        <v>1952300</v>
      </c>
      <c r="F117" s="98">
        <f aca="true" t="shared" si="35" ref="F117:W117">F118+F119+F120+F121</f>
        <v>0</v>
      </c>
      <c r="G117" s="98">
        <f t="shared" si="35"/>
        <v>0</v>
      </c>
      <c r="H117" s="98">
        <f t="shared" si="35"/>
        <v>803176.4</v>
      </c>
      <c r="I117" s="98">
        <f t="shared" si="35"/>
        <v>0</v>
      </c>
      <c r="J117" s="98">
        <f>J118+J119+J120+J121</f>
        <v>0</v>
      </c>
      <c r="K117" s="97">
        <f t="shared" si="21"/>
        <v>41.14000921989449</v>
      </c>
      <c r="L117" s="98">
        <f t="shared" si="35"/>
        <v>89678409</v>
      </c>
      <c r="M117" s="98">
        <f t="shared" si="35"/>
        <v>0</v>
      </c>
      <c r="N117" s="98">
        <f t="shared" si="35"/>
        <v>0</v>
      </c>
      <c r="O117" s="98">
        <f t="shared" si="35"/>
        <v>0</v>
      </c>
      <c r="P117" s="98">
        <f t="shared" si="35"/>
        <v>89678409</v>
      </c>
      <c r="Q117" s="98">
        <f t="shared" si="35"/>
        <v>29261237.2</v>
      </c>
      <c r="R117" s="98">
        <f t="shared" si="35"/>
        <v>0</v>
      </c>
      <c r="S117" s="98">
        <f t="shared" si="35"/>
        <v>0</v>
      </c>
      <c r="T117" s="98">
        <f t="shared" si="35"/>
        <v>0</v>
      </c>
      <c r="U117" s="98">
        <f t="shared" si="35"/>
        <v>29261237.2</v>
      </c>
      <c r="V117" s="97">
        <f t="shared" si="17"/>
        <v>32.62907708364897</v>
      </c>
      <c r="W117" s="98">
        <f t="shared" si="35"/>
        <v>30064413.6</v>
      </c>
      <c r="X117" s="164"/>
      <c r="Y117" s="80"/>
    </row>
    <row r="118" spans="1:25" s="15" customFormat="1" ht="30">
      <c r="A118" s="18"/>
      <c r="B118" s="22" t="s">
        <v>45</v>
      </c>
      <c r="C118" s="22" t="s">
        <v>187</v>
      </c>
      <c r="D118" s="23" t="s">
        <v>46</v>
      </c>
      <c r="E118" s="49">
        <f>'дод. 3'!E36</f>
        <v>85000</v>
      </c>
      <c r="F118" s="49">
        <f>'дод. 3'!F36</f>
        <v>0</v>
      </c>
      <c r="G118" s="49">
        <f>'дод. 3'!G36</f>
        <v>0</v>
      </c>
      <c r="H118" s="49">
        <f>'дод. 3'!H36</f>
        <v>52772.16</v>
      </c>
      <c r="I118" s="49">
        <f>'дод. 3'!I36</f>
        <v>0</v>
      </c>
      <c r="J118" s="49">
        <f>'дод. 3'!J36</f>
        <v>0</v>
      </c>
      <c r="K118" s="62">
        <f t="shared" si="21"/>
        <v>62.08489411764706</v>
      </c>
      <c r="L118" s="49">
        <f>M118+P118</f>
        <v>0</v>
      </c>
      <c r="M118" s="49">
        <f>'дод. 3'!M36</f>
        <v>0</v>
      </c>
      <c r="N118" s="49">
        <f>'дод. 3'!N36</f>
        <v>0</v>
      </c>
      <c r="O118" s="49">
        <f>'дод. 3'!O36</f>
        <v>0</v>
      </c>
      <c r="P118" s="49">
        <f>'дод. 3'!P36</f>
        <v>0</v>
      </c>
      <c r="Q118" s="49">
        <f aca="true" t="shared" si="36" ref="Q118:Q123">R118+U118</f>
        <v>0</v>
      </c>
      <c r="R118" s="49">
        <f>'дод. 3'!R36</f>
        <v>0</v>
      </c>
      <c r="S118" s="49">
        <f>'дод. 3'!S36</f>
        <v>0</v>
      </c>
      <c r="T118" s="49">
        <f>'дод. 3'!T36</f>
        <v>0</v>
      </c>
      <c r="U118" s="49">
        <f>'дод. 3'!U36</f>
        <v>0</v>
      </c>
      <c r="V118" s="62"/>
      <c r="W118" s="49">
        <f aca="true" t="shared" si="37" ref="W118:W123">Q118+H118</f>
        <v>52772.16</v>
      </c>
      <c r="X118" s="164"/>
      <c r="Y118" s="80"/>
    </row>
    <row r="119" spans="1:25" s="15" customFormat="1" ht="30">
      <c r="A119" s="18"/>
      <c r="B119" s="22" t="s">
        <v>166</v>
      </c>
      <c r="C119" s="22" t="s">
        <v>218</v>
      </c>
      <c r="D119" s="23" t="s">
        <v>167</v>
      </c>
      <c r="E119" s="49">
        <f>'дод. 3'!E139</f>
        <v>1030000</v>
      </c>
      <c r="F119" s="49">
        <f>'дод. 3'!F139</f>
        <v>0</v>
      </c>
      <c r="G119" s="49">
        <f>'дод. 3'!G139</f>
        <v>0</v>
      </c>
      <c r="H119" s="49">
        <f>'дод. 3'!H139</f>
        <v>700809.6</v>
      </c>
      <c r="I119" s="49">
        <f>'дод. 3'!I139</f>
        <v>0</v>
      </c>
      <c r="J119" s="49">
        <f>'дод. 3'!J139</f>
        <v>0</v>
      </c>
      <c r="K119" s="62">
        <f t="shared" si="21"/>
        <v>68.03976699029126</v>
      </c>
      <c r="L119" s="49">
        <f>M119+P119</f>
        <v>0</v>
      </c>
      <c r="M119" s="49">
        <f>'дод. 3'!M139</f>
        <v>0</v>
      </c>
      <c r="N119" s="49">
        <f>'дод. 3'!N139</f>
        <v>0</v>
      </c>
      <c r="O119" s="49">
        <f>'дод. 3'!O139</f>
        <v>0</v>
      </c>
      <c r="P119" s="49">
        <f>'дод. 3'!P139</f>
        <v>0</v>
      </c>
      <c r="Q119" s="49">
        <f t="shared" si="36"/>
        <v>0</v>
      </c>
      <c r="R119" s="49">
        <f>'дод. 3'!R139</f>
        <v>0</v>
      </c>
      <c r="S119" s="49">
        <f>'дод. 3'!S139</f>
        <v>0</v>
      </c>
      <c r="T119" s="49">
        <f>'дод. 3'!T139</f>
        <v>0</v>
      </c>
      <c r="U119" s="49">
        <f>'дод. 3'!U139</f>
        <v>0</v>
      </c>
      <c r="V119" s="62"/>
      <c r="W119" s="49">
        <f t="shared" si="37"/>
        <v>700809.6</v>
      </c>
      <c r="X119" s="164"/>
      <c r="Y119" s="80"/>
    </row>
    <row r="120" spans="1:25" s="15" customFormat="1" ht="60">
      <c r="A120" s="18"/>
      <c r="B120" s="22" t="s">
        <v>47</v>
      </c>
      <c r="C120" s="22" t="s">
        <v>188</v>
      </c>
      <c r="D120" s="23" t="s">
        <v>48</v>
      </c>
      <c r="E120" s="49">
        <f>'дод. 3'!E37+'дод. 3'!E140+'дод. 3'!E166+'дод. 3'!E179</f>
        <v>0</v>
      </c>
      <c r="F120" s="49">
        <f>'дод. 3'!F37+'дод. 3'!F140+'дод. 3'!F166+'дод. 3'!F179</f>
        <v>0</v>
      </c>
      <c r="G120" s="49">
        <f>'дод. 3'!G37+'дод. 3'!G140+'дод. 3'!G166+'дод. 3'!G179</f>
        <v>0</v>
      </c>
      <c r="H120" s="49">
        <f>'дод. 3'!H37+'дод. 3'!H140+'дод. 3'!H166+'дод. 3'!H179</f>
        <v>0</v>
      </c>
      <c r="I120" s="49">
        <f>'дод. 3'!I37+'дод. 3'!I140+'дод. 3'!I166+'дод. 3'!I179</f>
        <v>0</v>
      </c>
      <c r="J120" s="49">
        <f>'дод. 3'!J37+'дод. 3'!J140+'дод. 3'!J166+'дод. 3'!J179</f>
        <v>0</v>
      </c>
      <c r="K120" s="62"/>
      <c r="L120" s="49">
        <f>M120+P120</f>
        <v>89678409</v>
      </c>
      <c r="M120" s="49">
        <f>'дод. 3'!M37+'дод. 3'!M140+'дод. 3'!M166+'дод. 3'!M179</f>
        <v>0</v>
      </c>
      <c r="N120" s="49">
        <f>'дод. 3'!N37+'дод. 3'!N140+'дод. 3'!N166+'дод. 3'!N179</f>
        <v>0</v>
      </c>
      <c r="O120" s="49">
        <f>'дод. 3'!O37+'дод. 3'!O140+'дод. 3'!O166+'дод. 3'!O179</f>
        <v>0</v>
      </c>
      <c r="P120" s="49">
        <f>'дод. 3'!P37+'дод. 3'!P140+'дод. 3'!P166+'дод. 3'!P179</f>
        <v>89678409</v>
      </c>
      <c r="Q120" s="49">
        <f t="shared" si="36"/>
        <v>29261237.2</v>
      </c>
      <c r="R120" s="49">
        <f>'дод. 3'!R37+'дод. 3'!R140+'дод. 3'!R166+'дод. 3'!R179</f>
        <v>0</v>
      </c>
      <c r="S120" s="49">
        <f>'дод. 3'!S37+'дод. 3'!S140+'дод. 3'!S166+'дод. 3'!S179</f>
        <v>0</v>
      </c>
      <c r="T120" s="49">
        <f>'дод. 3'!T37+'дод. 3'!T140+'дод. 3'!T166+'дод. 3'!T179</f>
        <v>0</v>
      </c>
      <c r="U120" s="49">
        <f>'дод. 3'!U37+'дод. 3'!U140+'дод. 3'!U166+'дод. 3'!U179</f>
        <v>29261237.2</v>
      </c>
      <c r="V120" s="62">
        <f t="shared" si="17"/>
        <v>32.62907708364897</v>
      </c>
      <c r="W120" s="49">
        <f t="shared" si="37"/>
        <v>29261237.2</v>
      </c>
      <c r="X120" s="164"/>
      <c r="Y120" s="80"/>
    </row>
    <row r="121" spans="1:25" s="15" customFormat="1" ht="30">
      <c r="A121" s="18"/>
      <c r="B121" s="22" t="s">
        <v>49</v>
      </c>
      <c r="C121" s="22" t="s">
        <v>187</v>
      </c>
      <c r="D121" s="23" t="s">
        <v>50</v>
      </c>
      <c r="E121" s="49">
        <f>'дод. 3'!E38</f>
        <v>837300</v>
      </c>
      <c r="F121" s="49">
        <f>'дод. 3'!F38</f>
        <v>0</v>
      </c>
      <c r="G121" s="49">
        <f>'дод. 3'!G38</f>
        <v>0</v>
      </c>
      <c r="H121" s="49">
        <f>'дод. 3'!H38</f>
        <v>49594.64</v>
      </c>
      <c r="I121" s="49">
        <f>'дод. 3'!I38</f>
        <v>0</v>
      </c>
      <c r="J121" s="49">
        <f>'дод. 3'!J38</f>
        <v>0</v>
      </c>
      <c r="K121" s="62">
        <f t="shared" si="21"/>
        <v>5.923162546279709</v>
      </c>
      <c r="L121" s="49">
        <f>M121+P121</f>
        <v>0</v>
      </c>
      <c r="M121" s="49">
        <f>'дод. 3'!M38</f>
        <v>0</v>
      </c>
      <c r="N121" s="49">
        <f>'дод. 3'!N38</f>
        <v>0</v>
      </c>
      <c r="O121" s="49">
        <f>'дод. 3'!O38</f>
        <v>0</v>
      </c>
      <c r="P121" s="49">
        <f>'дод. 3'!P38</f>
        <v>0</v>
      </c>
      <c r="Q121" s="49">
        <f t="shared" si="36"/>
        <v>0</v>
      </c>
      <c r="R121" s="49">
        <f>'дод. 3'!R38</f>
        <v>0</v>
      </c>
      <c r="S121" s="49">
        <f>'дод. 3'!S38</f>
        <v>0</v>
      </c>
      <c r="T121" s="49">
        <f>'дод. 3'!T38</f>
        <v>0</v>
      </c>
      <c r="U121" s="49">
        <f>'дод. 3'!U38</f>
        <v>0</v>
      </c>
      <c r="V121" s="62"/>
      <c r="W121" s="49">
        <f t="shared" si="37"/>
        <v>49594.64</v>
      </c>
      <c r="X121" s="164"/>
      <c r="Y121" s="80"/>
    </row>
    <row r="122" spans="1:25" s="15" customFormat="1" ht="42.75">
      <c r="A122" s="18"/>
      <c r="B122" s="45" t="s">
        <v>288</v>
      </c>
      <c r="C122" s="45"/>
      <c r="D122" s="46" t="s">
        <v>289</v>
      </c>
      <c r="E122" s="98">
        <f>E123</f>
        <v>158800</v>
      </c>
      <c r="F122" s="98">
        <f aca="true" t="shared" si="38" ref="F122:W122">F123</f>
        <v>0</v>
      </c>
      <c r="G122" s="98">
        <f t="shared" si="38"/>
        <v>0</v>
      </c>
      <c r="H122" s="98">
        <f t="shared" si="38"/>
        <v>158799.82</v>
      </c>
      <c r="I122" s="98">
        <f t="shared" si="38"/>
        <v>0</v>
      </c>
      <c r="J122" s="98">
        <f>J123</f>
        <v>0</v>
      </c>
      <c r="K122" s="97">
        <f t="shared" si="21"/>
        <v>99.99988664987406</v>
      </c>
      <c r="L122" s="98">
        <f t="shared" si="38"/>
        <v>0</v>
      </c>
      <c r="M122" s="98">
        <f t="shared" si="38"/>
        <v>0</v>
      </c>
      <c r="N122" s="98">
        <f t="shared" si="38"/>
        <v>0</v>
      </c>
      <c r="O122" s="98">
        <f t="shared" si="38"/>
        <v>0</v>
      </c>
      <c r="P122" s="98">
        <f t="shared" si="38"/>
        <v>0</v>
      </c>
      <c r="Q122" s="49">
        <f t="shared" si="36"/>
        <v>0</v>
      </c>
      <c r="R122" s="98">
        <f t="shared" si="38"/>
        <v>0</v>
      </c>
      <c r="S122" s="98">
        <f t="shared" si="38"/>
        <v>0</v>
      </c>
      <c r="T122" s="98">
        <f t="shared" si="38"/>
        <v>0</v>
      </c>
      <c r="U122" s="98">
        <f t="shared" si="38"/>
        <v>0</v>
      </c>
      <c r="V122" s="62"/>
      <c r="W122" s="98">
        <f t="shared" si="38"/>
        <v>158799.82</v>
      </c>
      <c r="X122" s="164"/>
      <c r="Y122" s="80"/>
    </row>
    <row r="123" spans="1:25" s="15" customFormat="1" ht="30">
      <c r="A123" s="18"/>
      <c r="B123" s="22" t="s">
        <v>284</v>
      </c>
      <c r="C123" s="22" t="s">
        <v>199</v>
      </c>
      <c r="D123" s="23" t="s">
        <v>83</v>
      </c>
      <c r="E123" s="49">
        <f>'дод. 3'!E141</f>
        <v>158800</v>
      </c>
      <c r="F123" s="49">
        <f>'дод. 3'!F141</f>
        <v>0</v>
      </c>
      <c r="G123" s="49">
        <f>'дод. 3'!G141</f>
        <v>0</v>
      </c>
      <c r="H123" s="49">
        <f>'дод. 3'!H141</f>
        <v>158799.82</v>
      </c>
      <c r="I123" s="49">
        <f>'дод. 3'!I141</f>
        <v>0</v>
      </c>
      <c r="J123" s="49">
        <f>'дод. 3'!J141</f>
        <v>0</v>
      </c>
      <c r="K123" s="62">
        <f t="shared" si="21"/>
        <v>99.99988664987406</v>
      </c>
      <c r="L123" s="49">
        <f>M123+P123</f>
        <v>0</v>
      </c>
      <c r="M123" s="49">
        <f>'дод. 3'!M141</f>
        <v>0</v>
      </c>
      <c r="N123" s="49">
        <f>'дод. 3'!N141</f>
        <v>0</v>
      </c>
      <c r="O123" s="49">
        <f>'дод. 3'!O141</f>
        <v>0</v>
      </c>
      <c r="P123" s="49">
        <f>'дод. 3'!P141</f>
        <v>0</v>
      </c>
      <c r="Q123" s="49">
        <f t="shared" si="36"/>
        <v>0</v>
      </c>
      <c r="R123" s="49">
        <f>'дод. 3'!R141</f>
        <v>0</v>
      </c>
      <c r="S123" s="49">
        <f>'дод. 3'!S141</f>
        <v>0</v>
      </c>
      <c r="T123" s="49">
        <f>'дод. 3'!T141</f>
        <v>0</v>
      </c>
      <c r="U123" s="49">
        <f>'дод. 3'!U141</f>
        <v>0</v>
      </c>
      <c r="V123" s="62"/>
      <c r="W123" s="49">
        <f t="shared" si="37"/>
        <v>158799.82</v>
      </c>
      <c r="X123" s="164"/>
      <c r="Y123" s="80"/>
    </row>
    <row r="124" spans="1:25" s="15" customFormat="1" ht="42.75">
      <c r="A124" s="18"/>
      <c r="B124" s="45" t="s">
        <v>272</v>
      </c>
      <c r="C124" s="45"/>
      <c r="D124" s="46" t="s">
        <v>273</v>
      </c>
      <c r="E124" s="98">
        <f>E125+E126</f>
        <v>1072510</v>
      </c>
      <c r="F124" s="98">
        <f aca="true" t="shared" si="39" ref="F124:W124">F125+F126</f>
        <v>640600</v>
      </c>
      <c r="G124" s="98">
        <f t="shared" si="39"/>
        <v>50677</v>
      </c>
      <c r="H124" s="98">
        <f t="shared" si="39"/>
        <v>758192.5</v>
      </c>
      <c r="I124" s="98">
        <f t="shared" si="39"/>
        <v>452176.79</v>
      </c>
      <c r="J124" s="98">
        <f>J125+J126</f>
        <v>38635.87</v>
      </c>
      <c r="K124" s="97">
        <f t="shared" si="21"/>
        <v>70.6932802491352</v>
      </c>
      <c r="L124" s="98">
        <f t="shared" si="39"/>
        <v>348574</v>
      </c>
      <c r="M124" s="98">
        <f t="shared" si="39"/>
        <v>4700</v>
      </c>
      <c r="N124" s="98">
        <f t="shared" si="39"/>
        <v>0</v>
      </c>
      <c r="O124" s="98">
        <f t="shared" si="39"/>
        <v>720</v>
      </c>
      <c r="P124" s="98">
        <f t="shared" si="39"/>
        <v>343874</v>
      </c>
      <c r="Q124" s="98">
        <f t="shared" si="39"/>
        <v>10999.53</v>
      </c>
      <c r="R124" s="98">
        <f t="shared" si="39"/>
        <v>10999.53</v>
      </c>
      <c r="S124" s="98">
        <f t="shared" si="39"/>
        <v>0</v>
      </c>
      <c r="T124" s="98">
        <f t="shared" si="39"/>
        <v>0</v>
      </c>
      <c r="U124" s="98">
        <f t="shared" si="39"/>
        <v>0</v>
      </c>
      <c r="V124" s="97">
        <f t="shared" si="17"/>
        <v>3.155579589986631</v>
      </c>
      <c r="W124" s="98">
        <f t="shared" si="39"/>
        <v>769192.03</v>
      </c>
      <c r="X124" s="164"/>
      <c r="Y124" s="80"/>
    </row>
    <row r="125" spans="1:25" s="15" customFormat="1" ht="45">
      <c r="A125" s="18"/>
      <c r="B125" s="22" t="s">
        <v>51</v>
      </c>
      <c r="C125" s="22" t="s">
        <v>189</v>
      </c>
      <c r="D125" s="23" t="s">
        <v>52</v>
      </c>
      <c r="E125" s="49">
        <f>'дод. 3'!E39</f>
        <v>172410</v>
      </c>
      <c r="F125" s="49">
        <f>'дод. 3'!F39</f>
        <v>0</v>
      </c>
      <c r="G125" s="49">
        <f>'дод. 3'!G39</f>
        <v>4300</v>
      </c>
      <c r="H125" s="49">
        <f>'дод. 3'!H39</f>
        <v>115094.21</v>
      </c>
      <c r="I125" s="49">
        <f>'дод. 3'!I39</f>
        <v>0</v>
      </c>
      <c r="J125" s="49">
        <f>'дод. 3'!J39</f>
        <v>3043.3</v>
      </c>
      <c r="K125" s="62">
        <f t="shared" si="21"/>
        <v>66.75611043442956</v>
      </c>
      <c r="L125" s="49">
        <f>M125+P125</f>
        <v>343874</v>
      </c>
      <c r="M125" s="49">
        <f>'дод. 3'!M39</f>
        <v>0</v>
      </c>
      <c r="N125" s="49">
        <f>'дод. 3'!N39</f>
        <v>0</v>
      </c>
      <c r="O125" s="49">
        <f>'дод. 3'!O39</f>
        <v>0</v>
      </c>
      <c r="P125" s="49">
        <f>'дод. 3'!P39</f>
        <v>343874</v>
      </c>
      <c r="Q125" s="49">
        <f>R125+U125</f>
        <v>0</v>
      </c>
      <c r="R125" s="49">
        <f>'дод. 3'!R39</f>
        <v>0</v>
      </c>
      <c r="S125" s="49">
        <f>'дод. 3'!S39</f>
        <v>0</v>
      </c>
      <c r="T125" s="49">
        <f>'дод. 3'!T39</f>
        <v>0</v>
      </c>
      <c r="U125" s="49">
        <f>'дод. 3'!U39</f>
        <v>0</v>
      </c>
      <c r="V125" s="62">
        <f t="shared" si="17"/>
        <v>0</v>
      </c>
      <c r="W125" s="49">
        <f>Q125+H125</f>
        <v>115094.21</v>
      </c>
      <c r="X125" s="164"/>
      <c r="Y125" s="80"/>
    </row>
    <row r="126" spans="1:25" s="15" customFormat="1" ht="15">
      <c r="A126" s="18"/>
      <c r="B126" s="25" t="s">
        <v>53</v>
      </c>
      <c r="C126" s="25" t="s">
        <v>190</v>
      </c>
      <c r="D126" s="23" t="s">
        <v>54</v>
      </c>
      <c r="E126" s="49">
        <f>'дод. 3'!E40</f>
        <v>900100</v>
      </c>
      <c r="F126" s="49">
        <f>'дод. 3'!F40</f>
        <v>640600</v>
      </c>
      <c r="G126" s="49">
        <f>'дод. 3'!G40</f>
        <v>46377</v>
      </c>
      <c r="H126" s="49">
        <f>'дод. 3'!H40</f>
        <v>643098.29</v>
      </c>
      <c r="I126" s="49">
        <f>'дод. 3'!I40</f>
        <v>452176.79</v>
      </c>
      <c r="J126" s="49">
        <f>'дод. 3'!J40</f>
        <v>35592.57</v>
      </c>
      <c r="K126" s="62">
        <f t="shared" si="21"/>
        <v>71.44742695256083</v>
      </c>
      <c r="L126" s="49">
        <f>M126+P126</f>
        <v>4700</v>
      </c>
      <c r="M126" s="49">
        <f>'дод. 3'!M40</f>
        <v>4700</v>
      </c>
      <c r="N126" s="49">
        <f>'дод. 3'!N40</f>
        <v>0</v>
      </c>
      <c r="O126" s="49">
        <f>'дод. 3'!O40</f>
        <v>720</v>
      </c>
      <c r="P126" s="49">
        <f>'дод. 3'!P40</f>
        <v>0</v>
      </c>
      <c r="Q126" s="49">
        <f>R126+U126</f>
        <v>10999.53</v>
      </c>
      <c r="R126" s="49">
        <f>'дод. 3'!R40</f>
        <v>10999.53</v>
      </c>
      <c r="S126" s="49">
        <f>'дод. 3'!S40</f>
        <v>0</v>
      </c>
      <c r="T126" s="49">
        <f>'дод. 3'!T40</f>
        <v>0</v>
      </c>
      <c r="U126" s="49">
        <f>'дод. 3'!U40</f>
        <v>0</v>
      </c>
      <c r="V126" s="62">
        <f t="shared" si="17"/>
        <v>234.0325531914894</v>
      </c>
      <c r="W126" s="49">
        <f>Q126+H126</f>
        <v>654097.8200000001</v>
      </c>
      <c r="X126" s="164"/>
      <c r="Y126" s="80"/>
    </row>
    <row r="127" spans="1:25" s="101" customFormat="1" ht="18" customHeight="1">
      <c r="A127" s="100"/>
      <c r="B127" s="26" t="s">
        <v>309</v>
      </c>
      <c r="C127" s="26"/>
      <c r="D127" s="27" t="s">
        <v>311</v>
      </c>
      <c r="E127" s="98">
        <f>E128</f>
        <v>130883.85</v>
      </c>
      <c r="F127" s="98">
        <f aca="true" t="shared" si="40" ref="F127:W127">F128</f>
        <v>0</v>
      </c>
      <c r="G127" s="98">
        <f t="shared" si="40"/>
        <v>0</v>
      </c>
      <c r="H127" s="98">
        <f t="shared" si="40"/>
        <v>43019.17</v>
      </c>
      <c r="I127" s="98">
        <f t="shared" si="40"/>
        <v>0</v>
      </c>
      <c r="J127" s="98">
        <f>J128</f>
        <v>0</v>
      </c>
      <c r="K127" s="97">
        <f t="shared" si="21"/>
        <v>32.86820337268502</v>
      </c>
      <c r="L127" s="98">
        <f t="shared" si="40"/>
        <v>0</v>
      </c>
      <c r="M127" s="98">
        <f t="shared" si="40"/>
        <v>0</v>
      </c>
      <c r="N127" s="98">
        <f t="shared" si="40"/>
        <v>0</v>
      </c>
      <c r="O127" s="98">
        <f t="shared" si="40"/>
        <v>0</v>
      </c>
      <c r="P127" s="98">
        <f t="shared" si="40"/>
        <v>0</v>
      </c>
      <c r="Q127" s="98">
        <f>Q128</f>
        <v>0</v>
      </c>
      <c r="R127" s="98">
        <f>R128</f>
        <v>0</v>
      </c>
      <c r="S127" s="98">
        <f>S128</f>
        <v>0</v>
      </c>
      <c r="T127" s="98">
        <f t="shared" si="40"/>
        <v>0</v>
      </c>
      <c r="U127" s="98">
        <f t="shared" si="40"/>
        <v>0</v>
      </c>
      <c r="V127" s="62"/>
      <c r="W127" s="98">
        <f t="shared" si="40"/>
        <v>43019.17</v>
      </c>
      <c r="X127" s="164"/>
      <c r="Y127" s="80"/>
    </row>
    <row r="128" spans="1:25" s="15" customFormat="1" ht="20.25" customHeight="1">
      <c r="A128" s="18"/>
      <c r="B128" s="22" t="s">
        <v>309</v>
      </c>
      <c r="C128" s="22" t="s">
        <v>310</v>
      </c>
      <c r="D128" s="23" t="s">
        <v>311</v>
      </c>
      <c r="E128" s="49">
        <f>'дод. 3'!E189</f>
        <v>130883.85</v>
      </c>
      <c r="F128" s="49">
        <f>'дод. 3'!F189</f>
        <v>0</v>
      </c>
      <c r="G128" s="49">
        <f>'дод. 3'!G189</f>
        <v>0</v>
      </c>
      <c r="H128" s="49">
        <f>'дод. 3'!H189</f>
        <v>43019.17</v>
      </c>
      <c r="I128" s="49">
        <f>'дод. 3'!I189</f>
        <v>0</v>
      </c>
      <c r="J128" s="49">
        <f>'дод. 3'!J189</f>
        <v>0</v>
      </c>
      <c r="K128" s="62">
        <f t="shared" si="21"/>
        <v>32.86820337268502</v>
      </c>
      <c r="L128" s="49">
        <f>M128+P128</f>
        <v>0</v>
      </c>
      <c r="M128" s="49">
        <f>'дод. 3'!M189</f>
        <v>0</v>
      </c>
      <c r="N128" s="49">
        <f>'дод. 3'!N189</f>
        <v>0</v>
      </c>
      <c r="O128" s="49">
        <f>'дод. 3'!O189</f>
        <v>0</v>
      </c>
      <c r="P128" s="49">
        <f>'дод. 3'!P189</f>
        <v>0</v>
      </c>
      <c r="Q128" s="49">
        <f>R128+U128</f>
        <v>0</v>
      </c>
      <c r="R128" s="49">
        <f>'дод. 3'!R189</f>
        <v>0</v>
      </c>
      <c r="S128" s="49">
        <f>'дод. 3'!S189</f>
        <v>0</v>
      </c>
      <c r="T128" s="49">
        <f>'дод. 3'!T189</f>
        <v>0</v>
      </c>
      <c r="U128" s="49">
        <f>'дод. 3'!U189</f>
        <v>0</v>
      </c>
      <c r="V128" s="62"/>
      <c r="W128" s="49">
        <f>Q128+H128</f>
        <v>43019.17</v>
      </c>
      <c r="X128" s="164"/>
      <c r="Y128" s="80"/>
    </row>
    <row r="129" spans="1:25" s="15" customFormat="1" ht="21.75" customHeight="1">
      <c r="A129" s="18"/>
      <c r="B129" s="45" t="s">
        <v>274</v>
      </c>
      <c r="C129" s="45"/>
      <c r="D129" s="46" t="s">
        <v>275</v>
      </c>
      <c r="E129" s="98">
        <f aca="true" t="shared" si="41" ref="E129:J129">E130+E131+E132+E133+E134+E135</f>
        <v>0</v>
      </c>
      <c r="F129" s="98">
        <f t="shared" si="41"/>
        <v>0</v>
      </c>
      <c r="G129" s="98">
        <f t="shared" si="41"/>
        <v>0</v>
      </c>
      <c r="H129" s="98">
        <f t="shared" si="41"/>
        <v>0</v>
      </c>
      <c r="I129" s="98">
        <f t="shared" si="41"/>
        <v>0</v>
      </c>
      <c r="J129" s="98">
        <f t="shared" si="41"/>
        <v>0</v>
      </c>
      <c r="K129" s="62"/>
      <c r="L129" s="98">
        <f aca="true" t="shared" si="42" ref="L129:W129">SUM(L130:L135)</f>
        <v>9645384.79</v>
      </c>
      <c r="M129" s="98">
        <f t="shared" si="42"/>
        <v>1983837.47</v>
      </c>
      <c r="N129" s="98">
        <f t="shared" si="42"/>
        <v>0</v>
      </c>
      <c r="O129" s="98">
        <f t="shared" si="42"/>
        <v>0</v>
      </c>
      <c r="P129" s="98">
        <f t="shared" si="42"/>
        <v>7661547.32</v>
      </c>
      <c r="Q129" s="98">
        <f t="shared" si="42"/>
        <v>1227804.86</v>
      </c>
      <c r="R129" s="98">
        <f t="shared" si="42"/>
        <v>443892.25</v>
      </c>
      <c r="S129" s="98">
        <f t="shared" si="42"/>
        <v>0</v>
      </c>
      <c r="T129" s="98">
        <f t="shared" si="42"/>
        <v>0</v>
      </c>
      <c r="U129" s="98">
        <f t="shared" si="42"/>
        <v>783912.61</v>
      </c>
      <c r="V129" s="97">
        <f t="shared" si="17"/>
        <v>12.729454415058129</v>
      </c>
      <c r="W129" s="98">
        <f t="shared" si="42"/>
        <v>1227804.86</v>
      </c>
      <c r="X129" s="164"/>
      <c r="Y129" s="80"/>
    </row>
    <row r="130" spans="1:25" s="15" customFormat="1" ht="38.25" customHeight="1">
      <c r="A130" s="18"/>
      <c r="B130" s="22" t="s">
        <v>168</v>
      </c>
      <c r="C130" s="22" t="s">
        <v>219</v>
      </c>
      <c r="D130" s="23" t="s">
        <v>169</v>
      </c>
      <c r="E130" s="49">
        <f>'дод. 3'!E142+'дод. 3'!E167</f>
        <v>0</v>
      </c>
      <c r="F130" s="49">
        <f>'дод. 3'!F142+'дод. 3'!F167</f>
        <v>0</v>
      </c>
      <c r="G130" s="49">
        <f>'дод. 3'!G142+'дод. 3'!G167</f>
        <v>0</v>
      </c>
      <c r="H130" s="49">
        <f>'дод. 3'!H142+'дод. 3'!H167</f>
        <v>0</v>
      </c>
      <c r="I130" s="49">
        <f>'дод. 3'!I142+'дод. 3'!I167</f>
        <v>0</v>
      </c>
      <c r="J130" s="49">
        <f>'дод. 3'!J142+'дод. 3'!J167</f>
        <v>0</v>
      </c>
      <c r="K130" s="62"/>
      <c r="L130" s="49">
        <f aca="true" t="shared" si="43" ref="L130:L135">M130+P130</f>
        <v>5952082</v>
      </c>
      <c r="M130" s="49">
        <f>'дод. 3'!M142+'дод. 3'!M167</f>
        <v>615344</v>
      </c>
      <c r="N130" s="49">
        <f>'дод. 3'!N142+'дод. 3'!N167</f>
        <v>0</v>
      </c>
      <c r="O130" s="49">
        <f>'дод. 3'!O142+'дод. 3'!O167</f>
        <v>0</v>
      </c>
      <c r="P130" s="49">
        <f>'дод. 3'!P142+'дод. 3'!P167</f>
        <v>5336738</v>
      </c>
      <c r="Q130" s="49">
        <f aca="true" t="shared" si="44" ref="Q130:Q135">R130+U130</f>
        <v>553310.03</v>
      </c>
      <c r="R130" s="49">
        <f>'дод. 3'!R142+'дод. 3'!R167</f>
        <v>175305.36</v>
      </c>
      <c r="S130" s="49">
        <f>'дод. 3'!S142+'дод. 3'!S167</f>
        <v>0</v>
      </c>
      <c r="T130" s="49">
        <f>'дод. 3'!T142+'дод. 3'!T167</f>
        <v>0</v>
      </c>
      <c r="U130" s="49">
        <f>'дод. 3'!U142+'дод. 3'!U167</f>
        <v>378004.67</v>
      </c>
      <c r="V130" s="62">
        <f t="shared" si="17"/>
        <v>9.296075390090392</v>
      </c>
      <c r="W130" s="49">
        <f aca="true" t="shared" si="45" ref="W130:W135">Q130+H130</f>
        <v>553310.03</v>
      </c>
      <c r="X130" s="164"/>
      <c r="Y130" s="80"/>
    </row>
    <row r="131" spans="1:25" s="15" customFormat="1" ht="21.75" customHeight="1">
      <c r="A131" s="18"/>
      <c r="B131" s="22" t="s">
        <v>170</v>
      </c>
      <c r="C131" s="22" t="s">
        <v>220</v>
      </c>
      <c r="D131" s="23" t="s">
        <v>171</v>
      </c>
      <c r="E131" s="49">
        <f>'дод. 3'!E143</f>
        <v>0</v>
      </c>
      <c r="F131" s="49">
        <f>'дод. 3'!F143</f>
        <v>0</v>
      </c>
      <c r="G131" s="49">
        <f>'дод. 3'!G143</f>
        <v>0</v>
      </c>
      <c r="H131" s="49">
        <f>'дод. 3'!H143</f>
        <v>0</v>
      </c>
      <c r="I131" s="49">
        <f>'дод. 3'!I143</f>
        <v>0</v>
      </c>
      <c r="J131" s="49">
        <f>'дод. 3'!J143</f>
        <v>0</v>
      </c>
      <c r="K131" s="62"/>
      <c r="L131" s="49">
        <f t="shared" si="43"/>
        <v>250000</v>
      </c>
      <c r="M131" s="49">
        <f>'дод. 3'!M143</f>
        <v>250000</v>
      </c>
      <c r="N131" s="49">
        <f>'дод. 3'!N143</f>
        <v>0</v>
      </c>
      <c r="O131" s="49">
        <f>'дод. 3'!O143</f>
        <v>0</v>
      </c>
      <c r="P131" s="49">
        <f>'дод. 3'!P143</f>
        <v>0</v>
      </c>
      <c r="Q131" s="49">
        <f t="shared" si="44"/>
        <v>121201.6</v>
      </c>
      <c r="R131" s="49">
        <f>'дод. 3'!R143</f>
        <v>121201.6</v>
      </c>
      <c r="S131" s="49">
        <f>'дод. 3'!S143</f>
        <v>0</v>
      </c>
      <c r="T131" s="49">
        <f>'дод. 3'!T143</f>
        <v>0</v>
      </c>
      <c r="U131" s="49">
        <f>'дод. 3'!U143</f>
        <v>0</v>
      </c>
      <c r="V131" s="62">
        <f t="shared" si="17"/>
        <v>48.48064</v>
      </c>
      <c r="W131" s="49">
        <f t="shared" si="45"/>
        <v>121201.6</v>
      </c>
      <c r="X131" s="164"/>
      <c r="Y131" s="80"/>
    </row>
    <row r="132" spans="1:25" s="15" customFormat="1" ht="33.75" customHeight="1">
      <c r="A132" s="18"/>
      <c r="B132" s="22" t="s">
        <v>331</v>
      </c>
      <c r="C132" s="22" t="s">
        <v>332</v>
      </c>
      <c r="D132" s="23" t="s">
        <v>333</v>
      </c>
      <c r="E132" s="49">
        <f>'дод. 3'!E168</f>
        <v>0</v>
      </c>
      <c r="F132" s="49">
        <f>'дод. 3'!F168</f>
        <v>0</v>
      </c>
      <c r="G132" s="49">
        <f>'дод. 3'!G168</f>
        <v>0</v>
      </c>
      <c r="H132" s="49">
        <f>'дод. 3'!H168</f>
        <v>0</v>
      </c>
      <c r="I132" s="49">
        <f>'дод. 3'!I168</f>
        <v>0</v>
      </c>
      <c r="J132" s="49">
        <f>'дод. 3'!J168</f>
        <v>0</v>
      </c>
      <c r="K132" s="62"/>
      <c r="L132" s="49">
        <f t="shared" si="43"/>
        <v>1340330</v>
      </c>
      <c r="M132" s="49">
        <f>'дод. 3'!M168</f>
        <v>0</v>
      </c>
      <c r="N132" s="49">
        <f>'дод. 3'!N168</f>
        <v>0</v>
      </c>
      <c r="O132" s="49">
        <f>'дод. 3'!O168</f>
        <v>0</v>
      </c>
      <c r="P132" s="49">
        <f>'дод. 3'!P168</f>
        <v>1340330</v>
      </c>
      <c r="Q132" s="49">
        <f t="shared" si="44"/>
        <v>0</v>
      </c>
      <c r="R132" s="49">
        <f>'дод. 3'!R168</f>
        <v>0</v>
      </c>
      <c r="S132" s="49">
        <f>'дод. 3'!S168</f>
        <v>0</v>
      </c>
      <c r="T132" s="49">
        <f>'дод. 3'!T168</f>
        <v>0</v>
      </c>
      <c r="U132" s="49">
        <f>'дод. 3'!U168</f>
        <v>0</v>
      </c>
      <c r="V132" s="62">
        <f t="shared" si="17"/>
        <v>0</v>
      </c>
      <c r="W132" s="49">
        <f t="shared" si="45"/>
        <v>0</v>
      </c>
      <c r="X132" s="164"/>
      <c r="Y132" s="80"/>
    </row>
    <row r="133" spans="1:25" s="15" customFormat="1" ht="38.25" customHeight="1">
      <c r="A133" s="18"/>
      <c r="B133" s="22" t="s">
        <v>55</v>
      </c>
      <c r="C133" s="22" t="s">
        <v>191</v>
      </c>
      <c r="D133" s="23" t="s">
        <v>56</v>
      </c>
      <c r="E133" s="49">
        <f>'дод. 3'!E41+'дод. 3'!E61+'дод. 3'!E190</f>
        <v>0</v>
      </c>
      <c r="F133" s="49">
        <f>'дод. 3'!F41+'дод. 3'!F61+'дод. 3'!F190</f>
        <v>0</v>
      </c>
      <c r="G133" s="49">
        <f>'дод. 3'!G41+'дод. 3'!G61+'дод. 3'!G190</f>
        <v>0</v>
      </c>
      <c r="H133" s="49">
        <f>'дод. 3'!H41+'дод. 3'!H61+'дод. 3'!H190</f>
        <v>0</v>
      </c>
      <c r="I133" s="49">
        <f>'дод. 3'!I41+'дод. 3'!I61+'дод. 3'!I190</f>
        <v>0</v>
      </c>
      <c r="J133" s="49">
        <f>'дод. 3'!J41+'дод. 3'!J61+'дод. 3'!J190</f>
        <v>0</v>
      </c>
      <c r="K133" s="62"/>
      <c r="L133" s="49">
        <f t="shared" si="43"/>
        <v>118600</v>
      </c>
      <c r="M133" s="49">
        <f>'дод. 3'!M41+'дод. 3'!M61+'дод. 3'!M190</f>
        <v>91150</v>
      </c>
      <c r="N133" s="49">
        <f>'дод. 3'!N41+'дод. 3'!N61+'дод. 3'!N190</f>
        <v>0</v>
      </c>
      <c r="O133" s="49">
        <f>'дод. 3'!O41+'дод. 3'!O61+'дод. 3'!O190</f>
        <v>0</v>
      </c>
      <c r="P133" s="49">
        <f>'дод. 3'!P41+'дод. 3'!P61+'дод. 3'!P190</f>
        <v>27450</v>
      </c>
      <c r="Q133" s="49">
        <f t="shared" si="44"/>
        <v>33030</v>
      </c>
      <c r="R133" s="49">
        <f>'дод. 3'!R41+'дод. 3'!R61+'дод. 3'!R190</f>
        <v>33030</v>
      </c>
      <c r="S133" s="49">
        <f>'дод. 3'!S41+'дод. 3'!S61+'дод. 3'!S190</f>
        <v>0</v>
      </c>
      <c r="T133" s="49">
        <f>'дод. 3'!T41+'дод. 3'!T61+'дод. 3'!T190</f>
        <v>0</v>
      </c>
      <c r="U133" s="49">
        <f>'дод. 3'!U41+'дод. 3'!U61+'дод. 3'!U190</f>
        <v>0</v>
      </c>
      <c r="V133" s="62">
        <f t="shared" si="17"/>
        <v>27.849915682967957</v>
      </c>
      <c r="W133" s="49">
        <f t="shared" si="45"/>
        <v>33030</v>
      </c>
      <c r="X133" s="164"/>
      <c r="Y133" s="80"/>
    </row>
    <row r="134" spans="1:25" s="15" customFormat="1" ht="30">
      <c r="A134" s="18"/>
      <c r="B134" s="22" t="s">
        <v>82</v>
      </c>
      <c r="C134" s="22" t="s">
        <v>199</v>
      </c>
      <c r="D134" s="23" t="s">
        <v>83</v>
      </c>
      <c r="E134" s="49">
        <f>'дод. 3'!E62+'дод. 3'!E144+'дод. 3'!E169</f>
        <v>0</v>
      </c>
      <c r="F134" s="49">
        <f>'дод. 3'!F62+'дод. 3'!F144+'дод. 3'!F169</f>
        <v>0</v>
      </c>
      <c r="G134" s="49">
        <f>'дод. 3'!G62+'дод. 3'!G144+'дод. 3'!G169</f>
        <v>0</v>
      </c>
      <c r="H134" s="49">
        <f>'дод. 3'!H62+'дод. 3'!H144+'дод. 3'!H169</f>
        <v>0</v>
      </c>
      <c r="I134" s="49">
        <f>'дод. 3'!I62+'дод. 3'!I144+'дод. 3'!I169</f>
        <v>0</v>
      </c>
      <c r="J134" s="49">
        <f>'дод. 3'!J62+'дод. 3'!J144+'дод. 3'!J169</f>
        <v>0</v>
      </c>
      <c r="K134" s="62"/>
      <c r="L134" s="49">
        <f t="shared" si="43"/>
        <v>901200</v>
      </c>
      <c r="M134" s="49">
        <f>'дод. 3'!M62+'дод. 3'!M144+'дод. 3'!M169</f>
        <v>416400</v>
      </c>
      <c r="N134" s="49">
        <f>'дод. 3'!N62+'дод. 3'!N144+'дод. 3'!N169</f>
        <v>0</v>
      </c>
      <c r="O134" s="49">
        <f>'дод. 3'!O62+'дод. 3'!O144+'дод. 3'!O169</f>
        <v>0</v>
      </c>
      <c r="P134" s="49">
        <f>'дод. 3'!P62+'дод. 3'!P144+'дод. 3'!P169</f>
        <v>484800</v>
      </c>
      <c r="Q134" s="49">
        <f t="shared" si="44"/>
        <v>405907.94</v>
      </c>
      <c r="R134" s="49">
        <f>'дод. 3'!R62+'дод. 3'!R144+'дод. 3'!R169</f>
        <v>0</v>
      </c>
      <c r="S134" s="49">
        <f>'дод. 3'!S62+'дод. 3'!S144+'дод. 3'!S169</f>
        <v>0</v>
      </c>
      <c r="T134" s="49">
        <f>'дод. 3'!T62+'дод. 3'!T144+'дод. 3'!T169</f>
        <v>0</v>
      </c>
      <c r="U134" s="49">
        <f>'дод. 3'!U62+'дод. 3'!U144+'дод. 3'!U169</f>
        <v>405907.94</v>
      </c>
      <c r="V134" s="62">
        <f t="shared" si="17"/>
        <v>45.040827785175324</v>
      </c>
      <c r="W134" s="49">
        <f t="shared" si="45"/>
        <v>405907.94</v>
      </c>
      <c r="X134" s="164"/>
      <c r="Y134" s="80"/>
    </row>
    <row r="135" spans="1:25" s="15" customFormat="1" ht="60">
      <c r="A135" s="18"/>
      <c r="B135" s="22" t="s">
        <v>57</v>
      </c>
      <c r="C135" s="22" t="s">
        <v>192</v>
      </c>
      <c r="D135" s="23" t="s">
        <v>58</v>
      </c>
      <c r="E135" s="49">
        <f>'дод. 3'!E42+'дод. 3'!E145+'дод. 3'!E175+'дод. 3'!E180</f>
        <v>0</v>
      </c>
      <c r="F135" s="49">
        <f>'дод. 3'!F42+'дод. 3'!F145+'дод. 3'!F175+'дод. 3'!F180</f>
        <v>0</v>
      </c>
      <c r="G135" s="49">
        <f>'дод. 3'!G42+'дод. 3'!G145+'дод. 3'!G175+'дод. 3'!G180</f>
        <v>0</v>
      </c>
      <c r="H135" s="49">
        <f>'дод. 3'!H42+'дод. 3'!H145+'дод. 3'!H175+'дод. 3'!H180</f>
        <v>0</v>
      </c>
      <c r="I135" s="49">
        <f>'дод. 3'!I42+'дод. 3'!I145+'дод. 3'!I175+'дод. 3'!I180</f>
        <v>0</v>
      </c>
      <c r="J135" s="49">
        <f>'дод. 3'!J42+'дод. 3'!J145+'дод. 3'!J175+'дод. 3'!J180</f>
        <v>0</v>
      </c>
      <c r="K135" s="62"/>
      <c r="L135" s="49">
        <f t="shared" si="43"/>
        <v>1083172.79</v>
      </c>
      <c r="M135" s="49">
        <f>'дод. 3'!M42+'дод. 3'!M145+'дод. 3'!M175+'дод. 3'!M180</f>
        <v>610943.47</v>
      </c>
      <c r="N135" s="49">
        <f>'дод. 3'!N42+'дод. 3'!N145+'дод. 3'!N175+'дод. 3'!N180</f>
        <v>0</v>
      </c>
      <c r="O135" s="49">
        <f>'дод. 3'!O42+'дод. 3'!O145+'дод. 3'!O175+'дод. 3'!O180</f>
        <v>0</v>
      </c>
      <c r="P135" s="49">
        <f>'дод. 3'!P42+'дод. 3'!P145+'дод. 3'!P175+'дод. 3'!P180</f>
        <v>472229.32</v>
      </c>
      <c r="Q135" s="49">
        <f t="shared" si="44"/>
        <v>114355.29000000001</v>
      </c>
      <c r="R135" s="49">
        <f>'дод. 3'!R42+'дод. 3'!R145+'дод. 3'!R175+'дод. 3'!R180</f>
        <v>114355.29000000001</v>
      </c>
      <c r="S135" s="49">
        <f>'дод. 3'!S42+'дод. 3'!S145+'дод. 3'!S175+'дод. 3'!S180</f>
        <v>0</v>
      </c>
      <c r="T135" s="49">
        <f>'дод. 3'!T42+'дод. 3'!T145+'дод. 3'!T175+'дод. 3'!T180</f>
        <v>0</v>
      </c>
      <c r="U135" s="49">
        <f>'дод. 3'!U42+'дод. 3'!U145+'дод. 3'!U175+'дод. 3'!U180</f>
        <v>0</v>
      </c>
      <c r="V135" s="62">
        <f t="shared" si="17"/>
        <v>10.557437470341183</v>
      </c>
      <c r="W135" s="49">
        <f t="shared" si="45"/>
        <v>114355.29000000001</v>
      </c>
      <c r="X135" s="164"/>
      <c r="Y135" s="80"/>
    </row>
    <row r="136" spans="1:25" s="15" customFormat="1" ht="28.5">
      <c r="A136" s="18"/>
      <c r="B136" s="45" t="s">
        <v>276</v>
      </c>
      <c r="C136" s="45"/>
      <c r="D136" s="46" t="s">
        <v>277</v>
      </c>
      <c r="E136" s="98">
        <f>SUM(E137:E139)</f>
        <v>14429660.15</v>
      </c>
      <c r="F136" s="98">
        <f aca="true" t="shared" si="46" ref="F136:W136">SUM(F137:F139)</f>
        <v>0</v>
      </c>
      <c r="G136" s="98">
        <f t="shared" si="46"/>
        <v>268820</v>
      </c>
      <c r="H136" s="98">
        <f t="shared" si="46"/>
        <v>2403374.360000001</v>
      </c>
      <c r="I136" s="98">
        <f t="shared" si="46"/>
        <v>0</v>
      </c>
      <c r="J136" s="98">
        <f t="shared" si="46"/>
        <v>146149.96</v>
      </c>
      <c r="K136" s="97">
        <f>H136/E136*100</f>
        <v>16.655793241256625</v>
      </c>
      <c r="L136" s="98">
        <f t="shared" si="46"/>
        <v>150027.53</v>
      </c>
      <c r="M136" s="98">
        <f t="shared" si="46"/>
        <v>36027.53</v>
      </c>
      <c r="N136" s="98">
        <f t="shared" si="46"/>
        <v>0</v>
      </c>
      <c r="O136" s="98">
        <f t="shared" si="46"/>
        <v>0</v>
      </c>
      <c r="P136" s="98">
        <f t="shared" si="46"/>
        <v>114000</v>
      </c>
      <c r="Q136" s="98">
        <f t="shared" si="46"/>
        <v>16016.84</v>
      </c>
      <c r="R136" s="98">
        <f t="shared" si="46"/>
        <v>16016.84</v>
      </c>
      <c r="S136" s="98">
        <f t="shared" si="46"/>
        <v>0</v>
      </c>
      <c r="T136" s="98">
        <f t="shared" si="46"/>
        <v>0</v>
      </c>
      <c r="U136" s="98">
        <f t="shared" si="46"/>
        <v>0</v>
      </c>
      <c r="V136" s="62">
        <f t="shared" si="17"/>
        <v>10.67593394359022</v>
      </c>
      <c r="W136" s="98">
        <f t="shared" si="46"/>
        <v>2419391.2000000007</v>
      </c>
      <c r="X136" s="164"/>
      <c r="Y136" s="80"/>
    </row>
    <row r="137" spans="1:25" s="15" customFormat="1" ht="15">
      <c r="A137" s="18"/>
      <c r="B137" s="22" t="s">
        <v>176</v>
      </c>
      <c r="C137" s="22" t="s">
        <v>192</v>
      </c>
      <c r="D137" s="23" t="s">
        <v>177</v>
      </c>
      <c r="E137" s="49">
        <f>'дод. 3'!E192</f>
        <v>9068234.15</v>
      </c>
      <c r="F137" s="49">
        <f>'дод. 3'!F192</f>
        <v>0</v>
      </c>
      <c r="G137" s="49">
        <f>'дод. 3'!G192</f>
        <v>0</v>
      </c>
      <c r="H137" s="49">
        <f>'дод. 3'!H192</f>
        <v>0</v>
      </c>
      <c r="I137" s="49">
        <f>'дод. 3'!I192</f>
        <v>0</v>
      </c>
      <c r="J137" s="49">
        <f>'дод. 3'!J192</f>
        <v>0</v>
      </c>
      <c r="K137" s="62">
        <f>H137/E137*100</f>
        <v>0</v>
      </c>
      <c r="L137" s="49">
        <f>M137+P137</f>
        <v>0</v>
      </c>
      <c r="M137" s="49">
        <f>'дод. 3'!M192</f>
        <v>0</v>
      </c>
      <c r="N137" s="49">
        <f>'дод. 3'!N192</f>
        <v>0</v>
      </c>
      <c r="O137" s="49">
        <f>'дод. 3'!O192</f>
        <v>0</v>
      </c>
      <c r="P137" s="49">
        <f>'дод. 3'!P192</f>
        <v>0</v>
      </c>
      <c r="Q137" s="49">
        <f>R137+U137</f>
        <v>0</v>
      </c>
      <c r="R137" s="49">
        <f>'дод. 3'!R192</f>
        <v>0</v>
      </c>
      <c r="S137" s="49">
        <f>'дод. 3'!S192</f>
        <v>0</v>
      </c>
      <c r="T137" s="49">
        <f>'дод. 3'!T192</f>
        <v>0</v>
      </c>
      <c r="U137" s="49">
        <f>'дод. 3'!U192</f>
        <v>0</v>
      </c>
      <c r="V137" s="62"/>
      <c r="W137" s="49">
        <f>Q137+H137</f>
        <v>0</v>
      </c>
      <c r="X137" s="164"/>
      <c r="Y137" s="80"/>
    </row>
    <row r="138" spans="1:25" s="15" customFormat="1" ht="15">
      <c r="A138" s="18"/>
      <c r="B138" s="22" t="s">
        <v>59</v>
      </c>
      <c r="C138" s="22" t="s">
        <v>192</v>
      </c>
      <c r="D138" s="23" t="s">
        <v>25</v>
      </c>
      <c r="E138" s="49">
        <f>'дод. 3'!E44+'дод. 3'!E147+'дод. 3'!E151+'дод. 3'!E170+'дод. 3'!E176+'дод. 3'!E186+'дод. 3'!E155+'дод. 3'!E181</f>
        <v>5276521</v>
      </c>
      <c r="F138" s="49">
        <f>'дод. 3'!F44+'дод. 3'!F147+'дод. 3'!F151+'дод. 3'!F170+'дод. 3'!F176+'дод. 3'!F186+'дод. 3'!F155+'дод. 3'!F181</f>
        <v>0</v>
      </c>
      <c r="G138" s="49">
        <f>'дод. 3'!G44+'дод. 3'!G147+'дод. 3'!G151+'дод. 3'!G170+'дод. 3'!G176+'дод. 3'!G186+'дод. 3'!G155+'дод. 3'!G181</f>
        <v>268820</v>
      </c>
      <c r="H138" s="49">
        <f>'дод. 3'!H44+'дод. 3'!H147+'дод. 3'!H151+'дод. 3'!H170+'дод. 3'!H176+'дод. 3'!H186+'дод. 3'!H155+'дод. 3'!H181</f>
        <v>2352746.1400000006</v>
      </c>
      <c r="I138" s="49">
        <f>'дод. 3'!I44+'дод. 3'!I147+'дод. 3'!I151+'дод. 3'!I170+'дод. 3'!I176+'дод. 3'!I186+'дод. 3'!I155+'дод. 3'!I181</f>
        <v>0</v>
      </c>
      <c r="J138" s="49">
        <f>'дод. 3'!J44+'дод. 3'!J147+'дод. 3'!J151+'дод. 3'!J170+'дод. 3'!J176+'дод. 3'!J186+'дод. 3'!J155+'дод. 3'!J181</f>
        <v>146149.96</v>
      </c>
      <c r="K138" s="62">
        <f>H138/E138*100</f>
        <v>44.58896572192171</v>
      </c>
      <c r="L138" s="49">
        <f>M138+P138</f>
        <v>114000</v>
      </c>
      <c r="M138" s="49">
        <f>'дод. 3'!M44+'дод. 3'!M147+'дод. 3'!M151+'дод. 3'!M170+'дод. 3'!M176+'дод. 3'!M186+'дод. 3'!M155+'дод. 3'!M181</f>
        <v>0</v>
      </c>
      <c r="N138" s="49">
        <f>'дод. 3'!N44+'дод. 3'!N147+'дод. 3'!N151+'дод. 3'!N170+'дод. 3'!N176+'дод. 3'!N186+'дод. 3'!N155+'дод. 3'!N181</f>
        <v>0</v>
      </c>
      <c r="O138" s="49">
        <f>'дод. 3'!O44+'дод. 3'!O147+'дод. 3'!O151+'дод. 3'!O170+'дод. 3'!O176+'дод. 3'!O186+'дод. 3'!O155+'дод. 3'!O181</f>
        <v>0</v>
      </c>
      <c r="P138" s="49">
        <f>'дод. 3'!P44+'дод. 3'!P147+'дод. 3'!P151+'дод. 3'!P170+'дод. 3'!P176+'дод. 3'!P186+'дод. 3'!P155+'дод. 3'!P181</f>
        <v>114000</v>
      </c>
      <c r="Q138" s="49">
        <f>R138+U138</f>
        <v>0</v>
      </c>
      <c r="R138" s="49">
        <f>'дод. 3'!R44+'дод. 3'!R147+'дод. 3'!R151+'дод. 3'!R170+'дод. 3'!R176+'дод. 3'!R186+'дод. 3'!R155+'дод. 3'!R181</f>
        <v>0</v>
      </c>
      <c r="S138" s="49">
        <f>'дод. 3'!S44+'дод. 3'!S147+'дод. 3'!S151+'дод. 3'!S170+'дод. 3'!S176+'дод. 3'!S186+'дод. 3'!S155+'дод. 3'!S181</f>
        <v>0</v>
      </c>
      <c r="T138" s="49">
        <f>'дод. 3'!T44+'дод. 3'!T147+'дод. 3'!T151+'дод. 3'!T170+'дод. 3'!T176+'дод. 3'!T186+'дод. 3'!T155+'дод. 3'!T181</f>
        <v>0</v>
      </c>
      <c r="U138" s="49">
        <f>'дод. 3'!U44+'дод. 3'!U147+'дод. 3'!U151+'дод. 3'!U170+'дод. 3'!U176+'дод. 3'!U186+'дод. 3'!U155+'дод. 3'!U181</f>
        <v>0</v>
      </c>
      <c r="V138" s="62">
        <f t="shared" si="17"/>
        <v>0</v>
      </c>
      <c r="W138" s="49">
        <f>Q138+H138</f>
        <v>2352746.1400000006</v>
      </c>
      <c r="X138" s="159"/>
      <c r="Y138" s="80"/>
    </row>
    <row r="139" spans="1:25" s="15" customFormat="1" ht="75">
      <c r="A139" s="18"/>
      <c r="B139" s="25" t="s">
        <v>174</v>
      </c>
      <c r="C139" s="25" t="s">
        <v>208</v>
      </c>
      <c r="D139" s="23" t="s">
        <v>175</v>
      </c>
      <c r="E139" s="49">
        <f>'дод. 3'!E171</f>
        <v>84905</v>
      </c>
      <c r="F139" s="49">
        <f>'дод. 3'!F171</f>
        <v>0</v>
      </c>
      <c r="G139" s="49">
        <f>'дод. 3'!G171</f>
        <v>0</v>
      </c>
      <c r="H139" s="49">
        <f>'дод. 3'!H171</f>
        <v>50628.22</v>
      </c>
      <c r="I139" s="49">
        <f>'дод. 3'!I171</f>
        <v>0</v>
      </c>
      <c r="J139" s="49">
        <f>'дод. 3'!J171</f>
        <v>0</v>
      </c>
      <c r="K139" s="62">
        <f>H139/E139*100</f>
        <v>59.62925622754843</v>
      </c>
      <c r="L139" s="49">
        <f>M139+P139</f>
        <v>36027.53</v>
      </c>
      <c r="M139" s="49">
        <f>'дод. 3'!M171</f>
        <v>36027.53</v>
      </c>
      <c r="N139" s="49">
        <f>'дод. 3'!N171</f>
        <v>0</v>
      </c>
      <c r="O139" s="49">
        <f>'дод. 3'!O171</f>
        <v>0</v>
      </c>
      <c r="P139" s="49">
        <f>'дод. 3'!P171</f>
        <v>0</v>
      </c>
      <c r="Q139" s="49">
        <f>R139+U139</f>
        <v>16016.84</v>
      </c>
      <c r="R139" s="49">
        <f>'дод. 3'!R171</f>
        <v>16016.84</v>
      </c>
      <c r="S139" s="49">
        <f>'дод. 3'!S171</f>
        <v>0</v>
      </c>
      <c r="T139" s="49">
        <f>'дод. 3'!T171</f>
        <v>0</v>
      </c>
      <c r="U139" s="49">
        <f>'дод. 3'!U171</f>
        <v>0</v>
      </c>
      <c r="V139" s="62">
        <f t="shared" si="17"/>
        <v>44.45722479448355</v>
      </c>
      <c r="W139" s="49">
        <f>Q139+H139</f>
        <v>66645.06</v>
      </c>
      <c r="X139" s="159"/>
      <c r="Y139" s="80"/>
    </row>
    <row r="140" spans="1:25" s="15" customFormat="1" ht="15">
      <c r="A140" s="18"/>
      <c r="B140" s="28"/>
      <c r="C140" s="28"/>
      <c r="D140" s="48" t="s">
        <v>2</v>
      </c>
      <c r="E140" s="98">
        <f>E12+E14+E28+E37+E82+E90+E95+E97+E104+E108+E110+E117+E122+E124+E127+E129+E136</f>
        <v>1618315286.7400002</v>
      </c>
      <c r="F140" s="98">
        <f>F12+F14+F28+F37+F82+F90+F95+F97+F104+F108+F110+F117+F122+F124+F127+F129+F136</f>
        <v>456219649.86</v>
      </c>
      <c r="G140" s="98">
        <f>G12+G14+G28+G37+G82+G90+G95+G97+G104+G108+G110+G117+G122+G124+G127+G129+G136</f>
        <v>92371235.79</v>
      </c>
      <c r="H140" s="98">
        <f>H12+H14+H28+H37+H82+H90+H95+H97+H104+H108+H110+H117+H122+H124+H127+H129+H136</f>
        <v>1121241712.6799998</v>
      </c>
      <c r="I140" s="98">
        <f>I12+I14+I28+I37+I82+I90+I95+I97+I104+I108+I110+I117+I122+I124+I127+I129+I136</f>
        <v>336871965.97</v>
      </c>
      <c r="J140" s="98">
        <f>J12+J14+J28+J37+J82+J90+J97+J124+J136</f>
        <v>57429290.419999994</v>
      </c>
      <c r="K140" s="97">
        <f t="shared" si="21"/>
        <v>69.28450357400222</v>
      </c>
      <c r="L140" s="98">
        <f aca="true" t="shared" si="47" ref="L140:U140">L12+L14+L28+L37+L82+L90+L95+L97+L104+L108+L110+L117+L122+L124+L127+L129+L136</f>
        <v>524649626.05</v>
      </c>
      <c r="M140" s="98">
        <f t="shared" si="47"/>
        <v>53996894</v>
      </c>
      <c r="N140" s="98">
        <f t="shared" si="47"/>
        <v>11409440</v>
      </c>
      <c r="O140" s="98">
        <f t="shared" si="47"/>
        <v>2168292</v>
      </c>
      <c r="P140" s="98">
        <f t="shared" si="47"/>
        <v>470652732.05</v>
      </c>
      <c r="Q140" s="98">
        <f t="shared" si="47"/>
        <v>252697956.5</v>
      </c>
      <c r="R140" s="98">
        <f t="shared" si="47"/>
        <v>34339092.28000001</v>
      </c>
      <c r="S140" s="98">
        <f t="shared" si="47"/>
        <v>7870377</v>
      </c>
      <c r="T140" s="98">
        <f t="shared" si="47"/>
        <v>1229122.76</v>
      </c>
      <c r="U140" s="98">
        <f t="shared" si="47"/>
        <v>218358864.22</v>
      </c>
      <c r="V140" s="97">
        <f>Q140/L140*100</f>
        <v>48.16508846151687</v>
      </c>
      <c r="W140" s="98">
        <f>W12+W14+W28+W37+W82+W90+W95+W97+W104+W108+W110+W117+W122+W124+W127+W129+W136</f>
        <v>1373939669.1799998</v>
      </c>
      <c r="X140" s="159"/>
      <c r="Y140" s="80"/>
    </row>
    <row r="141" spans="1:25" s="15" customFormat="1" ht="15">
      <c r="A141" s="18"/>
      <c r="B141" s="28"/>
      <c r="C141" s="28"/>
      <c r="D141" s="48" t="s">
        <v>278</v>
      </c>
      <c r="E141" s="98">
        <f>SUM(E142:E145)</f>
        <v>59633083</v>
      </c>
      <c r="F141" s="98">
        <f aca="true" t="shared" si="48" ref="F141:W141">SUM(F142:F145)</f>
        <v>0</v>
      </c>
      <c r="G141" s="98">
        <f t="shared" si="48"/>
        <v>0</v>
      </c>
      <c r="H141" s="98">
        <f t="shared" si="48"/>
        <v>44319004</v>
      </c>
      <c r="I141" s="98">
        <f t="shared" si="48"/>
        <v>0</v>
      </c>
      <c r="J141" s="98">
        <f t="shared" si="48"/>
        <v>0</v>
      </c>
      <c r="K141" s="62">
        <f t="shared" si="21"/>
        <v>74.31949141385161</v>
      </c>
      <c r="L141" s="98">
        <f t="shared" si="48"/>
        <v>2068830</v>
      </c>
      <c r="M141" s="98">
        <f t="shared" si="48"/>
        <v>0</v>
      </c>
      <c r="N141" s="98">
        <f t="shared" si="48"/>
        <v>0</v>
      </c>
      <c r="O141" s="98">
        <f t="shared" si="48"/>
        <v>0</v>
      </c>
      <c r="P141" s="98">
        <f t="shared" si="48"/>
        <v>2068830</v>
      </c>
      <c r="Q141" s="98">
        <f t="shared" si="48"/>
        <v>1469330</v>
      </c>
      <c r="R141" s="98">
        <f t="shared" si="48"/>
        <v>0</v>
      </c>
      <c r="S141" s="98">
        <f t="shared" si="48"/>
        <v>0</v>
      </c>
      <c r="T141" s="98">
        <f t="shared" si="48"/>
        <v>0</v>
      </c>
      <c r="U141" s="98">
        <f t="shared" si="48"/>
        <v>1469330</v>
      </c>
      <c r="V141" s="97">
        <f t="shared" si="17"/>
        <v>71.02226862526162</v>
      </c>
      <c r="W141" s="98">
        <f t="shared" si="48"/>
        <v>45788334</v>
      </c>
      <c r="X141" s="159"/>
      <c r="Y141" s="80"/>
    </row>
    <row r="142" spans="1:25" s="15" customFormat="1" ht="15">
      <c r="A142" s="18"/>
      <c r="B142" s="22" t="s">
        <v>227</v>
      </c>
      <c r="C142" s="22" t="s">
        <v>224</v>
      </c>
      <c r="D142" s="23" t="s">
        <v>228</v>
      </c>
      <c r="E142" s="49">
        <f>'дод. 3'!E193</f>
        <v>56401300</v>
      </c>
      <c r="F142" s="49">
        <f>'дод. 3'!F193</f>
        <v>0</v>
      </c>
      <c r="G142" s="49">
        <f>'дод. 3'!G193</f>
        <v>0</v>
      </c>
      <c r="H142" s="49">
        <f>'дод. 3'!H193</f>
        <v>42301000</v>
      </c>
      <c r="I142" s="49">
        <f>'дод. 3'!I193</f>
        <v>0</v>
      </c>
      <c r="J142" s="49">
        <f>'дод. 3'!J193</f>
        <v>0</v>
      </c>
      <c r="K142" s="62">
        <f t="shared" si="21"/>
        <v>75.00004432521945</v>
      </c>
      <c r="L142" s="49">
        <f>M142+P142</f>
        <v>0</v>
      </c>
      <c r="M142" s="49">
        <f>'дод. 3'!M193</f>
        <v>0</v>
      </c>
      <c r="N142" s="49">
        <f>'дод. 3'!N193</f>
        <v>0</v>
      </c>
      <c r="O142" s="49">
        <f>'дод. 3'!O193</f>
        <v>0</v>
      </c>
      <c r="P142" s="49">
        <f>'дод. 3'!P193</f>
        <v>0</v>
      </c>
      <c r="Q142" s="49">
        <f>R142+U142</f>
        <v>0</v>
      </c>
      <c r="R142" s="49">
        <f>'дод. 3'!R193</f>
        <v>0</v>
      </c>
      <c r="S142" s="49">
        <f>'дод. 3'!S193</f>
        <v>0</v>
      </c>
      <c r="T142" s="49">
        <f>'дод. 3'!T193</f>
        <v>0</v>
      </c>
      <c r="U142" s="49">
        <f>'дод. 3'!U193</f>
        <v>0</v>
      </c>
      <c r="V142" s="62"/>
      <c r="W142" s="49">
        <f>Q142+H142</f>
        <v>42301000</v>
      </c>
      <c r="X142" s="159"/>
      <c r="Y142" s="80"/>
    </row>
    <row r="143" spans="1:25" s="15" customFormat="1" ht="15">
      <c r="A143" s="18"/>
      <c r="B143" s="22" t="s">
        <v>229</v>
      </c>
      <c r="C143" s="22" t="s">
        <v>224</v>
      </c>
      <c r="D143" s="23" t="s">
        <v>235</v>
      </c>
      <c r="E143" s="49">
        <f>'дод. 3'!E194</f>
        <v>141957</v>
      </c>
      <c r="F143" s="49">
        <f>'дод. 3'!F194</f>
        <v>0</v>
      </c>
      <c r="G143" s="49">
        <f>'дод. 3'!G194</f>
        <v>0</v>
      </c>
      <c r="H143" s="49">
        <f>'дод. 3'!H194</f>
        <v>64174</v>
      </c>
      <c r="I143" s="49">
        <f>'дод. 3'!I194</f>
        <v>0</v>
      </c>
      <c r="J143" s="49">
        <f>'дод. 3'!J194</f>
        <v>0</v>
      </c>
      <c r="K143" s="62">
        <f t="shared" si="21"/>
        <v>45.2066470832717</v>
      </c>
      <c r="L143" s="49">
        <f>M143+P143</f>
        <v>0</v>
      </c>
      <c r="M143" s="49">
        <f>'дод. 3'!M194</f>
        <v>0</v>
      </c>
      <c r="N143" s="49">
        <f>'дод. 3'!N194</f>
        <v>0</v>
      </c>
      <c r="O143" s="49">
        <f>'дод. 3'!O194</f>
        <v>0</v>
      </c>
      <c r="P143" s="49">
        <f>'дод. 3'!P194</f>
        <v>0</v>
      </c>
      <c r="Q143" s="49">
        <f>R143+U143</f>
        <v>0</v>
      </c>
      <c r="R143" s="49">
        <f>'дод. 3'!R194</f>
        <v>0</v>
      </c>
      <c r="S143" s="49">
        <f>'дод. 3'!S194</f>
        <v>0</v>
      </c>
      <c r="T143" s="49">
        <f>'дод. 3'!T194</f>
        <v>0</v>
      </c>
      <c r="U143" s="49">
        <f>'дод. 3'!U194</f>
        <v>0</v>
      </c>
      <c r="V143" s="62"/>
      <c r="W143" s="49">
        <f>Q143+H143</f>
        <v>64174</v>
      </c>
      <c r="X143" s="159"/>
      <c r="Y143" s="80"/>
    </row>
    <row r="144" spans="1:25" s="15" customFormat="1" ht="60">
      <c r="A144" s="18"/>
      <c r="B144" s="22" t="s">
        <v>316</v>
      </c>
      <c r="C144" s="22" t="s">
        <v>224</v>
      </c>
      <c r="D144" s="23" t="s">
        <v>317</v>
      </c>
      <c r="E144" s="49">
        <f>'дод. 3'!E43</f>
        <v>501170</v>
      </c>
      <c r="F144" s="49">
        <f>'дод. 3'!F43</f>
        <v>0</v>
      </c>
      <c r="G144" s="49">
        <f>'дод. 3'!G43</f>
        <v>0</v>
      </c>
      <c r="H144" s="49">
        <f>'дод. 3'!H43</f>
        <v>481170</v>
      </c>
      <c r="I144" s="49">
        <f>'дод. 3'!I43</f>
        <v>0</v>
      </c>
      <c r="J144" s="49">
        <f>'дод. 3'!J43</f>
        <v>0</v>
      </c>
      <c r="K144" s="62">
        <f t="shared" si="21"/>
        <v>96.00933814873197</v>
      </c>
      <c r="L144" s="49">
        <f>M144+P144</f>
        <v>518830</v>
      </c>
      <c r="M144" s="49">
        <f>'дод. 3'!M43</f>
        <v>0</v>
      </c>
      <c r="N144" s="49">
        <f>'дод. 3'!N43</f>
        <v>0</v>
      </c>
      <c r="O144" s="49">
        <f>'дод. 3'!O43</f>
        <v>0</v>
      </c>
      <c r="P144" s="49">
        <f>'дод. 3'!P43</f>
        <v>518830</v>
      </c>
      <c r="Q144" s="49">
        <f>R144+U144</f>
        <v>18830</v>
      </c>
      <c r="R144" s="49">
        <f>'дод. 3'!R43</f>
        <v>0</v>
      </c>
      <c r="S144" s="49">
        <f>'дод. 3'!S43</f>
        <v>0</v>
      </c>
      <c r="T144" s="49">
        <f>'дод. 3'!T43</f>
        <v>0</v>
      </c>
      <c r="U144" s="49">
        <f>'дод. 3'!U43</f>
        <v>18830</v>
      </c>
      <c r="V144" s="62"/>
      <c r="W144" s="49">
        <f>Q144+H144</f>
        <v>500000</v>
      </c>
      <c r="X144" s="159"/>
      <c r="Y144" s="80"/>
    </row>
    <row r="145" spans="1:25" s="15" customFormat="1" ht="15">
      <c r="A145" s="18"/>
      <c r="B145" s="22" t="s">
        <v>178</v>
      </c>
      <c r="C145" s="22" t="s">
        <v>224</v>
      </c>
      <c r="D145" s="32" t="s">
        <v>179</v>
      </c>
      <c r="E145" s="49">
        <f>'дод. 3'!E116+'дод. 3'!E146+'дод. 3'!E182+'дод. 3'!E195</f>
        <v>2588656</v>
      </c>
      <c r="F145" s="49">
        <f>'дод. 3'!F116+'дод. 3'!F146+'дод. 3'!F182+'дод. 3'!F195</f>
        <v>0</v>
      </c>
      <c r="G145" s="49">
        <f>'дод. 3'!G116+'дод. 3'!G146+'дод. 3'!G182+'дод. 3'!G195</f>
        <v>0</v>
      </c>
      <c r="H145" s="49">
        <f>'дод. 3'!H116+'дод. 3'!H146+'дод. 3'!H182+'дод. 3'!H195</f>
        <v>1472660</v>
      </c>
      <c r="I145" s="49">
        <f>'дод. 3'!I116+'дод. 3'!I146+'дод. 3'!I182+'дод. 3'!I195</f>
        <v>0</v>
      </c>
      <c r="J145" s="49">
        <f>'дод. 3'!J116+'дод. 3'!J146+'дод. 3'!J182+'дод. 3'!J195</f>
        <v>0</v>
      </c>
      <c r="K145" s="62">
        <f t="shared" si="21"/>
        <v>56.888980227577555</v>
      </c>
      <c r="L145" s="49">
        <f>M145+P145</f>
        <v>1550000</v>
      </c>
      <c r="M145" s="49">
        <f>'дод. 3'!M116+'дод. 3'!M146+'дод. 3'!M182+'дод. 3'!M195</f>
        <v>0</v>
      </c>
      <c r="N145" s="49">
        <f>'дод. 3'!N116+'дод. 3'!N146+'дод. 3'!N182+'дод. 3'!N195</f>
        <v>0</v>
      </c>
      <c r="O145" s="49">
        <f>'дод. 3'!O116+'дод. 3'!O146+'дод. 3'!O182+'дод. 3'!O195</f>
        <v>0</v>
      </c>
      <c r="P145" s="49">
        <f>'дод. 3'!P116+'дод. 3'!P146+'дод. 3'!P182+'дод. 3'!P195</f>
        <v>1550000</v>
      </c>
      <c r="Q145" s="49">
        <f>R145+U145</f>
        <v>1450500</v>
      </c>
      <c r="R145" s="49">
        <f>'дод. 3'!R116+'дод. 3'!R146+'дод. 3'!R182+'дод. 3'!R195</f>
        <v>0</v>
      </c>
      <c r="S145" s="49">
        <f>'дод. 3'!S116+'дод. 3'!S146+'дод. 3'!S182+'дод. 3'!S195</f>
        <v>0</v>
      </c>
      <c r="T145" s="49">
        <f>'дод. 3'!T116+'дод. 3'!T146+'дод. 3'!T182+'дод. 3'!T195</f>
        <v>0</v>
      </c>
      <c r="U145" s="49">
        <f>'дод. 3'!U116+'дод. 3'!U146+'дод. 3'!U182+'дод. 3'!U195</f>
        <v>1450500</v>
      </c>
      <c r="V145" s="62">
        <f t="shared" si="17"/>
        <v>93.58064516129032</v>
      </c>
      <c r="W145" s="49">
        <f>Q145+H145</f>
        <v>2923160</v>
      </c>
      <c r="X145" s="159"/>
      <c r="Y145" s="80"/>
    </row>
    <row r="146" spans="1:25" s="15" customFormat="1" ht="15">
      <c r="A146" s="18"/>
      <c r="B146" s="22"/>
      <c r="C146" s="22"/>
      <c r="D146" s="27" t="s">
        <v>180</v>
      </c>
      <c r="E146" s="98">
        <f>E141+E140</f>
        <v>1677948369.7400002</v>
      </c>
      <c r="F146" s="98">
        <f aca="true" t="shared" si="49" ref="F146:W146">F141+F140</f>
        <v>456219649.86</v>
      </c>
      <c r="G146" s="98">
        <f t="shared" si="49"/>
        <v>92371235.79</v>
      </c>
      <c r="H146" s="98">
        <f t="shared" si="49"/>
        <v>1165560716.6799998</v>
      </c>
      <c r="I146" s="98">
        <f t="shared" si="49"/>
        <v>336871965.97</v>
      </c>
      <c r="J146" s="98">
        <f t="shared" si="49"/>
        <v>57429290.419999994</v>
      </c>
      <c r="K146" s="97">
        <f t="shared" si="21"/>
        <v>69.46344343483015</v>
      </c>
      <c r="L146" s="98">
        <f t="shared" si="49"/>
        <v>526718456.05</v>
      </c>
      <c r="M146" s="98">
        <f t="shared" si="49"/>
        <v>53996894</v>
      </c>
      <c r="N146" s="98">
        <f t="shared" si="49"/>
        <v>11409440</v>
      </c>
      <c r="O146" s="98">
        <f t="shared" si="49"/>
        <v>2168292</v>
      </c>
      <c r="P146" s="98">
        <f t="shared" si="49"/>
        <v>472721562.05</v>
      </c>
      <c r="Q146" s="98">
        <f t="shared" si="49"/>
        <v>254167286.5</v>
      </c>
      <c r="R146" s="98">
        <f t="shared" si="49"/>
        <v>34339092.28000001</v>
      </c>
      <c r="S146" s="98">
        <f t="shared" si="49"/>
        <v>7870377</v>
      </c>
      <c r="T146" s="98">
        <f t="shared" si="49"/>
        <v>1229122.76</v>
      </c>
      <c r="U146" s="98">
        <f t="shared" si="49"/>
        <v>219828194.22</v>
      </c>
      <c r="V146" s="97">
        <f>Q146/L146*100</f>
        <v>48.25486625360866</v>
      </c>
      <c r="W146" s="98">
        <f t="shared" si="49"/>
        <v>1419728003.1799998</v>
      </c>
      <c r="X146" s="159"/>
      <c r="Y146" s="80"/>
    </row>
    <row r="147" spans="1:25" s="15" customFormat="1" ht="19.5" customHeight="1">
      <c r="A147" s="18"/>
      <c r="B147" s="152"/>
      <c r="C147" s="152"/>
      <c r="D147" s="142"/>
      <c r="E147" s="153"/>
      <c r="F147" s="153"/>
      <c r="G147" s="153"/>
      <c r="H147" s="153"/>
      <c r="I147" s="153"/>
      <c r="J147" s="153"/>
      <c r="K147" s="154"/>
      <c r="L147" s="153"/>
      <c r="M147" s="153"/>
      <c r="N147" s="153"/>
      <c r="O147" s="153"/>
      <c r="P147" s="153"/>
      <c r="Q147" s="153"/>
      <c r="R147" s="153"/>
      <c r="S147" s="153"/>
      <c r="T147" s="153"/>
      <c r="U147" s="153"/>
      <c r="V147" s="154"/>
      <c r="W147" s="153"/>
      <c r="X147" s="159"/>
      <c r="Y147" s="80"/>
    </row>
    <row r="148" spans="1:25" s="15" customFormat="1" ht="17.25" customHeight="1">
      <c r="A148" s="18"/>
      <c r="B148" s="152"/>
      <c r="C148" s="152"/>
      <c r="D148" s="142"/>
      <c r="E148" s="153"/>
      <c r="F148" s="153"/>
      <c r="G148" s="153"/>
      <c r="H148" s="153"/>
      <c r="I148" s="153"/>
      <c r="J148" s="153"/>
      <c r="K148" s="154"/>
      <c r="L148" s="153"/>
      <c r="M148" s="153"/>
      <c r="N148" s="153"/>
      <c r="O148" s="153"/>
      <c r="P148" s="153"/>
      <c r="Q148" s="153"/>
      <c r="R148" s="153"/>
      <c r="S148" s="153"/>
      <c r="T148" s="153"/>
      <c r="U148" s="153"/>
      <c r="V148" s="154"/>
      <c r="W148" s="153"/>
      <c r="X148" s="159"/>
      <c r="Y148" s="80"/>
    </row>
    <row r="149" spans="1:25" s="15" customFormat="1" ht="19.5" customHeight="1">
      <c r="A149" s="18"/>
      <c r="B149" s="152"/>
      <c r="C149" s="152"/>
      <c r="D149" s="142"/>
      <c r="E149" s="153"/>
      <c r="F149" s="153"/>
      <c r="G149" s="153"/>
      <c r="H149" s="153"/>
      <c r="I149" s="153"/>
      <c r="J149" s="153"/>
      <c r="K149" s="154"/>
      <c r="L149" s="153"/>
      <c r="M149" s="153"/>
      <c r="N149" s="153"/>
      <c r="O149" s="153"/>
      <c r="P149" s="153"/>
      <c r="Q149" s="153"/>
      <c r="R149" s="153"/>
      <c r="S149" s="153"/>
      <c r="T149" s="153"/>
      <c r="U149" s="153"/>
      <c r="V149" s="154"/>
      <c r="W149" s="153"/>
      <c r="X149" s="159"/>
      <c r="Y149" s="80"/>
    </row>
    <row r="150" spans="1:24" ht="15" customHeight="1">
      <c r="A150" s="13"/>
      <c r="B150" s="13"/>
      <c r="C150" s="13"/>
      <c r="D150" s="13"/>
      <c r="E150" s="36"/>
      <c r="F150" s="36"/>
      <c r="G150" s="36"/>
      <c r="H150" s="36"/>
      <c r="I150" s="36"/>
      <c r="J150" s="36"/>
      <c r="K150" s="75"/>
      <c r="L150" s="36"/>
      <c r="M150" s="36"/>
      <c r="N150" s="36"/>
      <c r="O150" s="36"/>
      <c r="P150" s="36"/>
      <c r="Q150" s="36"/>
      <c r="R150" s="36"/>
      <c r="S150" s="36"/>
      <c r="T150" s="36"/>
      <c r="U150" s="36"/>
      <c r="V150" s="75"/>
      <c r="W150" s="36"/>
      <c r="X150" s="159"/>
    </row>
    <row r="151" spans="5:24" ht="15.75" customHeight="1">
      <c r="E151" s="83"/>
      <c r="F151" s="83"/>
      <c r="G151" s="83"/>
      <c r="H151" s="83"/>
      <c r="I151" s="83"/>
      <c r="J151" s="83"/>
      <c r="K151" s="87"/>
      <c r="L151" s="83"/>
      <c r="M151" s="83"/>
      <c r="N151" s="83"/>
      <c r="O151" s="83"/>
      <c r="P151" s="83"/>
      <c r="Q151" s="83"/>
      <c r="R151" s="83"/>
      <c r="S151" s="83"/>
      <c r="T151" s="83"/>
      <c r="U151" s="83"/>
      <c r="V151" s="87"/>
      <c r="W151" s="83"/>
      <c r="X151" s="159"/>
    </row>
    <row r="152" spans="5:24" ht="18" customHeight="1">
      <c r="E152" s="83"/>
      <c r="F152" s="83"/>
      <c r="G152" s="83"/>
      <c r="H152" s="83"/>
      <c r="I152" s="83"/>
      <c r="J152" s="83"/>
      <c r="K152" s="87"/>
      <c r="L152" s="83"/>
      <c r="M152" s="83"/>
      <c r="N152" s="83"/>
      <c r="O152" s="83"/>
      <c r="P152" s="83"/>
      <c r="Q152" s="83"/>
      <c r="R152" s="83"/>
      <c r="S152" s="83"/>
      <c r="T152" s="83"/>
      <c r="U152" s="83"/>
      <c r="V152" s="87"/>
      <c r="W152" s="83"/>
      <c r="X152" s="159"/>
    </row>
    <row r="153" spans="1:25" s="41" customFormat="1" ht="24" customHeight="1">
      <c r="A153" s="40"/>
      <c r="B153" s="165" t="s">
        <v>343</v>
      </c>
      <c r="C153" s="165"/>
      <c r="D153" s="165"/>
      <c r="E153" s="165"/>
      <c r="F153" s="165"/>
      <c r="G153" s="165"/>
      <c r="H153" s="70"/>
      <c r="I153" s="70"/>
      <c r="J153" s="88"/>
      <c r="K153" s="65"/>
      <c r="L153" s="70"/>
      <c r="M153" s="70"/>
      <c r="N153" s="70"/>
      <c r="S153" s="177" t="s">
        <v>344</v>
      </c>
      <c r="T153" s="177"/>
      <c r="U153" s="177"/>
      <c r="V153" s="177"/>
      <c r="W153" s="71"/>
      <c r="X153" s="159"/>
      <c r="Y153" s="78"/>
    </row>
    <row r="154" spans="1:25" s="10" customFormat="1" ht="23.25">
      <c r="A154" s="8"/>
      <c r="B154" s="160"/>
      <c r="C154" s="160"/>
      <c r="D154" s="9"/>
      <c r="E154" s="59"/>
      <c r="F154" s="59"/>
      <c r="G154" s="59"/>
      <c r="H154" s="59"/>
      <c r="I154" s="59"/>
      <c r="J154" s="59"/>
      <c r="K154" s="66"/>
      <c r="L154" s="59"/>
      <c r="M154" s="59"/>
      <c r="N154" s="161"/>
      <c r="O154" s="161"/>
      <c r="P154" s="161"/>
      <c r="Q154" s="72"/>
      <c r="R154" s="72"/>
      <c r="S154" s="72"/>
      <c r="T154" s="72"/>
      <c r="U154" s="72"/>
      <c r="V154" s="72"/>
      <c r="W154" s="60"/>
      <c r="X154" s="159"/>
      <c r="Y154" s="81"/>
    </row>
    <row r="155" spans="1:25" s="10" customFormat="1" ht="23.25">
      <c r="A155" s="8"/>
      <c r="B155" s="146"/>
      <c r="C155" s="11"/>
      <c r="D155" s="11"/>
      <c r="E155" s="11"/>
      <c r="F155" s="11"/>
      <c r="G155" s="11"/>
      <c r="H155" s="11"/>
      <c r="I155" s="11"/>
      <c r="J155" s="11"/>
      <c r="K155" s="67"/>
      <c r="L155" s="73"/>
      <c r="M155" s="73"/>
      <c r="N155" s="73"/>
      <c r="O155" s="73"/>
      <c r="P155" s="60"/>
      <c r="Q155" s="60"/>
      <c r="R155" s="60"/>
      <c r="S155" s="60"/>
      <c r="T155" s="60"/>
      <c r="U155" s="60"/>
      <c r="V155" s="60"/>
      <c r="W155" s="60"/>
      <c r="X155" s="159"/>
      <c r="Y155" s="81"/>
    </row>
    <row r="156" spans="1:25" s="10" customFormat="1" ht="23.25">
      <c r="A156" s="8"/>
      <c r="B156" s="146"/>
      <c r="C156" s="146"/>
      <c r="D156" s="147"/>
      <c r="E156" s="146"/>
      <c r="F156" s="146"/>
      <c r="K156" s="68"/>
      <c r="P156" s="8"/>
      <c r="Q156" s="8"/>
      <c r="R156" s="8"/>
      <c r="S156" s="8"/>
      <c r="T156" s="8"/>
      <c r="U156" s="8"/>
      <c r="V156" s="8"/>
      <c r="W156" s="8"/>
      <c r="X156" s="159"/>
      <c r="Y156" s="81"/>
    </row>
    <row r="157" spans="1:25" s="7" customFormat="1" ht="23.25">
      <c r="A157" s="6"/>
      <c r="B157" s="148"/>
      <c r="C157" s="149"/>
      <c r="D157" s="149"/>
      <c r="E157" s="149"/>
      <c r="F157" s="149"/>
      <c r="G157" s="8"/>
      <c r="H157" s="8"/>
      <c r="I157" s="8"/>
      <c r="J157" s="8"/>
      <c r="K157" s="69"/>
      <c r="L157" s="8"/>
      <c r="M157" s="8"/>
      <c r="N157" s="8"/>
      <c r="O157" s="8"/>
      <c r="P157" s="8"/>
      <c r="Q157" s="8"/>
      <c r="R157" s="8"/>
      <c r="S157" s="8"/>
      <c r="T157" s="8"/>
      <c r="U157" s="8"/>
      <c r="V157" s="8"/>
      <c r="W157" s="6"/>
      <c r="X157" s="42"/>
      <c r="Y157" s="82"/>
    </row>
    <row r="158" spans="1:23" ht="12.75">
      <c r="A158" s="12"/>
      <c r="B158" s="150"/>
      <c r="C158" s="150"/>
      <c r="D158" s="150"/>
      <c r="E158" s="150"/>
      <c r="F158" s="150"/>
      <c r="G158" s="12"/>
      <c r="H158" s="12"/>
      <c r="I158" s="12"/>
      <c r="J158" s="12"/>
      <c r="K158" s="76"/>
      <c r="L158" s="12"/>
      <c r="M158" s="12"/>
      <c r="N158" s="12"/>
      <c r="O158" s="12"/>
      <c r="P158" s="12"/>
      <c r="Q158" s="12"/>
      <c r="R158" s="12"/>
      <c r="S158" s="12"/>
      <c r="T158" s="12"/>
      <c r="U158" s="12"/>
      <c r="V158" s="12"/>
      <c r="W158" s="12"/>
    </row>
    <row r="159" spans="2:11" ht="12.75">
      <c r="B159" s="151"/>
      <c r="C159" s="151"/>
      <c r="D159" s="151"/>
      <c r="E159" s="151"/>
      <c r="F159" s="151"/>
      <c r="K159" s="87"/>
    </row>
    <row r="160" spans="2:11" ht="12.75">
      <c r="B160" s="151"/>
      <c r="C160" s="151"/>
      <c r="D160" s="151"/>
      <c r="E160" s="151"/>
      <c r="F160" s="151"/>
      <c r="K160" s="87"/>
    </row>
    <row r="161" spans="2:11" ht="12.75">
      <c r="B161" s="151"/>
      <c r="C161" s="151"/>
      <c r="D161" s="151"/>
      <c r="E161" s="151"/>
      <c r="F161" s="151"/>
      <c r="K161" s="87"/>
    </row>
    <row r="162" ht="12.75">
      <c r="K162" s="87"/>
    </row>
    <row r="163" ht="12.75">
      <c r="K163" s="87"/>
    </row>
    <row r="164" ht="12.75">
      <c r="K164" s="87"/>
    </row>
    <row r="165" ht="12.75">
      <c r="K165" s="87"/>
    </row>
    <row r="166" ht="12.75">
      <c r="K166" s="87"/>
    </row>
    <row r="167" ht="12.75">
      <c r="K167" s="87"/>
    </row>
    <row r="168" ht="12.75">
      <c r="K168" s="87"/>
    </row>
    <row r="169" ht="12.75">
      <c r="K169" s="87"/>
    </row>
    <row r="170" ht="12.75">
      <c r="K170" s="87"/>
    </row>
    <row r="171" ht="12.75">
      <c r="K171" s="87"/>
    </row>
    <row r="172" ht="12.75">
      <c r="K172" s="87"/>
    </row>
    <row r="173" ht="12.75">
      <c r="K173" s="87"/>
    </row>
    <row r="174" ht="12.75">
      <c r="K174" s="87"/>
    </row>
    <row r="175" ht="12.75">
      <c r="K175" s="87"/>
    </row>
    <row r="176" ht="12.75">
      <c r="K176" s="87"/>
    </row>
    <row r="177" ht="12.75">
      <c r="K177" s="87"/>
    </row>
    <row r="178" ht="12.75">
      <c r="K178" s="87"/>
    </row>
    <row r="179" ht="12.75">
      <c r="K179" s="87"/>
    </row>
    <row r="180" ht="12.75">
      <c r="K180" s="87"/>
    </row>
    <row r="181" ht="12.75">
      <c r="K181" s="87"/>
    </row>
    <row r="182" ht="12.75">
      <c r="K182" s="87"/>
    </row>
    <row r="183" ht="12.75">
      <c r="K183" s="87"/>
    </row>
    <row r="184" ht="12.75">
      <c r="K184" s="87"/>
    </row>
    <row r="185" ht="12.75">
      <c r="K185" s="87"/>
    </row>
    <row r="186" ht="12.75">
      <c r="K186" s="87"/>
    </row>
    <row r="187" ht="12.75">
      <c r="K187" s="87"/>
    </row>
    <row r="188" ht="12.75">
      <c r="K188" s="87"/>
    </row>
    <row r="189" ht="12.75">
      <c r="K189" s="87"/>
    </row>
    <row r="190" ht="12.75">
      <c r="K190" s="87"/>
    </row>
    <row r="191" ht="12.75">
      <c r="K191" s="87"/>
    </row>
    <row r="192" ht="12.75">
      <c r="K192" s="87"/>
    </row>
    <row r="193" ht="12.75">
      <c r="K193" s="87"/>
    </row>
    <row r="194" ht="12.75">
      <c r="K194" s="87"/>
    </row>
    <row r="195" ht="12.75">
      <c r="K195" s="87"/>
    </row>
    <row r="196" ht="12.75">
      <c r="K196" s="87"/>
    </row>
    <row r="197" ht="12.75">
      <c r="K197" s="87"/>
    </row>
    <row r="198" ht="12.75">
      <c r="K198" s="87"/>
    </row>
    <row r="199" ht="12.75">
      <c r="K199" s="87"/>
    </row>
    <row r="200" ht="12.75">
      <c r="K200" s="87"/>
    </row>
    <row r="201" ht="12.75">
      <c r="K201" s="87"/>
    </row>
    <row r="202" ht="12.75">
      <c r="K202" s="87"/>
    </row>
    <row r="203" ht="12.75">
      <c r="K203" s="87"/>
    </row>
    <row r="204" ht="12.75">
      <c r="K204" s="87"/>
    </row>
    <row r="205" ht="12.75">
      <c r="K205" s="87"/>
    </row>
    <row r="206" ht="12.75">
      <c r="K206" s="87"/>
    </row>
    <row r="207" ht="12.75">
      <c r="K207" s="87"/>
    </row>
    <row r="208" ht="12.75">
      <c r="K208" s="87"/>
    </row>
    <row r="209" ht="12.75">
      <c r="K209" s="87"/>
    </row>
    <row r="210" ht="12.75">
      <c r="K210" s="87"/>
    </row>
    <row r="211" ht="12.75">
      <c r="K211" s="87"/>
    </row>
    <row r="212" ht="12.75">
      <c r="K212" s="87"/>
    </row>
    <row r="213" ht="12.75">
      <c r="K213" s="87"/>
    </row>
    <row r="214" ht="12.75">
      <c r="K214" s="87"/>
    </row>
    <row r="215" ht="12.75">
      <c r="K215" s="87"/>
    </row>
    <row r="216" ht="12.75">
      <c r="K216" s="87"/>
    </row>
  </sheetData>
  <sheetProtection/>
  <mergeCells count="48">
    <mergeCell ref="S9:T9"/>
    <mergeCell ref="W7:W11"/>
    <mergeCell ref="R3:W3"/>
    <mergeCell ref="S153:V153"/>
    <mergeCell ref="R1:W1"/>
    <mergeCell ref="R2:W2"/>
    <mergeCell ref="L7:U7"/>
    <mergeCell ref="L8:P8"/>
    <mergeCell ref="Q8:U8"/>
    <mergeCell ref="V7:V11"/>
    <mergeCell ref="R9:R11"/>
    <mergeCell ref="B5:W5"/>
    <mergeCell ref="B7:B11"/>
    <mergeCell ref="C7:C11"/>
    <mergeCell ref="H8:J8"/>
    <mergeCell ref="G10:G11"/>
    <mergeCell ref="O10:O11"/>
    <mergeCell ref="E8:G8"/>
    <mergeCell ref="U9:U11"/>
    <mergeCell ref="S10:S11"/>
    <mergeCell ref="T10:T11"/>
    <mergeCell ref="E7:J7"/>
    <mergeCell ref="I9:J9"/>
    <mergeCell ref="I10:I11"/>
    <mergeCell ref="J10:J11"/>
    <mergeCell ref="Q9:Q11"/>
    <mergeCell ref="N9:O9"/>
    <mergeCell ref="M9:M11"/>
    <mergeCell ref="X138:X156"/>
    <mergeCell ref="X38:X42"/>
    <mergeCell ref="X43:X49"/>
    <mergeCell ref="X50:X73"/>
    <mergeCell ref="B153:G153"/>
    <mergeCell ref="L9:L11"/>
    <mergeCell ref="P9:P11"/>
    <mergeCell ref="F9:G9"/>
    <mergeCell ref="K7:K11"/>
    <mergeCell ref="H9:H11"/>
    <mergeCell ref="D7:D11"/>
    <mergeCell ref="F10:F11"/>
    <mergeCell ref="E9:E11"/>
    <mergeCell ref="X1:X37"/>
    <mergeCell ref="N10:N11"/>
    <mergeCell ref="B154:C154"/>
    <mergeCell ref="N154:P154"/>
    <mergeCell ref="D41:D42"/>
    <mergeCell ref="X104:X137"/>
    <mergeCell ref="X74:X103"/>
  </mergeCells>
  <printOptions horizontalCentered="1"/>
  <pageMargins left="0.2" right="0.2" top="0.85" bottom="0.41" header="0.35433070866141736" footer="0.2362204724409449"/>
  <pageSetup fitToHeight="7" fitToWidth="1" horizontalDpi="300" verticalDpi="300" orientation="landscape" paperSize="9" scale="37" r:id="rId1"/>
  <headerFooter alignWithMargins="0">
    <oddHeader>&amp;RПродовження додатку 2</oddHeader>
  </headerFooter>
  <rowBreaks count="1" manualBreakCount="1">
    <brk id="139" min="1" max="23" man="1"/>
  </rowBreaks>
</worksheet>
</file>

<file path=xl/worksheets/sheet2.xml><?xml version="1.0" encoding="utf-8"?>
<worksheet xmlns="http://schemas.openxmlformats.org/spreadsheetml/2006/main" xmlns:r="http://schemas.openxmlformats.org/officeDocument/2006/relationships">
  <dimension ref="A1:Z206"/>
  <sheetViews>
    <sheetView showGridLines="0" showZeros="0" tabSelected="1" view="pageBreakPreview" zoomScale="40" zoomScaleNormal="70" zoomScaleSheetLayoutView="40" zoomScalePageLayoutView="0" workbookViewId="0" topLeftCell="B1">
      <selection activeCell="R3" sqref="R3:W3"/>
    </sheetView>
  </sheetViews>
  <sheetFormatPr defaultColWidth="9.16015625" defaultRowHeight="12.75"/>
  <cols>
    <col min="1" max="1" width="3.83203125" style="85" hidden="1" customWidth="1"/>
    <col min="2" max="3" width="11.66015625" style="85" customWidth="1"/>
    <col min="4" max="4" width="46" style="85" customWidth="1"/>
    <col min="5" max="5" width="23.16015625" style="106" customWidth="1"/>
    <col min="6" max="6" width="24.5" style="106" customWidth="1"/>
    <col min="7" max="7" width="18.33203125" style="106" bestFit="1" customWidth="1"/>
    <col min="8" max="8" width="22" style="107" bestFit="1" customWidth="1"/>
    <col min="9" max="9" width="19.66015625" style="107" bestFit="1" customWidth="1"/>
    <col min="10" max="10" width="18.33203125" style="108" bestFit="1" customWidth="1"/>
    <col min="11" max="11" width="10" style="106" customWidth="1"/>
    <col min="12" max="12" width="21" style="106" customWidth="1"/>
    <col min="13" max="13" width="19.16015625" style="106" customWidth="1"/>
    <col min="14" max="14" width="17.16015625" style="106" customWidth="1"/>
    <col min="15" max="15" width="15.5" style="106" customWidth="1"/>
    <col min="16" max="16" width="17.66015625" style="106" customWidth="1"/>
    <col min="17" max="17" width="17.83203125" style="107" customWidth="1"/>
    <col min="18" max="18" width="20" style="107" customWidth="1"/>
    <col min="19" max="19" width="17.16015625" style="107" customWidth="1"/>
    <col min="20" max="20" width="16.66015625" style="107" customWidth="1"/>
    <col min="21" max="21" width="18.5" style="107" customWidth="1"/>
    <col min="22" max="22" width="9.66015625" style="106" customWidth="1"/>
    <col min="23" max="23" width="21" style="106" customWidth="1"/>
    <col min="24" max="24" width="7" style="155" customWidth="1"/>
    <col min="25" max="25" width="20.83203125" style="84" customWidth="1"/>
    <col min="26" max="26" width="14.16015625" style="84" bestFit="1" customWidth="1"/>
    <col min="27" max="16384" width="9.16015625" style="84" customWidth="1"/>
  </cols>
  <sheetData>
    <row r="1" spans="1:24" ht="26.25">
      <c r="A1" s="1"/>
      <c r="B1" s="1"/>
      <c r="C1" s="1"/>
      <c r="D1" s="1"/>
      <c r="N1" s="109"/>
      <c r="O1" s="109"/>
      <c r="P1" s="109"/>
      <c r="Q1" s="110"/>
      <c r="R1" s="176" t="s">
        <v>355</v>
      </c>
      <c r="S1" s="176"/>
      <c r="T1" s="176"/>
      <c r="U1" s="176"/>
      <c r="V1" s="176"/>
      <c r="W1" s="176"/>
      <c r="X1" s="179" t="s">
        <v>352</v>
      </c>
    </row>
    <row r="2" spans="14:24" ht="26.25">
      <c r="N2" s="111"/>
      <c r="O2" s="109"/>
      <c r="P2" s="109"/>
      <c r="Q2" s="110"/>
      <c r="R2" s="176" t="s">
        <v>338</v>
      </c>
      <c r="S2" s="176"/>
      <c r="T2" s="176"/>
      <c r="U2" s="176"/>
      <c r="V2" s="176"/>
      <c r="W2" s="176"/>
      <c r="X2" s="179"/>
    </row>
    <row r="3" spans="14:24" ht="26.25">
      <c r="N3" s="109"/>
      <c r="O3" s="109"/>
      <c r="P3" s="109"/>
      <c r="Q3" s="110"/>
      <c r="R3" s="176" t="s">
        <v>357</v>
      </c>
      <c r="S3" s="176"/>
      <c r="T3" s="176"/>
      <c r="U3" s="176"/>
      <c r="V3" s="176"/>
      <c r="W3" s="176"/>
      <c r="X3" s="179"/>
    </row>
    <row r="4" spans="14:24" ht="26.25">
      <c r="N4" s="109"/>
      <c r="O4" s="109"/>
      <c r="P4" s="109"/>
      <c r="Q4" s="110"/>
      <c r="R4" s="78"/>
      <c r="S4" s="78"/>
      <c r="T4" s="78"/>
      <c r="U4" s="78"/>
      <c r="V4" s="78"/>
      <c r="W4" s="78"/>
      <c r="X4" s="179"/>
    </row>
    <row r="5" spans="14:24" ht="15.75">
      <c r="N5" s="109"/>
      <c r="O5" s="109"/>
      <c r="P5" s="112"/>
      <c r="Q5" s="113"/>
      <c r="R5" s="113"/>
      <c r="S5" s="113"/>
      <c r="T5" s="113"/>
      <c r="U5" s="113"/>
      <c r="V5" s="112"/>
      <c r="W5" s="112"/>
      <c r="X5" s="179"/>
    </row>
    <row r="6" spans="2:24" ht="50.25" customHeight="1">
      <c r="B6" s="175" t="s">
        <v>339</v>
      </c>
      <c r="C6" s="175"/>
      <c r="D6" s="175"/>
      <c r="E6" s="175"/>
      <c r="F6" s="175"/>
      <c r="G6" s="175"/>
      <c r="H6" s="175"/>
      <c r="I6" s="175"/>
      <c r="J6" s="175"/>
      <c r="K6" s="175"/>
      <c r="L6" s="175"/>
      <c r="M6" s="175"/>
      <c r="N6" s="175"/>
      <c r="O6" s="175"/>
      <c r="P6" s="175"/>
      <c r="Q6" s="175"/>
      <c r="R6" s="175"/>
      <c r="S6" s="175"/>
      <c r="T6" s="175"/>
      <c r="U6" s="175"/>
      <c r="V6" s="175"/>
      <c r="W6" s="175"/>
      <c r="X6" s="179"/>
    </row>
    <row r="7" spans="2:24" ht="15.75">
      <c r="B7" s="86"/>
      <c r="C7" s="86"/>
      <c r="D7" s="86"/>
      <c r="E7" s="114"/>
      <c r="F7" s="115"/>
      <c r="G7" s="114"/>
      <c r="H7" s="116"/>
      <c r="I7" s="116"/>
      <c r="J7" s="117"/>
      <c r="K7" s="118"/>
      <c r="L7" s="119"/>
      <c r="M7" s="120"/>
      <c r="N7" s="120"/>
      <c r="O7" s="120"/>
      <c r="P7" s="120"/>
      <c r="Q7" s="121"/>
      <c r="R7" s="121"/>
      <c r="S7" s="121"/>
      <c r="T7" s="121"/>
      <c r="U7" s="121"/>
      <c r="V7" s="120"/>
      <c r="W7" s="122" t="s">
        <v>13</v>
      </c>
      <c r="X7" s="179"/>
    </row>
    <row r="8" spans="1:24" s="15" customFormat="1" ht="31.5" customHeight="1">
      <c r="A8" s="14"/>
      <c r="B8" s="156" t="s">
        <v>12</v>
      </c>
      <c r="C8" s="156" t="s">
        <v>10</v>
      </c>
      <c r="D8" s="156" t="s">
        <v>232</v>
      </c>
      <c r="E8" s="195" t="s">
        <v>0</v>
      </c>
      <c r="F8" s="195"/>
      <c r="G8" s="195"/>
      <c r="H8" s="195"/>
      <c r="I8" s="195"/>
      <c r="J8" s="195"/>
      <c r="K8" s="199" t="s">
        <v>313</v>
      </c>
      <c r="L8" s="195" t="s">
        <v>1</v>
      </c>
      <c r="M8" s="195"/>
      <c r="N8" s="195"/>
      <c r="O8" s="195"/>
      <c r="P8" s="195"/>
      <c r="Q8" s="195"/>
      <c r="R8" s="195"/>
      <c r="S8" s="195"/>
      <c r="T8" s="195"/>
      <c r="U8" s="195"/>
      <c r="V8" s="199" t="s">
        <v>313</v>
      </c>
      <c r="W8" s="196" t="s">
        <v>2</v>
      </c>
      <c r="X8" s="179"/>
    </row>
    <row r="9" spans="1:24" s="15" customFormat="1" ht="27" customHeight="1">
      <c r="A9" s="16"/>
      <c r="B9" s="157"/>
      <c r="C9" s="157"/>
      <c r="D9" s="157"/>
      <c r="E9" s="195" t="s">
        <v>279</v>
      </c>
      <c r="F9" s="195"/>
      <c r="G9" s="195"/>
      <c r="H9" s="195" t="s">
        <v>280</v>
      </c>
      <c r="I9" s="195"/>
      <c r="J9" s="195"/>
      <c r="K9" s="200"/>
      <c r="L9" s="195" t="s">
        <v>279</v>
      </c>
      <c r="M9" s="195"/>
      <c r="N9" s="195"/>
      <c r="O9" s="195"/>
      <c r="P9" s="195"/>
      <c r="Q9" s="195" t="s">
        <v>280</v>
      </c>
      <c r="R9" s="195"/>
      <c r="S9" s="195"/>
      <c r="T9" s="195"/>
      <c r="U9" s="195"/>
      <c r="V9" s="200"/>
      <c r="W9" s="197"/>
      <c r="X9" s="179"/>
    </row>
    <row r="10" spans="1:24" s="15" customFormat="1" ht="27" customHeight="1">
      <c r="A10" s="16"/>
      <c r="B10" s="157"/>
      <c r="C10" s="157"/>
      <c r="D10" s="157"/>
      <c r="E10" s="196" t="s">
        <v>3</v>
      </c>
      <c r="F10" s="202" t="s">
        <v>5</v>
      </c>
      <c r="G10" s="203"/>
      <c r="H10" s="196" t="s">
        <v>3</v>
      </c>
      <c r="I10" s="202" t="s">
        <v>5</v>
      </c>
      <c r="J10" s="203"/>
      <c r="K10" s="200"/>
      <c r="L10" s="196" t="s">
        <v>3</v>
      </c>
      <c r="M10" s="196" t="s">
        <v>4</v>
      </c>
      <c r="N10" s="202" t="s">
        <v>5</v>
      </c>
      <c r="O10" s="203"/>
      <c r="P10" s="196" t="s">
        <v>6</v>
      </c>
      <c r="Q10" s="196" t="s">
        <v>3</v>
      </c>
      <c r="R10" s="196" t="s">
        <v>4</v>
      </c>
      <c r="S10" s="202" t="s">
        <v>5</v>
      </c>
      <c r="T10" s="203"/>
      <c r="U10" s="196" t="s">
        <v>6</v>
      </c>
      <c r="V10" s="200"/>
      <c r="W10" s="197"/>
      <c r="X10" s="179"/>
    </row>
    <row r="11" spans="1:24" s="15" customFormat="1" ht="15">
      <c r="A11" s="17"/>
      <c r="B11" s="157"/>
      <c r="C11" s="157"/>
      <c r="D11" s="157"/>
      <c r="E11" s="197"/>
      <c r="F11" s="196" t="s">
        <v>7</v>
      </c>
      <c r="G11" s="196" t="s">
        <v>8</v>
      </c>
      <c r="H11" s="197"/>
      <c r="I11" s="196" t="s">
        <v>7</v>
      </c>
      <c r="J11" s="204" t="s">
        <v>8</v>
      </c>
      <c r="K11" s="200"/>
      <c r="L11" s="197"/>
      <c r="M11" s="197"/>
      <c r="N11" s="196" t="s">
        <v>7</v>
      </c>
      <c r="O11" s="196" t="s">
        <v>8</v>
      </c>
      <c r="P11" s="197"/>
      <c r="Q11" s="197"/>
      <c r="R11" s="197"/>
      <c r="S11" s="196" t="s">
        <v>7</v>
      </c>
      <c r="T11" s="196" t="s">
        <v>8</v>
      </c>
      <c r="U11" s="197"/>
      <c r="V11" s="200"/>
      <c r="W11" s="197"/>
      <c r="X11" s="179"/>
    </row>
    <row r="12" spans="1:24" s="15" customFormat="1" ht="105.75" customHeight="1">
      <c r="A12" s="18"/>
      <c r="B12" s="158"/>
      <c r="C12" s="158"/>
      <c r="D12" s="158"/>
      <c r="E12" s="198"/>
      <c r="F12" s="198"/>
      <c r="G12" s="198"/>
      <c r="H12" s="198"/>
      <c r="I12" s="198"/>
      <c r="J12" s="205"/>
      <c r="K12" s="201"/>
      <c r="L12" s="198"/>
      <c r="M12" s="198"/>
      <c r="N12" s="198"/>
      <c r="O12" s="198"/>
      <c r="P12" s="198"/>
      <c r="Q12" s="198"/>
      <c r="R12" s="198"/>
      <c r="S12" s="198"/>
      <c r="T12" s="198"/>
      <c r="U12" s="198"/>
      <c r="V12" s="201"/>
      <c r="W12" s="198"/>
      <c r="X12" s="179"/>
    </row>
    <row r="13" spans="1:25" s="21" customFormat="1" ht="28.5">
      <c r="A13" s="19"/>
      <c r="B13" s="61"/>
      <c r="C13" s="61"/>
      <c r="D13" s="20" t="s">
        <v>14</v>
      </c>
      <c r="E13" s="123">
        <f aca="true" t="shared" si="0" ref="E13:J13">SUM(E14:E44)</f>
        <v>73494604.39</v>
      </c>
      <c r="F13" s="123">
        <f t="shared" si="0"/>
        <v>25886313</v>
      </c>
      <c r="G13" s="123">
        <f t="shared" si="0"/>
        <v>2945047.79</v>
      </c>
      <c r="H13" s="123">
        <f t="shared" si="0"/>
        <v>54004469.13999999</v>
      </c>
      <c r="I13" s="123">
        <f t="shared" si="0"/>
        <v>19541806.799999997</v>
      </c>
      <c r="J13" s="123">
        <f t="shared" si="0"/>
        <v>1697644.6900000002</v>
      </c>
      <c r="K13" s="124">
        <f>H13/E13*100</f>
        <v>73.48086242280402</v>
      </c>
      <c r="L13" s="123">
        <f aca="true" t="shared" si="1" ref="L13:T13">SUM(L14:L44)</f>
        <v>60002851.47</v>
      </c>
      <c r="M13" s="123">
        <f t="shared" si="1"/>
        <v>473457.47</v>
      </c>
      <c r="N13" s="123">
        <f t="shared" si="1"/>
        <v>144491</v>
      </c>
      <c r="O13" s="123">
        <f t="shared" si="1"/>
        <v>98348</v>
      </c>
      <c r="P13" s="123">
        <f t="shared" si="1"/>
        <v>59529394</v>
      </c>
      <c r="Q13" s="123">
        <f t="shared" si="1"/>
        <v>11582282.68</v>
      </c>
      <c r="R13" s="123">
        <f t="shared" si="1"/>
        <v>264356.81</v>
      </c>
      <c r="S13" s="123">
        <f t="shared" si="1"/>
        <v>69822.95</v>
      </c>
      <c r="T13" s="123">
        <f t="shared" si="1"/>
        <v>46358.62</v>
      </c>
      <c r="U13" s="123">
        <f>SUM(U14:U44)</f>
        <v>11317925.870000001</v>
      </c>
      <c r="V13" s="124">
        <f>Q13/L13*100</f>
        <v>19.302887106608367</v>
      </c>
      <c r="W13" s="123">
        <f>SUM(W14:W44)</f>
        <v>65586751.81999999</v>
      </c>
      <c r="X13" s="179"/>
      <c r="Y13" s="43"/>
    </row>
    <row r="14" spans="1:25" s="21" customFormat="1" ht="15.75">
      <c r="A14" s="19"/>
      <c r="B14" s="22" t="s">
        <v>11</v>
      </c>
      <c r="C14" s="22" t="s">
        <v>9</v>
      </c>
      <c r="D14" s="23" t="s">
        <v>15</v>
      </c>
      <c r="E14" s="125">
        <v>29906451.6</v>
      </c>
      <c r="F14" s="125">
        <v>18914650</v>
      </c>
      <c r="G14" s="125">
        <v>1520550</v>
      </c>
      <c r="H14" s="125">
        <v>21697573.24</v>
      </c>
      <c r="I14" s="125">
        <v>14444759.74</v>
      </c>
      <c r="J14" s="125">
        <v>809763.73</v>
      </c>
      <c r="K14" s="126">
        <f>H14/E14*100</f>
        <v>72.55147996227007</v>
      </c>
      <c r="L14" s="125">
        <f aca="true" t="shared" si="2" ref="L14:L44">M14+P14</f>
        <v>5656286</v>
      </c>
      <c r="M14" s="125"/>
      <c r="N14" s="125"/>
      <c r="O14" s="125"/>
      <c r="P14" s="125">
        <v>5656286</v>
      </c>
      <c r="Q14" s="125">
        <f>R14+U14</f>
        <v>3616090.37</v>
      </c>
      <c r="R14" s="125">
        <v>10443.98</v>
      </c>
      <c r="S14" s="125"/>
      <c r="T14" s="125"/>
      <c r="U14" s="125">
        <v>3605646.39</v>
      </c>
      <c r="V14" s="126">
        <f>Q14/L14*100</f>
        <v>63.930472575113775</v>
      </c>
      <c r="W14" s="125">
        <f>H14+Q14</f>
        <v>25313663.61</v>
      </c>
      <c r="X14" s="179"/>
      <c r="Y14" s="43"/>
    </row>
    <row r="15" spans="1:25" s="21" customFormat="1" ht="30">
      <c r="A15" s="19"/>
      <c r="B15" s="22" t="s">
        <v>16</v>
      </c>
      <c r="C15" s="22" t="s">
        <v>181</v>
      </c>
      <c r="D15" s="23" t="s">
        <v>17</v>
      </c>
      <c r="E15" s="125">
        <f>143404+22688+10861</f>
        <v>176953</v>
      </c>
      <c r="F15" s="123"/>
      <c r="G15" s="123"/>
      <c r="H15" s="125">
        <v>146857.91</v>
      </c>
      <c r="I15" s="125"/>
      <c r="J15" s="125"/>
      <c r="K15" s="126">
        <f aca="true" t="shared" si="3" ref="K15:K44">H15/E15*100</f>
        <v>82.99260820669896</v>
      </c>
      <c r="L15" s="125">
        <f t="shared" si="2"/>
        <v>0</v>
      </c>
      <c r="M15" s="123"/>
      <c r="N15" s="123"/>
      <c r="O15" s="123"/>
      <c r="P15" s="123"/>
      <c r="Q15" s="125">
        <f aca="true" t="shared" si="4" ref="Q15:Q44">R15+U15</f>
        <v>0</v>
      </c>
      <c r="R15" s="123"/>
      <c r="S15" s="123"/>
      <c r="T15" s="123"/>
      <c r="U15" s="123"/>
      <c r="V15" s="126"/>
      <c r="W15" s="125">
        <f aca="true" t="shared" si="5" ref="W15:W44">H15+Q15</f>
        <v>146857.91</v>
      </c>
      <c r="X15" s="179"/>
      <c r="Y15" s="43"/>
    </row>
    <row r="16" spans="1:25" s="21" customFormat="1" ht="30">
      <c r="A16" s="19"/>
      <c r="B16" s="22" t="s">
        <v>18</v>
      </c>
      <c r="C16" s="22" t="s">
        <v>182</v>
      </c>
      <c r="D16" s="23" t="s">
        <v>19</v>
      </c>
      <c r="E16" s="125">
        <v>717600</v>
      </c>
      <c r="F16" s="125">
        <v>506950</v>
      </c>
      <c r="G16" s="125">
        <v>55897</v>
      </c>
      <c r="H16" s="125">
        <v>502908.92</v>
      </c>
      <c r="I16" s="125">
        <v>365059.53</v>
      </c>
      <c r="J16" s="125">
        <v>32865.4</v>
      </c>
      <c r="K16" s="126">
        <f t="shared" si="3"/>
        <v>70.0820680044593</v>
      </c>
      <c r="L16" s="125">
        <f t="shared" si="2"/>
        <v>0</v>
      </c>
      <c r="M16" s="125"/>
      <c r="N16" s="125"/>
      <c r="O16" s="125"/>
      <c r="P16" s="125"/>
      <c r="Q16" s="125">
        <f t="shared" si="4"/>
        <v>0</v>
      </c>
      <c r="R16" s="125"/>
      <c r="S16" s="125"/>
      <c r="T16" s="125"/>
      <c r="U16" s="125"/>
      <c r="V16" s="126"/>
      <c r="W16" s="125">
        <f t="shared" si="5"/>
        <v>502908.92</v>
      </c>
      <c r="X16" s="179"/>
      <c r="Y16" s="43"/>
    </row>
    <row r="17" spans="1:25" s="21" customFormat="1" ht="30">
      <c r="A17" s="19"/>
      <c r="B17" s="22" t="s">
        <v>20</v>
      </c>
      <c r="C17" s="22" t="s">
        <v>182</v>
      </c>
      <c r="D17" s="23" t="s">
        <v>21</v>
      </c>
      <c r="E17" s="125">
        <v>40000</v>
      </c>
      <c r="F17" s="125"/>
      <c r="G17" s="125"/>
      <c r="H17" s="125">
        <v>24950</v>
      </c>
      <c r="I17" s="125"/>
      <c r="J17" s="125"/>
      <c r="K17" s="126">
        <f t="shared" si="3"/>
        <v>62.375</v>
      </c>
      <c r="L17" s="125">
        <f t="shared" si="2"/>
        <v>0</v>
      </c>
      <c r="M17" s="125"/>
      <c r="N17" s="125"/>
      <c r="O17" s="125"/>
      <c r="P17" s="125"/>
      <c r="Q17" s="125">
        <f t="shared" si="4"/>
        <v>0</v>
      </c>
      <c r="R17" s="125"/>
      <c r="S17" s="125"/>
      <c r="T17" s="125"/>
      <c r="U17" s="125"/>
      <c r="V17" s="126"/>
      <c r="W17" s="125">
        <f t="shared" si="5"/>
        <v>24950</v>
      </c>
      <c r="X17" s="179"/>
      <c r="Y17" s="43"/>
    </row>
    <row r="18" spans="1:25" s="21" customFormat="1" ht="30">
      <c r="A18" s="19"/>
      <c r="B18" s="22" t="s">
        <v>22</v>
      </c>
      <c r="C18" s="22" t="s">
        <v>182</v>
      </c>
      <c r="D18" s="23" t="s">
        <v>23</v>
      </c>
      <c r="E18" s="125">
        <v>605000</v>
      </c>
      <c r="F18" s="125"/>
      <c r="G18" s="125"/>
      <c r="H18" s="125">
        <v>346217.13</v>
      </c>
      <c r="I18" s="125"/>
      <c r="J18" s="125"/>
      <c r="K18" s="126">
        <f t="shared" si="3"/>
        <v>57.225971900826444</v>
      </c>
      <c r="L18" s="125">
        <f t="shared" si="2"/>
        <v>0</v>
      </c>
      <c r="M18" s="125"/>
      <c r="N18" s="125"/>
      <c r="O18" s="125"/>
      <c r="P18" s="125"/>
      <c r="Q18" s="125">
        <f t="shared" si="4"/>
        <v>0</v>
      </c>
      <c r="R18" s="125"/>
      <c r="S18" s="125"/>
      <c r="T18" s="125"/>
      <c r="U18" s="125"/>
      <c r="V18" s="126"/>
      <c r="W18" s="125">
        <f t="shared" si="5"/>
        <v>346217.13</v>
      </c>
      <c r="X18" s="179"/>
      <c r="Y18" s="43"/>
    </row>
    <row r="19" spans="1:25" s="21" customFormat="1" ht="15.75">
      <c r="A19" s="19"/>
      <c r="B19" s="22" t="s">
        <v>24</v>
      </c>
      <c r="C19" s="22" t="s">
        <v>182</v>
      </c>
      <c r="D19" s="23" t="s">
        <v>25</v>
      </c>
      <c r="E19" s="125">
        <v>511500</v>
      </c>
      <c r="F19" s="125">
        <v>338600</v>
      </c>
      <c r="G19" s="125">
        <v>72433</v>
      </c>
      <c r="H19" s="125">
        <v>356248.08</v>
      </c>
      <c r="I19" s="125">
        <v>247212.12</v>
      </c>
      <c r="J19" s="125">
        <v>44316.68</v>
      </c>
      <c r="K19" s="126">
        <f t="shared" si="3"/>
        <v>69.64771847507332</v>
      </c>
      <c r="L19" s="125">
        <f t="shared" si="2"/>
        <v>9645</v>
      </c>
      <c r="M19" s="125"/>
      <c r="N19" s="125"/>
      <c r="O19" s="125"/>
      <c r="P19" s="125">
        <v>9645</v>
      </c>
      <c r="Q19" s="125">
        <f t="shared" si="4"/>
        <v>1665</v>
      </c>
      <c r="R19" s="125">
        <v>1665</v>
      </c>
      <c r="S19" s="125"/>
      <c r="T19" s="125"/>
      <c r="U19" s="125"/>
      <c r="V19" s="126">
        <f aca="true" t="shared" si="6" ref="V19:V73">Q19/L19*100</f>
        <v>17.262830482115085</v>
      </c>
      <c r="W19" s="125">
        <f t="shared" si="5"/>
        <v>357913.08</v>
      </c>
      <c r="X19" s="179"/>
      <c r="Y19" s="43"/>
    </row>
    <row r="20" spans="1:25" s="21" customFormat="1" ht="90">
      <c r="A20" s="19"/>
      <c r="B20" s="22" t="s">
        <v>26</v>
      </c>
      <c r="C20" s="22" t="s">
        <v>182</v>
      </c>
      <c r="D20" s="24" t="s">
        <v>27</v>
      </c>
      <c r="E20" s="125">
        <f>189000+917888</f>
        <v>1106888</v>
      </c>
      <c r="F20" s="125"/>
      <c r="G20" s="125"/>
      <c r="H20" s="125">
        <v>1082540</v>
      </c>
      <c r="I20" s="125"/>
      <c r="J20" s="125"/>
      <c r="K20" s="126">
        <f t="shared" si="3"/>
        <v>97.80031945418145</v>
      </c>
      <c r="L20" s="125">
        <f t="shared" si="2"/>
        <v>0</v>
      </c>
      <c r="M20" s="125"/>
      <c r="N20" s="125"/>
      <c r="O20" s="125"/>
      <c r="P20" s="125"/>
      <c r="Q20" s="125">
        <f t="shared" si="4"/>
        <v>0</v>
      </c>
      <c r="R20" s="125"/>
      <c r="S20" s="125"/>
      <c r="T20" s="125"/>
      <c r="U20" s="125"/>
      <c r="V20" s="126"/>
      <c r="W20" s="125">
        <f t="shared" si="5"/>
        <v>1082540</v>
      </c>
      <c r="X20" s="179"/>
      <c r="Y20" s="43"/>
    </row>
    <row r="21" spans="1:25" s="21" customFormat="1" ht="15.75">
      <c r="A21" s="19"/>
      <c r="B21" s="22" t="s">
        <v>28</v>
      </c>
      <c r="C21" s="22" t="s">
        <v>183</v>
      </c>
      <c r="D21" s="23" t="s">
        <v>29</v>
      </c>
      <c r="E21" s="125">
        <f>125140+37439.79</f>
        <v>162579.79</v>
      </c>
      <c r="F21" s="125"/>
      <c r="G21" s="125">
        <f>124940+37439.79</f>
        <v>162379.79</v>
      </c>
      <c r="H21" s="125">
        <v>137201.11</v>
      </c>
      <c r="I21" s="125"/>
      <c r="J21" s="125">
        <v>137198.56</v>
      </c>
      <c r="K21" s="126">
        <f t="shared" si="3"/>
        <v>84.39001551176808</v>
      </c>
      <c r="L21" s="125">
        <f t="shared" si="2"/>
        <v>0</v>
      </c>
      <c r="M21" s="125"/>
      <c r="N21" s="125"/>
      <c r="O21" s="125"/>
      <c r="P21" s="125"/>
      <c r="Q21" s="125">
        <f t="shared" si="4"/>
        <v>0</v>
      </c>
      <c r="R21" s="125"/>
      <c r="S21" s="125"/>
      <c r="T21" s="125"/>
      <c r="U21" s="125"/>
      <c r="V21" s="126"/>
      <c r="W21" s="125">
        <f t="shared" si="5"/>
        <v>137201.11</v>
      </c>
      <c r="X21" s="179"/>
      <c r="Y21" s="43"/>
    </row>
    <row r="22" spans="1:25" s="21" customFormat="1" ht="30">
      <c r="A22" s="19"/>
      <c r="B22" s="22" t="s">
        <v>30</v>
      </c>
      <c r="C22" s="22" t="s">
        <v>184</v>
      </c>
      <c r="D22" s="23" t="s">
        <v>31</v>
      </c>
      <c r="E22" s="125">
        <v>1777655</v>
      </c>
      <c r="F22" s="125">
        <v>997413</v>
      </c>
      <c r="G22" s="125">
        <v>91785</v>
      </c>
      <c r="H22" s="125">
        <v>1296140.47</v>
      </c>
      <c r="I22" s="125">
        <v>718117.1</v>
      </c>
      <c r="J22" s="125">
        <v>49074.57</v>
      </c>
      <c r="K22" s="126">
        <f t="shared" si="3"/>
        <v>72.91293698721067</v>
      </c>
      <c r="L22" s="125">
        <f t="shared" si="2"/>
        <v>116759</v>
      </c>
      <c r="M22" s="125"/>
      <c r="N22" s="125"/>
      <c r="O22" s="125"/>
      <c r="P22" s="125">
        <f>70000+4759+69000-27000</f>
        <v>116759</v>
      </c>
      <c r="Q22" s="125">
        <f t="shared" si="4"/>
        <v>116047.72</v>
      </c>
      <c r="R22" s="125">
        <v>5400</v>
      </c>
      <c r="S22" s="125"/>
      <c r="T22" s="125"/>
      <c r="U22" s="125">
        <v>110647.72</v>
      </c>
      <c r="V22" s="126">
        <f t="shared" si="6"/>
        <v>99.39081355612844</v>
      </c>
      <c r="W22" s="125">
        <f t="shared" si="5"/>
        <v>1412188.19</v>
      </c>
      <c r="X22" s="179"/>
      <c r="Y22" s="43"/>
    </row>
    <row r="23" spans="1:25" s="21" customFormat="1" ht="15.75">
      <c r="A23" s="19"/>
      <c r="B23" s="22" t="s">
        <v>281</v>
      </c>
      <c r="C23" s="22" t="s">
        <v>282</v>
      </c>
      <c r="D23" s="23" t="s">
        <v>283</v>
      </c>
      <c r="E23" s="125">
        <v>101500</v>
      </c>
      <c r="F23" s="125"/>
      <c r="G23" s="125"/>
      <c r="H23" s="125">
        <v>44741</v>
      </c>
      <c r="I23" s="125"/>
      <c r="J23" s="125"/>
      <c r="K23" s="126">
        <f t="shared" si="3"/>
        <v>44.07980295566502</v>
      </c>
      <c r="L23" s="125">
        <f t="shared" si="2"/>
        <v>0</v>
      </c>
      <c r="M23" s="125"/>
      <c r="N23" s="125"/>
      <c r="O23" s="125"/>
      <c r="P23" s="125"/>
      <c r="Q23" s="125">
        <f t="shared" si="4"/>
        <v>0</v>
      </c>
      <c r="R23" s="125"/>
      <c r="S23" s="125"/>
      <c r="T23" s="125"/>
      <c r="U23" s="125"/>
      <c r="V23" s="126"/>
      <c r="W23" s="125">
        <f t="shared" si="5"/>
        <v>44741</v>
      </c>
      <c r="X23" s="179"/>
      <c r="Y23" s="43"/>
    </row>
    <row r="24" spans="1:25" s="21" customFormat="1" ht="30">
      <c r="A24" s="19"/>
      <c r="B24" s="22" t="s">
        <v>32</v>
      </c>
      <c r="C24" s="22" t="s">
        <v>185</v>
      </c>
      <c r="D24" s="23" t="s">
        <v>33</v>
      </c>
      <c r="E24" s="125">
        <v>500000</v>
      </c>
      <c r="F24" s="125"/>
      <c r="G24" s="125"/>
      <c r="H24" s="125">
        <v>206013.75</v>
      </c>
      <c r="I24" s="125"/>
      <c r="J24" s="125"/>
      <c r="K24" s="126">
        <f t="shared" si="3"/>
        <v>41.20275</v>
      </c>
      <c r="L24" s="125">
        <f t="shared" si="2"/>
        <v>0</v>
      </c>
      <c r="M24" s="125"/>
      <c r="N24" s="125"/>
      <c r="O24" s="125"/>
      <c r="P24" s="125"/>
      <c r="Q24" s="125">
        <f t="shared" si="4"/>
        <v>0</v>
      </c>
      <c r="R24" s="125"/>
      <c r="S24" s="125"/>
      <c r="T24" s="125"/>
      <c r="U24" s="125"/>
      <c r="V24" s="126"/>
      <c r="W24" s="125">
        <f t="shared" si="5"/>
        <v>206013.75</v>
      </c>
      <c r="X24" s="179"/>
      <c r="Y24" s="43"/>
    </row>
    <row r="25" spans="1:25" s="21" customFormat="1" ht="45">
      <c r="A25" s="19"/>
      <c r="B25" s="22" t="s">
        <v>34</v>
      </c>
      <c r="C25" s="22" t="s">
        <v>185</v>
      </c>
      <c r="D25" s="23" t="s">
        <v>35</v>
      </c>
      <c r="E25" s="125">
        <f>500000+16500+7280</f>
        <v>523780</v>
      </c>
      <c r="F25" s="125"/>
      <c r="G25" s="125"/>
      <c r="H25" s="125">
        <v>181361.78</v>
      </c>
      <c r="I25" s="125"/>
      <c r="J25" s="125"/>
      <c r="K25" s="126">
        <f t="shared" si="3"/>
        <v>34.62556416816221</v>
      </c>
      <c r="L25" s="125">
        <f t="shared" si="2"/>
        <v>0</v>
      </c>
      <c r="M25" s="125"/>
      <c r="N25" s="125"/>
      <c r="O25" s="125"/>
      <c r="P25" s="125"/>
      <c r="Q25" s="125">
        <f t="shared" si="4"/>
        <v>0</v>
      </c>
      <c r="R25" s="125"/>
      <c r="S25" s="125"/>
      <c r="T25" s="125"/>
      <c r="U25" s="125"/>
      <c r="V25" s="126"/>
      <c r="W25" s="125">
        <f t="shared" si="5"/>
        <v>181361.78</v>
      </c>
      <c r="X25" s="179"/>
      <c r="Y25" s="43"/>
    </row>
    <row r="26" spans="1:25" s="21" customFormat="1" ht="45">
      <c r="A26" s="19"/>
      <c r="B26" s="22" t="s">
        <v>36</v>
      </c>
      <c r="C26" s="22" t="s">
        <v>185</v>
      </c>
      <c r="D26" s="23" t="s">
        <v>37</v>
      </c>
      <c r="E26" s="125">
        <v>5322534</v>
      </c>
      <c r="F26" s="125">
        <v>3552608</v>
      </c>
      <c r="G26" s="125">
        <v>410216</v>
      </c>
      <c r="H26" s="125">
        <v>3800980.99</v>
      </c>
      <c r="I26" s="125">
        <v>2625460.41</v>
      </c>
      <c r="J26" s="125">
        <v>272210.69</v>
      </c>
      <c r="K26" s="126">
        <f t="shared" si="3"/>
        <v>71.41299595267968</v>
      </c>
      <c r="L26" s="125">
        <f t="shared" si="2"/>
        <v>197000</v>
      </c>
      <c r="M26" s="123"/>
      <c r="N26" s="123"/>
      <c r="O26" s="123"/>
      <c r="P26" s="125">
        <v>197000</v>
      </c>
      <c r="Q26" s="125">
        <f t="shared" si="4"/>
        <v>196379.6</v>
      </c>
      <c r="R26" s="125"/>
      <c r="S26" s="125"/>
      <c r="T26" s="125"/>
      <c r="U26" s="125">
        <v>196379.6</v>
      </c>
      <c r="V26" s="126">
        <f t="shared" si="6"/>
        <v>99.68507614213198</v>
      </c>
      <c r="W26" s="125">
        <f t="shared" si="5"/>
        <v>3997360.5900000003</v>
      </c>
      <c r="X26" s="179"/>
      <c r="Y26" s="43"/>
    </row>
    <row r="27" spans="1:25" s="21" customFormat="1" ht="15.75">
      <c r="A27" s="19"/>
      <c r="B27" s="22" t="s">
        <v>38</v>
      </c>
      <c r="C27" s="22" t="s">
        <v>185</v>
      </c>
      <c r="D27" s="23" t="s">
        <v>25</v>
      </c>
      <c r="E27" s="125">
        <v>2373363</v>
      </c>
      <c r="F27" s="125"/>
      <c r="G27" s="125"/>
      <c r="H27" s="125">
        <v>1905468.16</v>
      </c>
      <c r="I27" s="125"/>
      <c r="J27" s="125"/>
      <c r="K27" s="126">
        <f t="shared" si="3"/>
        <v>80.28557620557832</v>
      </c>
      <c r="L27" s="125">
        <f t="shared" si="2"/>
        <v>0</v>
      </c>
      <c r="M27" s="123"/>
      <c r="N27" s="123"/>
      <c r="O27" s="123"/>
      <c r="P27" s="125"/>
      <c r="Q27" s="125">
        <f t="shared" si="4"/>
        <v>0</v>
      </c>
      <c r="R27" s="125"/>
      <c r="S27" s="125"/>
      <c r="T27" s="125"/>
      <c r="U27" s="125"/>
      <c r="V27" s="126"/>
      <c r="W27" s="125">
        <f t="shared" si="5"/>
        <v>1905468.16</v>
      </c>
      <c r="X27" s="179"/>
      <c r="Y27" s="43"/>
    </row>
    <row r="28" spans="1:25" s="21" customFormat="1" ht="30">
      <c r="A28" s="19"/>
      <c r="B28" s="22" t="s">
        <v>39</v>
      </c>
      <c r="C28" s="22" t="s">
        <v>185</v>
      </c>
      <c r="D28" s="23" t="s">
        <v>40</v>
      </c>
      <c r="E28" s="125">
        <v>2125166</v>
      </c>
      <c r="F28" s="125">
        <v>935492</v>
      </c>
      <c r="G28" s="125">
        <v>384290</v>
      </c>
      <c r="H28" s="125">
        <v>1274902.93</v>
      </c>
      <c r="I28" s="125">
        <v>689021.11</v>
      </c>
      <c r="J28" s="125">
        <v>194463.69</v>
      </c>
      <c r="K28" s="126">
        <f t="shared" si="3"/>
        <v>59.990745664103414</v>
      </c>
      <c r="L28" s="125">
        <f t="shared" si="2"/>
        <v>817714</v>
      </c>
      <c r="M28" s="125">
        <v>317714</v>
      </c>
      <c r="N28" s="125">
        <v>144491</v>
      </c>
      <c r="O28" s="125">
        <v>97628</v>
      </c>
      <c r="P28" s="125">
        <v>500000</v>
      </c>
      <c r="Q28" s="125">
        <f t="shared" si="4"/>
        <v>659914.97</v>
      </c>
      <c r="R28" s="125">
        <v>164385.43</v>
      </c>
      <c r="S28" s="125">
        <v>69822.95</v>
      </c>
      <c r="T28" s="125">
        <v>46358.62</v>
      </c>
      <c r="U28" s="125">
        <v>495529.54</v>
      </c>
      <c r="V28" s="126">
        <f t="shared" si="6"/>
        <v>80.70241796031375</v>
      </c>
      <c r="W28" s="125">
        <f t="shared" si="5"/>
        <v>1934817.9</v>
      </c>
      <c r="X28" s="179"/>
      <c r="Y28" s="43"/>
    </row>
    <row r="29" spans="1:25" s="21" customFormat="1" ht="75">
      <c r="A29" s="19"/>
      <c r="B29" s="22" t="s">
        <v>41</v>
      </c>
      <c r="C29" s="22" t="s">
        <v>185</v>
      </c>
      <c r="D29" s="23" t="s">
        <v>42</v>
      </c>
      <c r="E29" s="125">
        <v>4212877</v>
      </c>
      <c r="F29" s="125"/>
      <c r="G29" s="125"/>
      <c r="H29" s="125">
        <v>2990989.8</v>
      </c>
      <c r="I29" s="125"/>
      <c r="J29" s="125"/>
      <c r="K29" s="126">
        <f t="shared" si="3"/>
        <v>70.9963713633225</v>
      </c>
      <c r="L29" s="125">
        <f t="shared" si="2"/>
        <v>23000</v>
      </c>
      <c r="M29" s="123"/>
      <c r="N29" s="123"/>
      <c r="O29" s="123"/>
      <c r="P29" s="125">
        <v>23000</v>
      </c>
      <c r="Q29" s="125">
        <f t="shared" si="4"/>
        <v>23000</v>
      </c>
      <c r="R29" s="125"/>
      <c r="S29" s="125"/>
      <c r="T29" s="125"/>
      <c r="U29" s="125">
        <v>23000</v>
      </c>
      <c r="V29" s="126">
        <f t="shared" si="6"/>
        <v>100</v>
      </c>
      <c r="W29" s="125">
        <f t="shared" si="5"/>
        <v>3013989.8</v>
      </c>
      <c r="X29" s="179"/>
      <c r="Y29" s="43"/>
    </row>
    <row r="30" spans="1:25" s="21" customFormat="1" ht="30">
      <c r="A30" s="19"/>
      <c r="B30" s="22" t="s">
        <v>285</v>
      </c>
      <c r="C30" s="22" t="s">
        <v>286</v>
      </c>
      <c r="D30" s="23" t="s">
        <v>287</v>
      </c>
      <c r="E30" s="125">
        <v>99000</v>
      </c>
      <c r="F30" s="125"/>
      <c r="G30" s="125"/>
      <c r="H30" s="125">
        <v>99000</v>
      </c>
      <c r="I30" s="125"/>
      <c r="J30" s="125"/>
      <c r="K30" s="126">
        <f t="shared" si="3"/>
        <v>100</v>
      </c>
      <c r="L30" s="125">
        <f t="shared" si="2"/>
        <v>0</v>
      </c>
      <c r="M30" s="123"/>
      <c r="N30" s="123"/>
      <c r="O30" s="123"/>
      <c r="P30" s="125"/>
      <c r="Q30" s="125">
        <f t="shared" si="4"/>
        <v>0</v>
      </c>
      <c r="R30" s="125"/>
      <c r="S30" s="125"/>
      <c r="T30" s="125"/>
      <c r="U30" s="125"/>
      <c r="V30" s="126"/>
      <c r="W30" s="125">
        <f t="shared" si="5"/>
        <v>99000</v>
      </c>
      <c r="X30" s="179"/>
      <c r="Y30" s="43"/>
    </row>
    <row r="31" spans="1:25" s="21" customFormat="1" ht="30">
      <c r="A31" s="19"/>
      <c r="B31" s="22" t="s">
        <v>295</v>
      </c>
      <c r="C31" s="22" t="s">
        <v>314</v>
      </c>
      <c r="D31" s="23" t="s">
        <v>297</v>
      </c>
      <c r="E31" s="125">
        <v>1642000</v>
      </c>
      <c r="F31" s="125"/>
      <c r="G31" s="125"/>
      <c r="H31" s="125">
        <v>653746.5</v>
      </c>
      <c r="I31" s="125"/>
      <c r="J31" s="125"/>
      <c r="K31" s="126">
        <f t="shared" si="3"/>
        <v>39.81403775883069</v>
      </c>
      <c r="L31" s="125">
        <f t="shared" si="2"/>
        <v>0</v>
      </c>
      <c r="M31" s="123"/>
      <c r="N31" s="123"/>
      <c r="O31" s="123"/>
      <c r="P31" s="125"/>
      <c r="Q31" s="125">
        <f t="shared" si="4"/>
        <v>0</v>
      </c>
      <c r="R31" s="125"/>
      <c r="S31" s="125"/>
      <c r="T31" s="125"/>
      <c r="U31" s="125"/>
      <c r="V31" s="126"/>
      <c r="W31" s="125">
        <f t="shared" si="5"/>
        <v>653746.5</v>
      </c>
      <c r="X31" s="179"/>
      <c r="Y31" s="43"/>
    </row>
    <row r="32" spans="1:25" s="21" customFormat="1" ht="30">
      <c r="A32" s="19"/>
      <c r="B32" s="22" t="s">
        <v>302</v>
      </c>
      <c r="C32" s="22" t="s">
        <v>314</v>
      </c>
      <c r="D32" s="23" t="s">
        <v>303</v>
      </c>
      <c r="E32" s="125">
        <f>150000+200000+156400+1941100</f>
        <v>2447500</v>
      </c>
      <c r="F32" s="125"/>
      <c r="G32" s="125"/>
      <c r="H32" s="125">
        <v>2445565.01</v>
      </c>
      <c r="I32" s="125"/>
      <c r="J32" s="125"/>
      <c r="K32" s="126">
        <f t="shared" si="3"/>
        <v>99.92094014300305</v>
      </c>
      <c r="L32" s="125">
        <f t="shared" si="2"/>
        <v>0</v>
      </c>
      <c r="M32" s="123"/>
      <c r="N32" s="123"/>
      <c r="O32" s="123"/>
      <c r="P32" s="125"/>
      <c r="Q32" s="125">
        <f t="shared" si="4"/>
        <v>0</v>
      </c>
      <c r="R32" s="125"/>
      <c r="S32" s="125"/>
      <c r="T32" s="125"/>
      <c r="U32" s="125"/>
      <c r="V32" s="126"/>
      <c r="W32" s="125">
        <f t="shared" si="5"/>
        <v>2445565.01</v>
      </c>
      <c r="X32" s="179"/>
      <c r="Y32" s="43"/>
    </row>
    <row r="33" spans="1:25" s="21" customFormat="1" ht="30">
      <c r="A33" s="19"/>
      <c r="B33" s="22" t="s">
        <v>296</v>
      </c>
      <c r="C33" s="22" t="s">
        <v>315</v>
      </c>
      <c r="D33" s="23" t="s">
        <v>298</v>
      </c>
      <c r="E33" s="125">
        <v>3607600</v>
      </c>
      <c r="F33" s="125"/>
      <c r="G33" s="125"/>
      <c r="H33" s="125">
        <v>1865713</v>
      </c>
      <c r="I33" s="125"/>
      <c r="J33" s="125"/>
      <c r="K33" s="126">
        <f t="shared" si="3"/>
        <v>51.716182503603505</v>
      </c>
      <c r="L33" s="125">
        <f t="shared" si="2"/>
        <v>0</v>
      </c>
      <c r="M33" s="123"/>
      <c r="N33" s="123"/>
      <c r="O33" s="123"/>
      <c r="P33" s="125"/>
      <c r="Q33" s="125">
        <f t="shared" si="4"/>
        <v>0</v>
      </c>
      <c r="R33" s="125"/>
      <c r="S33" s="125"/>
      <c r="T33" s="125"/>
      <c r="U33" s="125"/>
      <c r="V33" s="126"/>
      <c r="W33" s="125">
        <f t="shared" si="5"/>
        <v>1865713</v>
      </c>
      <c r="X33" s="179"/>
      <c r="Y33" s="43"/>
    </row>
    <row r="34" spans="1:25" s="21" customFormat="1" ht="45">
      <c r="A34" s="19"/>
      <c r="B34" s="22" t="s">
        <v>148</v>
      </c>
      <c r="C34" s="22" t="s">
        <v>207</v>
      </c>
      <c r="D34" s="23" t="s">
        <v>149</v>
      </c>
      <c r="E34" s="125">
        <v>32500</v>
      </c>
      <c r="F34" s="125"/>
      <c r="G34" s="125"/>
      <c r="H34" s="125">
        <v>5265</v>
      </c>
      <c r="I34" s="125"/>
      <c r="J34" s="125"/>
      <c r="K34" s="126">
        <f t="shared" si="3"/>
        <v>16.2</v>
      </c>
      <c r="L34" s="125">
        <f t="shared" si="2"/>
        <v>0</v>
      </c>
      <c r="M34" s="123"/>
      <c r="N34" s="123"/>
      <c r="O34" s="123"/>
      <c r="P34" s="125"/>
      <c r="Q34" s="125">
        <f t="shared" si="4"/>
        <v>0</v>
      </c>
      <c r="R34" s="125"/>
      <c r="S34" s="125"/>
      <c r="T34" s="125"/>
      <c r="U34" s="125"/>
      <c r="V34" s="126"/>
      <c r="W34" s="125">
        <f>H34+Q34</f>
        <v>5265</v>
      </c>
      <c r="X34" s="179"/>
      <c r="Y34" s="43"/>
    </row>
    <row r="35" spans="1:25" s="21" customFormat="1" ht="15.75">
      <c r="A35" s="19"/>
      <c r="B35" s="22" t="s">
        <v>43</v>
      </c>
      <c r="C35" s="22" t="s">
        <v>186</v>
      </c>
      <c r="D35" s="23" t="s">
        <v>44</v>
      </c>
      <c r="E35" s="125">
        <f>2000000+2000000+98040+1600000+420000+1474800+3058900</f>
        <v>10651740</v>
      </c>
      <c r="F35" s="123"/>
      <c r="G35" s="123"/>
      <c r="H35" s="125">
        <v>10651350</v>
      </c>
      <c r="I35" s="125"/>
      <c r="J35" s="125"/>
      <c r="K35" s="126">
        <f t="shared" si="3"/>
        <v>99.99633862636527</v>
      </c>
      <c r="L35" s="125">
        <f t="shared" si="2"/>
        <v>650000</v>
      </c>
      <c r="M35" s="125"/>
      <c r="N35" s="125"/>
      <c r="O35" s="125"/>
      <c r="P35" s="125">
        <v>650000</v>
      </c>
      <c r="Q35" s="125">
        <f t="shared" si="4"/>
        <v>194907.42</v>
      </c>
      <c r="R35" s="125"/>
      <c r="S35" s="125"/>
      <c r="T35" s="125"/>
      <c r="U35" s="125">
        <v>194907.42</v>
      </c>
      <c r="V35" s="126"/>
      <c r="W35" s="125">
        <f t="shared" si="5"/>
        <v>10846257.42</v>
      </c>
      <c r="X35" s="179"/>
      <c r="Y35" s="43"/>
    </row>
    <row r="36" spans="1:25" s="21" customFormat="1" ht="30">
      <c r="A36" s="19"/>
      <c r="B36" s="22" t="s">
        <v>45</v>
      </c>
      <c r="C36" s="22" t="s">
        <v>187</v>
      </c>
      <c r="D36" s="23" t="s">
        <v>46</v>
      </c>
      <c r="E36" s="125">
        <v>85000</v>
      </c>
      <c r="F36" s="123"/>
      <c r="G36" s="123"/>
      <c r="H36" s="125">
        <v>52772.16</v>
      </c>
      <c r="I36" s="123"/>
      <c r="J36" s="123"/>
      <c r="K36" s="126">
        <f t="shared" si="3"/>
        <v>62.08489411764706</v>
      </c>
      <c r="L36" s="125">
        <f t="shared" si="2"/>
        <v>0</v>
      </c>
      <c r="M36" s="123"/>
      <c r="N36" s="123"/>
      <c r="O36" s="123"/>
      <c r="P36" s="125"/>
      <c r="Q36" s="125">
        <f t="shared" si="4"/>
        <v>0</v>
      </c>
      <c r="R36" s="125"/>
      <c r="S36" s="125"/>
      <c r="T36" s="125"/>
      <c r="U36" s="125"/>
      <c r="V36" s="126"/>
      <c r="W36" s="125">
        <f t="shared" si="5"/>
        <v>52772.16</v>
      </c>
      <c r="X36" s="179"/>
      <c r="Y36" s="43"/>
    </row>
    <row r="37" spans="1:25" s="21" customFormat="1" ht="60">
      <c r="A37" s="19"/>
      <c r="B37" s="22" t="s">
        <v>47</v>
      </c>
      <c r="C37" s="22" t="s">
        <v>188</v>
      </c>
      <c r="D37" s="23" t="s">
        <v>48</v>
      </c>
      <c r="E37" s="125">
        <v>0</v>
      </c>
      <c r="F37" s="123"/>
      <c r="G37" s="123"/>
      <c r="H37" s="125"/>
      <c r="I37" s="123"/>
      <c r="J37" s="123"/>
      <c r="K37" s="126" t="e">
        <f t="shared" si="3"/>
        <v>#DIV/0!</v>
      </c>
      <c r="L37" s="125">
        <f t="shared" si="2"/>
        <v>51400000</v>
      </c>
      <c r="M37" s="123"/>
      <c r="N37" s="123"/>
      <c r="O37" s="123"/>
      <c r="P37" s="125">
        <f>46000000+5400000</f>
        <v>51400000</v>
      </c>
      <c r="Q37" s="125">
        <f t="shared" si="4"/>
        <v>6672985.2</v>
      </c>
      <c r="R37" s="125"/>
      <c r="S37" s="125"/>
      <c r="T37" s="125"/>
      <c r="U37" s="125">
        <v>6672985.2</v>
      </c>
      <c r="V37" s="126">
        <f t="shared" si="6"/>
        <v>12.982461478599221</v>
      </c>
      <c r="W37" s="125">
        <f t="shared" si="5"/>
        <v>6672985.2</v>
      </c>
      <c r="X37" s="179"/>
      <c r="Y37" s="43"/>
    </row>
    <row r="38" spans="1:25" s="21" customFormat="1" ht="30">
      <c r="A38" s="19"/>
      <c r="B38" s="22" t="s">
        <v>49</v>
      </c>
      <c r="C38" s="22" t="s">
        <v>187</v>
      </c>
      <c r="D38" s="23" t="s">
        <v>50</v>
      </c>
      <c r="E38" s="125">
        <v>837300</v>
      </c>
      <c r="F38" s="123"/>
      <c r="G38" s="123"/>
      <c r="H38" s="125">
        <v>49594.64</v>
      </c>
      <c r="I38" s="125"/>
      <c r="J38" s="125"/>
      <c r="K38" s="126">
        <f t="shared" si="3"/>
        <v>5.923162546279709</v>
      </c>
      <c r="L38" s="125">
        <f t="shared" si="2"/>
        <v>0</v>
      </c>
      <c r="M38" s="123"/>
      <c r="N38" s="123"/>
      <c r="O38" s="123"/>
      <c r="P38" s="123"/>
      <c r="Q38" s="125">
        <f t="shared" si="4"/>
        <v>0</v>
      </c>
      <c r="R38" s="123"/>
      <c r="S38" s="123"/>
      <c r="T38" s="123"/>
      <c r="U38" s="123"/>
      <c r="V38" s="126"/>
      <c r="W38" s="125">
        <f t="shared" si="5"/>
        <v>49594.64</v>
      </c>
      <c r="X38" s="179"/>
      <c r="Y38" s="43"/>
    </row>
    <row r="39" spans="1:25" s="21" customFormat="1" ht="45">
      <c r="A39" s="19"/>
      <c r="B39" s="22" t="s">
        <v>51</v>
      </c>
      <c r="C39" s="22" t="s">
        <v>189</v>
      </c>
      <c r="D39" s="23" t="s">
        <v>52</v>
      </c>
      <c r="E39" s="125">
        <v>172410</v>
      </c>
      <c r="F39" s="123"/>
      <c r="G39" s="125">
        <v>4300</v>
      </c>
      <c r="H39" s="125">
        <v>115094.21</v>
      </c>
      <c r="I39" s="125"/>
      <c r="J39" s="125">
        <v>3043.3</v>
      </c>
      <c r="K39" s="126">
        <f t="shared" si="3"/>
        <v>66.75611043442956</v>
      </c>
      <c r="L39" s="125">
        <f t="shared" si="2"/>
        <v>343874</v>
      </c>
      <c r="M39" s="125"/>
      <c r="N39" s="125"/>
      <c r="O39" s="125"/>
      <c r="P39" s="125">
        <v>343874</v>
      </c>
      <c r="Q39" s="125">
        <f t="shared" si="4"/>
        <v>0</v>
      </c>
      <c r="R39" s="125"/>
      <c r="S39" s="125"/>
      <c r="T39" s="125"/>
      <c r="U39" s="125"/>
      <c r="V39" s="126">
        <f t="shared" si="6"/>
        <v>0</v>
      </c>
      <c r="W39" s="125">
        <f t="shared" si="5"/>
        <v>115094.21</v>
      </c>
      <c r="X39" s="180">
        <v>17</v>
      </c>
      <c r="Y39" s="43"/>
    </row>
    <row r="40" spans="1:25" s="21" customFormat="1" ht="15.75">
      <c r="A40" s="19"/>
      <c r="B40" s="25" t="s">
        <v>53</v>
      </c>
      <c r="C40" s="25" t="s">
        <v>190</v>
      </c>
      <c r="D40" s="23" t="s">
        <v>54</v>
      </c>
      <c r="E40" s="125">
        <v>900100</v>
      </c>
      <c r="F40" s="125">
        <v>640600</v>
      </c>
      <c r="G40" s="125">
        <v>46377</v>
      </c>
      <c r="H40" s="125">
        <v>643098.29</v>
      </c>
      <c r="I40" s="125">
        <v>452176.79</v>
      </c>
      <c r="J40" s="125">
        <v>35592.57</v>
      </c>
      <c r="K40" s="126">
        <f t="shared" si="3"/>
        <v>71.44742695256083</v>
      </c>
      <c r="L40" s="125">
        <f t="shared" si="2"/>
        <v>4700</v>
      </c>
      <c r="M40" s="125">
        <v>4700</v>
      </c>
      <c r="N40" s="125"/>
      <c r="O40" s="125">
        <v>720</v>
      </c>
      <c r="P40" s="125"/>
      <c r="Q40" s="125">
        <f t="shared" si="4"/>
        <v>10999.53</v>
      </c>
      <c r="R40" s="125">
        <v>10999.53</v>
      </c>
      <c r="S40" s="125"/>
      <c r="T40" s="125"/>
      <c r="U40" s="125"/>
      <c r="V40" s="126">
        <f t="shared" si="6"/>
        <v>234.0325531914894</v>
      </c>
      <c r="W40" s="125">
        <f t="shared" si="5"/>
        <v>654097.8200000001</v>
      </c>
      <c r="X40" s="180"/>
      <c r="Y40" s="43"/>
    </row>
    <row r="41" spans="1:25" s="21" customFormat="1" ht="30">
      <c r="A41" s="19"/>
      <c r="B41" s="25" t="s">
        <v>55</v>
      </c>
      <c r="C41" s="25" t="s">
        <v>191</v>
      </c>
      <c r="D41" s="23" t="s">
        <v>56</v>
      </c>
      <c r="E41" s="125"/>
      <c r="F41" s="125"/>
      <c r="G41" s="125"/>
      <c r="H41" s="125"/>
      <c r="I41" s="125"/>
      <c r="J41" s="125"/>
      <c r="K41" s="126"/>
      <c r="L41" s="125">
        <f t="shared" si="2"/>
        <v>30600</v>
      </c>
      <c r="M41" s="125">
        <v>30600</v>
      </c>
      <c r="N41" s="125"/>
      <c r="O41" s="125"/>
      <c r="P41" s="125"/>
      <c r="Q41" s="125">
        <f t="shared" si="4"/>
        <v>21500</v>
      </c>
      <c r="R41" s="125">
        <v>21500</v>
      </c>
      <c r="S41" s="125"/>
      <c r="T41" s="125"/>
      <c r="U41" s="125"/>
      <c r="V41" s="126">
        <f t="shared" si="6"/>
        <v>70.26143790849673</v>
      </c>
      <c r="W41" s="125">
        <f t="shared" si="5"/>
        <v>21500</v>
      </c>
      <c r="X41" s="180"/>
      <c r="Y41" s="43"/>
    </row>
    <row r="42" spans="1:25" s="21" customFormat="1" ht="60">
      <c r="A42" s="19"/>
      <c r="B42" s="22" t="s">
        <v>57</v>
      </c>
      <c r="C42" s="22" t="s">
        <v>192</v>
      </c>
      <c r="D42" s="23" t="s">
        <v>58</v>
      </c>
      <c r="E42" s="125">
        <v>0</v>
      </c>
      <c r="F42" s="125"/>
      <c r="G42" s="125"/>
      <c r="H42" s="125"/>
      <c r="I42" s="125"/>
      <c r="J42" s="125"/>
      <c r="K42" s="126"/>
      <c r="L42" s="125">
        <f t="shared" si="2"/>
        <v>120443.47</v>
      </c>
      <c r="M42" s="125">
        <f>119543+900.47</f>
        <v>120443.47</v>
      </c>
      <c r="N42" s="125"/>
      <c r="O42" s="125"/>
      <c r="P42" s="125"/>
      <c r="Q42" s="125">
        <f t="shared" si="4"/>
        <v>49962.87</v>
      </c>
      <c r="R42" s="125">
        <v>49962.87</v>
      </c>
      <c r="S42" s="125"/>
      <c r="T42" s="125"/>
      <c r="U42" s="125"/>
      <c r="V42" s="126">
        <f t="shared" si="6"/>
        <v>41.48242324801835</v>
      </c>
      <c r="W42" s="125">
        <f t="shared" si="5"/>
        <v>49962.87</v>
      </c>
      <c r="X42" s="180"/>
      <c r="Y42" s="43"/>
    </row>
    <row r="43" spans="1:25" s="21" customFormat="1" ht="60">
      <c r="A43" s="19"/>
      <c r="B43" s="22" t="s">
        <v>316</v>
      </c>
      <c r="C43" s="22" t="s">
        <v>224</v>
      </c>
      <c r="D43" s="23" t="s">
        <v>317</v>
      </c>
      <c r="E43" s="125">
        <v>501170</v>
      </c>
      <c r="F43" s="125"/>
      <c r="G43" s="125"/>
      <c r="H43" s="125">
        <v>481170</v>
      </c>
      <c r="I43" s="125"/>
      <c r="J43" s="125"/>
      <c r="K43" s="126">
        <f t="shared" si="3"/>
        <v>96.00933814873197</v>
      </c>
      <c r="L43" s="125">
        <f t="shared" si="2"/>
        <v>518830</v>
      </c>
      <c r="M43" s="125"/>
      <c r="N43" s="125"/>
      <c r="O43" s="125"/>
      <c r="P43" s="125">
        <v>518830</v>
      </c>
      <c r="Q43" s="125">
        <f t="shared" si="4"/>
        <v>18830</v>
      </c>
      <c r="R43" s="125"/>
      <c r="S43" s="125"/>
      <c r="T43" s="125"/>
      <c r="U43" s="125">
        <v>18830</v>
      </c>
      <c r="V43" s="126"/>
      <c r="W43" s="125">
        <f t="shared" si="5"/>
        <v>500000</v>
      </c>
      <c r="X43" s="180"/>
      <c r="Y43" s="43"/>
    </row>
    <row r="44" spans="1:25" s="21" customFormat="1" ht="15.75">
      <c r="A44" s="19"/>
      <c r="B44" s="22" t="s">
        <v>59</v>
      </c>
      <c r="C44" s="22" t="s">
        <v>192</v>
      </c>
      <c r="D44" s="23" t="s">
        <v>25</v>
      </c>
      <c r="E44" s="125">
        <v>2354437</v>
      </c>
      <c r="F44" s="125"/>
      <c r="G44" s="125">
        <v>196820</v>
      </c>
      <c r="H44" s="125">
        <v>947005.06</v>
      </c>
      <c r="I44" s="125"/>
      <c r="J44" s="125">
        <v>119115.5</v>
      </c>
      <c r="K44" s="126">
        <f t="shared" si="3"/>
        <v>40.22214482697987</v>
      </c>
      <c r="L44" s="125">
        <f t="shared" si="2"/>
        <v>114000</v>
      </c>
      <c r="M44" s="123"/>
      <c r="N44" s="123"/>
      <c r="O44" s="123"/>
      <c r="P44" s="125">
        <f>89000+25000</f>
        <v>114000</v>
      </c>
      <c r="Q44" s="125">
        <f t="shared" si="4"/>
        <v>0</v>
      </c>
      <c r="R44" s="123"/>
      <c r="S44" s="123"/>
      <c r="T44" s="123"/>
      <c r="U44" s="125"/>
      <c r="V44" s="126">
        <f t="shared" si="6"/>
        <v>0</v>
      </c>
      <c r="W44" s="125">
        <f t="shared" si="5"/>
        <v>947005.06</v>
      </c>
      <c r="X44" s="180"/>
      <c r="Y44" s="43"/>
    </row>
    <row r="45" spans="1:25" s="21" customFormat="1" ht="28.5">
      <c r="A45" s="19"/>
      <c r="B45" s="26"/>
      <c r="C45" s="26"/>
      <c r="D45" s="27" t="s">
        <v>193</v>
      </c>
      <c r="E45" s="123">
        <f aca="true" t="shared" si="7" ref="E45:J45">SUM(E46:E62)</f>
        <v>432485889.06</v>
      </c>
      <c r="F45" s="123">
        <f t="shared" si="7"/>
        <v>250282671</v>
      </c>
      <c r="G45" s="123">
        <f t="shared" si="7"/>
        <v>59900211</v>
      </c>
      <c r="H45" s="123">
        <f t="shared" si="7"/>
        <v>301336324.53000003</v>
      </c>
      <c r="I45" s="123">
        <f t="shared" si="7"/>
        <v>184566872.89999998</v>
      </c>
      <c r="J45" s="123">
        <f t="shared" si="7"/>
        <v>35840212.51</v>
      </c>
      <c r="K45" s="124">
        <f>H45/E45*100</f>
        <v>69.67541188105557</v>
      </c>
      <c r="L45" s="123">
        <f aca="true" t="shared" si="8" ref="L45:T45">SUM(L46:L62)</f>
        <v>60070568.45</v>
      </c>
      <c r="M45" s="123">
        <f t="shared" si="8"/>
        <v>36448867</v>
      </c>
      <c r="N45" s="123">
        <f t="shared" si="8"/>
        <v>2470383</v>
      </c>
      <c r="O45" s="123">
        <f t="shared" si="8"/>
        <v>1518188</v>
      </c>
      <c r="P45" s="123">
        <f>SUM(P46:P62)</f>
        <v>23621701.45</v>
      </c>
      <c r="Q45" s="123">
        <f t="shared" si="8"/>
        <v>41352916.769999996</v>
      </c>
      <c r="R45" s="123">
        <f t="shared" si="8"/>
        <v>20866763.040000003</v>
      </c>
      <c r="S45" s="123">
        <f t="shared" si="8"/>
        <v>1335214.69</v>
      </c>
      <c r="T45" s="123">
        <f t="shared" si="8"/>
        <v>815217.2</v>
      </c>
      <c r="U45" s="123">
        <f>SUM(U46:U62)</f>
        <v>20486153.730000004</v>
      </c>
      <c r="V45" s="124">
        <f t="shared" si="6"/>
        <v>68.84056175433112</v>
      </c>
      <c r="W45" s="123">
        <f>SUM(W46:W62)</f>
        <v>342689241.3</v>
      </c>
      <c r="X45" s="180"/>
      <c r="Y45" s="43"/>
    </row>
    <row r="46" spans="1:25" s="21" customFormat="1" ht="15.75">
      <c r="A46" s="19"/>
      <c r="B46" s="22" t="s">
        <v>11</v>
      </c>
      <c r="C46" s="22" t="s">
        <v>9</v>
      </c>
      <c r="D46" s="23" t="s">
        <v>15</v>
      </c>
      <c r="E46" s="125">
        <v>1027801</v>
      </c>
      <c r="F46" s="125">
        <v>756179</v>
      </c>
      <c r="G46" s="125">
        <v>24724</v>
      </c>
      <c r="H46" s="125">
        <v>701420.2</v>
      </c>
      <c r="I46" s="125">
        <v>521984.44</v>
      </c>
      <c r="J46" s="125">
        <v>15787.44</v>
      </c>
      <c r="K46" s="126">
        <f>H46/E46*100</f>
        <v>68.24474776732072</v>
      </c>
      <c r="L46" s="125">
        <f>M46+P46</f>
        <v>194600</v>
      </c>
      <c r="M46" s="123"/>
      <c r="N46" s="123"/>
      <c r="O46" s="123"/>
      <c r="P46" s="125">
        <v>194600</v>
      </c>
      <c r="Q46" s="125">
        <f>R46+U46</f>
        <v>193170.76</v>
      </c>
      <c r="R46" s="125"/>
      <c r="S46" s="125"/>
      <c r="T46" s="125"/>
      <c r="U46" s="125">
        <v>193170.76</v>
      </c>
      <c r="V46" s="126">
        <f t="shared" si="6"/>
        <v>99.26554984583763</v>
      </c>
      <c r="W46" s="125">
        <f>H46+Q46</f>
        <v>894590.96</v>
      </c>
      <c r="X46" s="180"/>
      <c r="Y46" s="43"/>
    </row>
    <row r="47" spans="1:25" s="21" customFormat="1" ht="15.75">
      <c r="A47" s="19"/>
      <c r="B47" s="22" t="s">
        <v>60</v>
      </c>
      <c r="C47" s="22" t="s">
        <v>194</v>
      </c>
      <c r="D47" s="23" t="s">
        <v>61</v>
      </c>
      <c r="E47" s="125">
        <v>113571819</v>
      </c>
      <c r="F47" s="125">
        <v>64004135</v>
      </c>
      <c r="G47" s="125">
        <v>19789563</v>
      </c>
      <c r="H47" s="125">
        <v>79411654.67</v>
      </c>
      <c r="I47" s="125">
        <v>47203234.99</v>
      </c>
      <c r="J47" s="125">
        <v>11807582.73</v>
      </c>
      <c r="K47" s="126">
        <f aca="true" t="shared" si="9" ref="K47:K60">H47/E47*100</f>
        <v>69.92197128585217</v>
      </c>
      <c r="L47" s="125">
        <f aca="true" t="shared" si="10" ref="L47:L62">M47+P47</f>
        <v>17456747</v>
      </c>
      <c r="M47" s="125">
        <v>11284686</v>
      </c>
      <c r="N47" s="125"/>
      <c r="O47" s="125"/>
      <c r="P47" s="125">
        <f>4938842+1197300+35919</f>
        <v>6172061</v>
      </c>
      <c r="Q47" s="125">
        <f aca="true" t="shared" si="11" ref="Q47:Q62">R47+U47</f>
        <v>11710504.379999999</v>
      </c>
      <c r="R47" s="125">
        <v>6896019.72</v>
      </c>
      <c r="S47" s="125"/>
      <c r="T47" s="125"/>
      <c r="U47" s="125">
        <v>4814484.66</v>
      </c>
      <c r="V47" s="126">
        <f t="shared" si="6"/>
        <v>67.08297015474875</v>
      </c>
      <c r="W47" s="125">
        <f aca="true" t="shared" si="12" ref="W47:W62">H47+Q47</f>
        <v>91122159.05</v>
      </c>
      <c r="X47" s="180"/>
      <c r="Y47" s="43"/>
    </row>
    <row r="48" spans="1:25" s="21" customFormat="1" ht="60">
      <c r="A48" s="19"/>
      <c r="B48" s="22" t="s">
        <v>62</v>
      </c>
      <c r="C48" s="22" t="s">
        <v>195</v>
      </c>
      <c r="D48" s="23" t="s">
        <v>63</v>
      </c>
      <c r="E48" s="125">
        <v>234314747.31</v>
      </c>
      <c r="F48" s="125">
        <v>141349950</v>
      </c>
      <c r="G48" s="125">
        <v>31014749</v>
      </c>
      <c r="H48" s="125">
        <v>163531614.03</v>
      </c>
      <c r="I48" s="125">
        <v>104641536.36</v>
      </c>
      <c r="J48" s="125">
        <v>18334579.99</v>
      </c>
      <c r="K48" s="126">
        <f t="shared" si="9"/>
        <v>69.79143050422113</v>
      </c>
      <c r="L48" s="125">
        <f t="shared" si="10"/>
        <v>34400398.45</v>
      </c>
      <c r="M48" s="125">
        <v>18497171</v>
      </c>
      <c r="N48" s="125">
        <v>740455</v>
      </c>
      <c r="O48" s="125">
        <v>47940</v>
      </c>
      <c r="P48" s="125">
        <f>14741846.45+1197300-35919</f>
        <v>15903227.45</v>
      </c>
      <c r="Q48" s="125">
        <f t="shared" si="11"/>
        <v>24093399.63</v>
      </c>
      <c r="R48" s="125">
        <v>9751971.87</v>
      </c>
      <c r="S48" s="125">
        <v>407344.77</v>
      </c>
      <c r="T48" s="125">
        <v>23160.37</v>
      </c>
      <c r="U48" s="125">
        <v>14341427.76</v>
      </c>
      <c r="V48" s="126">
        <f t="shared" si="6"/>
        <v>70.03814117158866</v>
      </c>
      <c r="W48" s="125">
        <f t="shared" si="12"/>
        <v>187625013.66</v>
      </c>
      <c r="X48" s="180"/>
      <c r="Y48" s="43"/>
    </row>
    <row r="49" spans="1:25" s="21" customFormat="1" ht="15.75">
      <c r="A49" s="19"/>
      <c r="B49" s="22" t="s">
        <v>64</v>
      </c>
      <c r="C49" s="22" t="s">
        <v>195</v>
      </c>
      <c r="D49" s="23" t="s">
        <v>65</v>
      </c>
      <c r="E49" s="125">
        <v>358944</v>
      </c>
      <c r="F49" s="125">
        <v>293913</v>
      </c>
      <c r="G49" s="125"/>
      <c r="H49" s="125">
        <v>274535.62</v>
      </c>
      <c r="I49" s="125">
        <v>228153.19</v>
      </c>
      <c r="J49" s="125"/>
      <c r="K49" s="126">
        <f t="shared" si="9"/>
        <v>76.48424823927967</v>
      </c>
      <c r="L49" s="125">
        <f t="shared" si="10"/>
        <v>0</v>
      </c>
      <c r="M49" s="125"/>
      <c r="N49" s="125"/>
      <c r="O49" s="125"/>
      <c r="P49" s="125"/>
      <c r="Q49" s="125">
        <f t="shared" si="11"/>
        <v>0</v>
      </c>
      <c r="R49" s="125"/>
      <c r="S49" s="125"/>
      <c r="T49" s="125"/>
      <c r="U49" s="125"/>
      <c r="V49" s="126"/>
      <c r="W49" s="125">
        <f t="shared" si="12"/>
        <v>274535.62</v>
      </c>
      <c r="X49" s="180"/>
      <c r="Y49" s="43"/>
    </row>
    <row r="50" spans="1:25" s="21" customFormat="1" ht="60">
      <c r="A50" s="19"/>
      <c r="B50" s="22" t="s">
        <v>66</v>
      </c>
      <c r="C50" s="22" t="s">
        <v>196</v>
      </c>
      <c r="D50" s="23" t="s">
        <v>67</v>
      </c>
      <c r="E50" s="125">
        <v>4579366.75</v>
      </c>
      <c r="F50" s="125">
        <v>2848507</v>
      </c>
      <c r="G50" s="125">
        <v>517072</v>
      </c>
      <c r="H50" s="125">
        <v>3130308.89</v>
      </c>
      <c r="I50" s="125">
        <v>2041576.38</v>
      </c>
      <c r="J50" s="125">
        <v>284810.77</v>
      </c>
      <c r="K50" s="126">
        <f t="shared" si="9"/>
        <v>68.35680697554962</v>
      </c>
      <c r="L50" s="125">
        <f t="shared" si="10"/>
        <v>123583</v>
      </c>
      <c r="M50" s="125"/>
      <c r="N50" s="125"/>
      <c r="O50" s="125"/>
      <c r="P50" s="125">
        <v>123583</v>
      </c>
      <c r="Q50" s="125">
        <f t="shared" si="11"/>
        <v>114507.17</v>
      </c>
      <c r="R50" s="125">
        <v>20702.75</v>
      </c>
      <c r="S50" s="125"/>
      <c r="T50" s="125"/>
      <c r="U50" s="125">
        <v>93804.42</v>
      </c>
      <c r="V50" s="126">
        <f t="shared" si="6"/>
        <v>92.65608538391203</v>
      </c>
      <c r="W50" s="125">
        <f t="shared" si="12"/>
        <v>3244816.06</v>
      </c>
      <c r="X50" s="180"/>
      <c r="Y50" s="43"/>
    </row>
    <row r="51" spans="1:25" s="21" customFormat="1" ht="30">
      <c r="A51" s="19"/>
      <c r="B51" s="22" t="s">
        <v>68</v>
      </c>
      <c r="C51" s="22" t="s">
        <v>197</v>
      </c>
      <c r="D51" s="23" t="s">
        <v>69</v>
      </c>
      <c r="E51" s="125">
        <v>12572837</v>
      </c>
      <c r="F51" s="125">
        <v>8496052</v>
      </c>
      <c r="G51" s="125">
        <v>1785662</v>
      </c>
      <c r="H51" s="125">
        <v>8832879.8</v>
      </c>
      <c r="I51" s="125">
        <v>6197877.6</v>
      </c>
      <c r="J51" s="125">
        <v>1061131</v>
      </c>
      <c r="K51" s="126">
        <f t="shared" si="9"/>
        <v>70.25367305724237</v>
      </c>
      <c r="L51" s="125">
        <f t="shared" si="10"/>
        <v>450000</v>
      </c>
      <c r="M51" s="125"/>
      <c r="N51" s="125"/>
      <c r="O51" s="125"/>
      <c r="P51" s="125">
        <v>450000</v>
      </c>
      <c r="Q51" s="125">
        <f t="shared" si="11"/>
        <v>798006.37</v>
      </c>
      <c r="R51" s="125">
        <v>260605.87</v>
      </c>
      <c r="S51" s="125"/>
      <c r="T51" s="125"/>
      <c r="U51" s="125">
        <v>537400.5</v>
      </c>
      <c r="V51" s="126">
        <f t="shared" si="6"/>
        <v>177.3347488888889</v>
      </c>
      <c r="W51" s="125">
        <f t="shared" si="12"/>
        <v>9630886.17</v>
      </c>
      <c r="X51" s="180"/>
      <c r="Y51" s="43"/>
    </row>
    <row r="52" spans="1:25" s="21" customFormat="1" ht="15.75">
      <c r="A52" s="19"/>
      <c r="B52" s="22" t="s">
        <v>304</v>
      </c>
      <c r="C52" s="22" t="s">
        <v>306</v>
      </c>
      <c r="D52" s="23" t="s">
        <v>305</v>
      </c>
      <c r="E52" s="125">
        <v>55069266</v>
      </c>
      <c r="F52" s="125">
        <v>26388545</v>
      </c>
      <c r="G52" s="125">
        <v>6083140</v>
      </c>
      <c r="H52" s="125">
        <v>37275200.23</v>
      </c>
      <c r="I52" s="125">
        <v>19278235.16</v>
      </c>
      <c r="J52" s="125">
        <v>3953346.29</v>
      </c>
      <c r="K52" s="126">
        <f t="shared" si="9"/>
        <v>67.68784648409877</v>
      </c>
      <c r="L52" s="125">
        <f t="shared" si="10"/>
        <v>6764260</v>
      </c>
      <c r="M52" s="125">
        <v>6459260</v>
      </c>
      <c r="N52" s="125">
        <v>1729928</v>
      </c>
      <c r="O52" s="125">
        <v>1470248</v>
      </c>
      <c r="P52" s="125">
        <v>305000</v>
      </c>
      <c r="Q52" s="125">
        <f t="shared" si="11"/>
        <v>3143612.11</v>
      </c>
      <c r="R52" s="125">
        <v>3006950.11</v>
      </c>
      <c r="S52" s="125">
        <v>927869.92</v>
      </c>
      <c r="T52" s="125">
        <v>792056.83</v>
      </c>
      <c r="U52" s="125">
        <v>136662</v>
      </c>
      <c r="V52" s="126">
        <f t="shared" si="6"/>
        <v>46.473850946001484</v>
      </c>
      <c r="W52" s="125">
        <f t="shared" si="12"/>
        <v>40418812.339999996</v>
      </c>
      <c r="X52" s="180"/>
      <c r="Y52" s="43"/>
    </row>
    <row r="53" spans="1:25" s="21" customFormat="1" ht="30">
      <c r="A53" s="19"/>
      <c r="B53" s="22" t="s">
        <v>70</v>
      </c>
      <c r="C53" s="22" t="s">
        <v>198</v>
      </c>
      <c r="D53" s="23" t="s">
        <v>71</v>
      </c>
      <c r="E53" s="125">
        <v>1773105</v>
      </c>
      <c r="F53" s="125">
        <v>1350953</v>
      </c>
      <c r="G53" s="125">
        <v>79885</v>
      </c>
      <c r="H53" s="125">
        <v>1269338.62</v>
      </c>
      <c r="I53" s="125">
        <v>978250.59</v>
      </c>
      <c r="J53" s="125">
        <v>47250.66</v>
      </c>
      <c r="K53" s="126">
        <f t="shared" si="9"/>
        <v>71.58846317617964</v>
      </c>
      <c r="L53" s="125">
        <f t="shared" si="10"/>
        <v>118730</v>
      </c>
      <c r="M53" s="125"/>
      <c r="N53" s="125"/>
      <c r="O53" s="125"/>
      <c r="P53" s="125">
        <v>118730</v>
      </c>
      <c r="Q53" s="125">
        <f t="shared" si="11"/>
        <v>131326.1</v>
      </c>
      <c r="R53" s="125">
        <v>11438.43</v>
      </c>
      <c r="S53" s="125"/>
      <c r="T53" s="125"/>
      <c r="U53" s="125">
        <v>119887.67</v>
      </c>
      <c r="V53" s="126">
        <f t="shared" si="6"/>
        <v>110.60902888907607</v>
      </c>
      <c r="W53" s="125">
        <f t="shared" si="12"/>
        <v>1400664.7200000002</v>
      </c>
      <c r="X53" s="180"/>
      <c r="Y53" s="43"/>
    </row>
    <row r="54" spans="1:25" s="21" customFormat="1" ht="30">
      <c r="A54" s="19"/>
      <c r="B54" s="22" t="s">
        <v>72</v>
      </c>
      <c r="C54" s="22" t="s">
        <v>198</v>
      </c>
      <c r="D54" s="23" t="s">
        <v>73</v>
      </c>
      <c r="E54" s="125">
        <v>1645867</v>
      </c>
      <c r="F54" s="125">
        <v>1169665</v>
      </c>
      <c r="G54" s="125">
        <v>82225</v>
      </c>
      <c r="H54" s="125">
        <v>1158239.16</v>
      </c>
      <c r="I54" s="125">
        <v>863555.39</v>
      </c>
      <c r="J54" s="125">
        <v>51301.54</v>
      </c>
      <c r="K54" s="126">
        <f t="shared" si="9"/>
        <v>70.37258539116465</v>
      </c>
      <c r="L54" s="125">
        <f t="shared" si="10"/>
        <v>92250</v>
      </c>
      <c r="M54" s="125"/>
      <c r="N54" s="125"/>
      <c r="O54" s="125"/>
      <c r="P54" s="125">
        <v>92250</v>
      </c>
      <c r="Q54" s="125">
        <f t="shared" si="11"/>
        <v>91550</v>
      </c>
      <c r="R54" s="125"/>
      <c r="S54" s="125"/>
      <c r="T54" s="125"/>
      <c r="U54" s="125">
        <v>91550</v>
      </c>
      <c r="V54" s="126">
        <f t="shared" si="6"/>
        <v>99.24119241192412</v>
      </c>
      <c r="W54" s="125">
        <f t="shared" si="12"/>
        <v>1249789.16</v>
      </c>
      <c r="X54" s="180"/>
      <c r="Y54" s="43"/>
    </row>
    <row r="55" spans="1:25" s="21" customFormat="1" ht="30">
      <c r="A55" s="19"/>
      <c r="B55" s="22" t="s">
        <v>74</v>
      </c>
      <c r="C55" s="22" t="s">
        <v>198</v>
      </c>
      <c r="D55" s="23" t="s">
        <v>75</v>
      </c>
      <c r="E55" s="125">
        <v>162138</v>
      </c>
      <c r="F55" s="125">
        <v>126390</v>
      </c>
      <c r="G55" s="125">
        <v>5147</v>
      </c>
      <c r="H55" s="125">
        <v>98657.49</v>
      </c>
      <c r="I55" s="125">
        <v>76740.36</v>
      </c>
      <c r="J55" s="125">
        <v>3658.31</v>
      </c>
      <c r="K55" s="126">
        <f t="shared" si="9"/>
        <v>60.84785182992266</v>
      </c>
      <c r="L55" s="125">
        <f t="shared" si="10"/>
        <v>0</v>
      </c>
      <c r="M55" s="125"/>
      <c r="N55" s="125"/>
      <c r="O55" s="125"/>
      <c r="P55" s="125"/>
      <c r="Q55" s="125">
        <f t="shared" si="11"/>
        <v>0</v>
      </c>
      <c r="R55" s="125"/>
      <c r="S55" s="125"/>
      <c r="T55" s="125"/>
      <c r="U55" s="125"/>
      <c r="V55" s="126"/>
      <c r="W55" s="125">
        <f t="shared" si="12"/>
        <v>98657.49</v>
      </c>
      <c r="X55" s="180"/>
      <c r="Y55" s="43"/>
    </row>
    <row r="56" spans="1:25" s="21" customFormat="1" ht="15.75">
      <c r="A56" s="19"/>
      <c r="B56" s="22" t="s">
        <v>76</v>
      </c>
      <c r="C56" s="22" t="s">
        <v>198</v>
      </c>
      <c r="D56" s="23" t="s">
        <v>77</v>
      </c>
      <c r="E56" s="125">
        <v>2607237</v>
      </c>
      <c r="F56" s="125">
        <v>1697381</v>
      </c>
      <c r="G56" s="125">
        <v>335643</v>
      </c>
      <c r="H56" s="125">
        <v>1782604.17</v>
      </c>
      <c r="I56" s="125">
        <v>1237795.46</v>
      </c>
      <c r="J56" s="125">
        <v>177279.4</v>
      </c>
      <c r="K56" s="126">
        <f t="shared" si="9"/>
        <v>68.37138971255777</v>
      </c>
      <c r="L56" s="125">
        <f t="shared" si="10"/>
        <v>150000</v>
      </c>
      <c r="M56" s="125"/>
      <c r="N56" s="125"/>
      <c r="O56" s="125"/>
      <c r="P56" s="125">
        <v>150000</v>
      </c>
      <c r="Q56" s="125">
        <f t="shared" si="11"/>
        <v>320311.20999999996</v>
      </c>
      <c r="R56" s="125">
        <v>179198.19</v>
      </c>
      <c r="S56" s="125"/>
      <c r="T56" s="125"/>
      <c r="U56" s="125">
        <v>141113.02</v>
      </c>
      <c r="V56" s="126">
        <f t="shared" si="6"/>
        <v>213.54080666666664</v>
      </c>
      <c r="W56" s="125">
        <f t="shared" si="12"/>
        <v>2102915.38</v>
      </c>
      <c r="X56" s="180"/>
      <c r="Y56" s="43"/>
    </row>
    <row r="57" spans="1:25" s="21" customFormat="1" ht="15.75">
      <c r="A57" s="19"/>
      <c r="B57" s="22" t="s">
        <v>78</v>
      </c>
      <c r="C57" s="22" t="s">
        <v>198</v>
      </c>
      <c r="D57" s="23" t="s">
        <v>79</v>
      </c>
      <c r="E57" s="125">
        <v>53240</v>
      </c>
      <c r="F57" s="125"/>
      <c r="G57" s="125"/>
      <c r="H57" s="125">
        <v>26190</v>
      </c>
      <c r="I57" s="125"/>
      <c r="J57" s="125"/>
      <c r="K57" s="126">
        <f t="shared" si="9"/>
        <v>49.1923365890308</v>
      </c>
      <c r="L57" s="125">
        <f t="shared" si="10"/>
        <v>0</v>
      </c>
      <c r="M57" s="125"/>
      <c r="N57" s="125"/>
      <c r="O57" s="125"/>
      <c r="P57" s="125"/>
      <c r="Q57" s="125">
        <f t="shared" si="11"/>
        <v>0</v>
      </c>
      <c r="R57" s="125"/>
      <c r="S57" s="125"/>
      <c r="T57" s="125"/>
      <c r="U57" s="125"/>
      <c r="V57" s="126"/>
      <c r="W57" s="125">
        <f t="shared" si="12"/>
        <v>26190</v>
      </c>
      <c r="X57" s="180"/>
      <c r="Y57" s="43"/>
    </row>
    <row r="58" spans="1:25" s="21" customFormat="1" ht="45">
      <c r="A58" s="19"/>
      <c r="B58" s="22" t="s">
        <v>80</v>
      </c>
      <c r="C58" s="22" t="s">
        <v>198</v>
      </c>
      <c r="D58" s="23" t="s">
        <v>81</v>
      </c>
      <c r="E58" s="125">
        <v>45250</v>
      </c>
      <c r="F58" s="125"/>
      <c r="G58" s="125"/>
      <c r="H58" s="125">
        <v>30770</v>
      </c>
      <c r="I58" s="125"/>
      <c r="J58" s="125"/>
      <c r="K58" s="126">
        <f t="shared" si="9"/>
        <v>68</v>
      </c>
      <c r="L58" s="125">
        <f t="shared" si="10"/>
        <v>0</v>
      </c>
      <c r="M58" s="125"/>
      <c r="N58" s="125"/>
      <c r="O58" s="125"/>
      <c r="P58" s="125"/>
      <c r="Q58" s="125">
        <f t="shared" si="11"/>
        <v>0</v>
      </c>
      <c r="R58" s="125"/>
      <c r="S58" s="125"/>
      <c r="T58" s="125"/>
      <c r="U58" s="125"/>
      <c r="V58" s="126"/>
      <c r="W58" s="125">
        <f t="shared" si="12"/>
        <v>30770</v>
      </c>
      <c r="X58" s="180"/>
      <c r="Y58" s="43"/>
    </row>
    <row r="59" spans="1:25" s="21" customFormat="1" ht="90">
      <c r="A59" s="19"/>
      <c r="B59" s="22" t="s">
        <v>26</v>
      </c>
      <c r="C59" s="22" t="s">
        <v>182</v>
      </c>
      <c r="D59" s="24" t="s">
        <v>27</v>
      </c>
      <c r="E59" s="125">
        <v>2109980</v>
      </c>
      <c r="F59" s="125"/>
      <c r="G59" s="125"/>
      <c r="H59" s="125">
        <v>1994728.53</v>
      </c>
      <c r="I59" s="125"/>
      <c r="J59" s="125"/>
      <c r="K59" s="126">
        <f t="shared" si="9"/>
        <v>94.5377932492251</v>
      </c>
      <c r="L59" s="125">
        <f t="shared" si="10"/>
        <v>0</v>
      </c>
      <c r="M59" s="125"/>
      <c r="N59" s="125"/>
      <c r="O59" s="125"/>
      <c r="P59" s="125"/>
      <c r="Q59" s="125">
        <f t="shared" si="11"/>
        <v>727846.1</v>
      </c>
      <c r="R59" s="125">
        <v>727846.1</v>
      </c>
      <c r="S59" s="125"/>
      <c r="T59" s="125"/>
      <c r="U59" s="125"/>
      <c r="V59" s="126"/>
      <c r="W59" s="125">
        <f t="shared" si="12"/>
        <v>2722574.63</v>
      </c>
      <c r="X59" s="180"/>
      <c r="Y59" s="43"/>
    </row>
    <row r="60" spans="1:25" s="21" customFormat="1" ht="45">
      <c r="A60" s="19"/>
      <c r="B60" s="22" t="s">
        <v>36</v>
      </c>
      <c r="C60" s="22" t="s">
        <v>185</v>
      </c>
      <c r="D60" s="23" t="s">
        <v>37</v>
      </c>
      <c r="E60" s="125">
        <v>2594291</v>
      </c>
      <c r="F60" s="125">
        <v>1801001</v>
      </c>
      <c r="G60" s="125">
        <v>182401</v>
      </c>
      <c r="H60" s="125">
        <v>1818183.12</v>
      </c>
      <c r="I60" s="125">
        <v>1297932.98</v>
      </c>
      <c r="J60" s="125">
        <v>103484.38</v>
      </c>
      <c r="K60" s="126">
        <f t="shared" si="9"/>
        <v>70.08400830901391</v>
      </c>
      <c r="L60" s="125">
        <f t="shared" si="10"/>
        <v>0</v>
      </c>
      <c r="M60" s="123"/>
      <c r="N60" s="123"/>
      <c r="O60" s="123"/>
      <c r="P60" s="123"/>
      <c r="Q60" s="125">
        <f t="shared" si="11"/>
        <v>500</v>
      </c>
      <c r="R60" s="125">
        <v>500</v>
      </c>
      <c r="S60" s="125"/>
      <c r="T60" s="125"/>
      <c r="U60" s="125"/>
      <c r="V60" s="126"/>
      <c r="W60" s="125">
        <f t="shared" si="12"/>
        <v>1818683.12</v>
      </c>
      <c r="X60" s="180"/>
      <c r="Y60" s="43"/>
    </row>
    <row r="61" spans="1:25" s="21" customFormat="1" ht="30">
      <c r="A61" s="19"/>
      <c r="B61" s="22" t="s">
        <v>55</v>
      </c>
      <c r="C61" s="22" t="s">
        <v>191</v>
      </c>
      <c r="D61" s="23" t="s">
        <v>56</v>
      </c>
      <c r="E61" s="125"/>
      <c r="F61" s="125"/>
      <c r="G61" s="125"/>
      <c r="H61" s="123"/>
      <c r="I61" s="123"/>
      <c r="J61" s="123"/>
      <c r="K61" s="126"/>
      <c r="L61" s="125">
        <f t="shared" si="10"/>
        <v>70000</v>
      </c>
      <c r="M61" s="125">
        <v>42550</v>
      </c>
      <c r="N61" s="125"/>
      <c r="O61" s="125"/>
      <c r="P61" s="125">
        <v>27450</v>
      </c>
      <c r="Q61" s="125">
        <f t="shared" si="11"/>
        <v>11530</v>
      </c>
      <c r="R61" s="125">
        <v>11530</v>
      </c>
      <c r="S61" s="125"/>
      <c r="T61" s="125"/>
      <c r="U61" s="125"/>
      <c r="V61" s="126">
        <f t="shared" si="6"/>
        <v>16.47142857142857</v>
      </c>
      <c r="W61" s="125">
        <f t="shared" si="12"/>
        <v>11530</v>
      </c>
      <c r="X61" s="180"/>
      <c r="Y61" s="43"/>
    </row>
    <row r="62" spans="1:25" s="21" customFormat="1" ht="30">
      <c r="A62" s="19"/>
      <c r="B62" s="22" t="s">
        <v>82</v>
      </c>
      <c r="C62" s="22" t="s">
        <v>199</v>
      </c>
      <c r="D62" s="23" t="s">
        <v>83</v>
      </c>
      <c r="E62" s="125"/>
      <c r="F62" s="125"/>
      <c r="G62" s="125"/>
      <c r="H62" s="123"/>
      <c r="I62" s="123"/>
      <c r="J62" s="123"/>
      <c r="K62" s="126"/>
      <c r="L62" s="125">
        <f t="shared" si="10"/>
        <v>250000</v>
      </c>
      <c r="M62" s="125">
        <v>165200</v>
      </c>
      <c r="N62" s="125"/>
      <c r="O62" s="125"/>
      <c r="P62" s="125">
        <v>84800</v>
      </c>
      <c r="Q62" s="125">
        <f t="shared" si="11"/>
        <v>16652.94</v>
      </c>
      <c r="R62" s="125"/>
      <c r="S62" s="125"/>
      <c r="T62" s="125"/>
      <c r="U62" s="125">
        <v>16652.94</v>
      </c>
      <c r="V62" s="126">
        <f t="shared" si="6"/>
        <v>6.661175999999999</v>
      </c>
      <c r="W62" s="125">
        <f t="shared" si="12"/>
        <v>16652.94</v>
      </c>
      <c r="X62" s="180"/>
      <c r="Y62" s="43"/>
    </row>
    <row r="63" spans="1:25" s="21" customFormat="1" ht="28.5">
      <c r="A63" s="19"/>
      <c r="B63" s="26"/>
      <c r="C63" s="26"/>
      <c r="D63" s="27" t="s">
        <v>200</v>
      </c>
      <c r="E63" s="123">
        <f aca="true" t="shared" si="13" ref="E63:J63">SUM(E64:E72)</f>
        <v>225566587.43</v>
      </c>
      <c r="F63" s="123">
        <f t="shared" si="13"/>
        <v>127452821</v>
      </c>
      <c r="G63" s="123">
        <f t="shared" si="13"/>
        <v>19133584</v>
      </c>
      <c r="H63" s="123">
        <f t="shared" si="13"/>
        <v>157774324.16</v>
      </c>
      <c r="I63" s="123">
        <f t="shared" si="13"/>
        <v>94390967.10000001</v>
      </c>
      <c r="J63" s="123">
        <f t="shared" si="13"/>
        <v>11901482.41</v>
      </c>
      <c r="K63" s="124">
        <f>H63/E63*100</f>
        <v>69.94578672205255</v>
      </c>
      <c r="L63" s="123">
        <f aca="true" t="shared" si="14" ref="L63:T63">SUM(L64:L72)</f>
        <v>35988978</v>
      </c>
      <c r="M63" s="123">
        <f t="shared" si="14"/>
        <v>11785214</v>
      </c>
      <c r="N63" s="123">
        <f t="shared" si="14"/>
        <v>6366242</v>
      </c>
      <c r="O63" s="123">
        <f t="shared" si="14"/>
        <v>500810</v>
      </c>
      <c r="P63" s="123">
        <f t="shared" si="14"/>
        <v>24203764</v>
      </c>
      <c r="Q63" s="123">
        <f t="shared" si="14"/>
        <v>35921645.74</v>
      </c>
      <c r="R63" s="123">
        <f t="shared" si="14"/>
        <v>10053189.05</v>
      </c>
      <c r="S63" s="123">
        <f t="shared" si="14"/>
        <v>4415809.59</v>
      </c>
      <c r="T63" s="123">
        <f t="shared" si="14"/>
        <v>335016.43</v>
      </c>
      <c r="U63" s="123">
        <f>SUM(U64:U72)</f>
        <v>25868456.689999998</v>
      </c>
      <c r="V63" s="124">
        <f t="shared" si="6"/>
        <v>99.81290866331354</v>
      </c>
      <c r="W63" s="123">
        <f>SUM(W64:W72)</f>
        <v>193695969.89999998</v>
      </c>
      <c r="X63" s="180"/>
      <c r="Y63" s="43"/>
    </row>
    <row r="64" spans="1:25" s="21" customFormat="1" ht="15.75">
      <c r="A64" s="19"/>
      <c r="B64" s="22" t="s">
        <v>11</v>
      </c>
      <c r="C64" s="22" t="s">
        <v>9</v>
      </c>
      <c r="D64" s="23" t="s">
        <v>15</v>
      </c>
      <c r="E64" s="125">
        <v>538367</v>
      </c>
      <c r="F64" s="125">
        <v>380205</v>
      </c>
      <c r="G64" s="125">
        <v>18179</v>
      </c>
      <c r="H64" s="125">
        <v>387385.17</v>
      </c>
      <c r="I64" s="125">
        <v>282579.72</v>
      </c>
      <c r="J64" s="125">
        <v>9074.69</v>
      </c>
      <c r="K64" s="126">
        <f>H64/E64*100</f>
        <v>71.95559348919974</v>
      </c>
      <c r="L64" s="125">
        <f>M64+P64</f>
        <v>447900</v>
      </c>
      <c r="M64" s="123"/>
      <c r="N64" s="123"/>
      <c r="O64" s="123"/>
      <c r="P64" s="125">
        <f>320200+13000+114700</f>
        <v>447900</v>
      </c>
      <c r="Q64" s="125">
        <f>R64+U64</f>
        <v>304963.47</v>
      </c>
      <c r="R64" s="125"/>
      <c r="S64" s="125"/>
      <c r="T64" s="125"/>
      <c r="U64" s="125">
        <v>304963.47</v>
      </c>
      <c r="V64" s="126">
        <f t="shared" si="6"/>
        <v>68.08740120562625</v>
      </c>
      <c r="W64" s="125">
        <f>H64+Q64</f>
        <v>692348.6399999999</v>
      </c>
      <c r="X64" s="180"/>
      <c r="Y64" s="43"/>
    </row>
    <row r="65" spans="1:25" s="21" customFormat="1" ht="15.75">
      <c r="A65" s="19"/>
      <c r="B65" s="22" t="s">
        <v>84</v>
      </c>
      <c r="C65" s="22" t="s">
        <v>201</v>
      </c>
      <c r="D65" s="23" t="s">
        <v>85</v>
      </c>
      <c r="E65" s="125">
        <v>178276743.43</v>
      </c>
      <c r="F65" s="125">
        <v>104028299</v>
      </c>
      <c r="G65" s="125">
        <v>15447851</v>
      </c>
      <c r="H65" s="125">
        <v>126796415.92</v>
      </c>
      <c r="I65" s="125">
        <v>77017951.1</v>
      </c>
      <c r="J65" s="125">
        <v>9820637.98</v>
      </c>
      <c r="K65" s="126">
        <f aca="true" t="shared" si="15" ref="K65:K73">H65/E65*100</f>
        <v>71.12336330609851</v>
      </c>
      <c r="L65" s="125">
        <f aca="true" t="shared" si="16" ref="L65:L72">M65+P65</f>
        <v>25213982</v>
      </c>
      <c r="M65" s="125">
        <v>7844182</v>
      </c>
      <c r="N65" s="125">
        <v>4083407</v>
      </c>
      <c r="O65" s="125">
        <v>177480</v>
      </c>
      <c r="P65" s="125">
        <v>17369800</v>
      </c>
      <c r="Q65" s="125">
        <f aca="true" t="shared" si="17" ref="Q65:Q72">R65+U65</f>
        <v>28357831.43</v>
      </c>
      <c r="R65" s="125">
        <v>7202909.03</v>
      </c>
      <c r="S65" s="125">
        <v>2924250.07</v>
      </c>
      <c r="T65" s="125">
        <v>134184.1</v>
      </c>
      <c r="U65" s="125">
        <v>21154922.4</v>
      </c>
      <c r="V65" s="126">
        <f t="shared" si="6"/>
        <v>112.46867484080856</v>
      </c>
      <c r="W65" s="125">
        <f aca="true" t="shared" si="18" ref="W65:W72">H65+Q65</f>
        <v>155154247.35</v>
      </c>
      <c r="X65" s="180"/>
      <c r="Y65" s="43"/>
    </row>
    <row r="66" spans="1:25" s="21" customFormat="1" ht="15.75">
      <c r="A66" s="19"/>
      <c r="B66" s="28" t="s">
        <v>86</v>
      </c>
      <c r="C66" s="28" t="s">
        <v>202</v>
      </c>
      <c r="D66" s="29" t="s">
        <v>87</v>
      </c>
      <c r="E66" s="125">
        <v>18413485</v>
      </c>
      <c r="F66" s="125">
        <v>11821232</v>
      </c>
      <c r="G66" s="125">
        <v>2655803</v>
      </c>
      <c r="H66" s="125">
        <v>13109511.54</v>
      </c>
      <c r="I66" s="125">
        <v>8854855.04</v>
      </c>
      <c r="J66" s="125">
        <v>1491273.39</v>
      </c>
      <c r="K66" s="126">
        <f t="shared" si="15"/>
        <v>71.1951677805695</v>
      </c>
      <c r="L66" s="125">
        <f t="shared" si="16"/>
        <v>2919304</v>
      </c>
      <c r="M66" s="125">
        <v>25240</v>
      </c>
      <c r="N66" s="125">
        <v>9460</v>
      </c>
      <c r="O66" s="125">
        <v>4150</v>
      </c>
      <c r="P66" s="125">
        <f>1500000+500000+879064+15000</f>
        <v>2894064</v>
      </c>
      <c r="Q66" s="125">
        <f t="shared" si="17"/>
        <v>1578661.6600000001</v>
      </c>
      <c r="R66" s="125">
        <v>101296.88</v>
      </c>
      <c r="S66" s="125">
        <v>9846.45</v>
      </c>
      <c r="T66" s="125"/>
      <c r="U66" s="125">
        <v>1477364.78</v>
      </c>
      <c r="V66" s="126">
        <f t="shared" si="6"/>
        <v>54.076644981132496</v>
      </c>
      <c r="W66" s="125">
        <f t="shared" si="18"/>
        <v>14688173.2</v>
      </c>
      <c r="X66" s="180"/>
      <c r="Y66" s="43"/>
    </row>
    <row r="67" spans="1:25" s="21" customFormat="1" ht="60">
      <c r="A67" s="19"/>
      <c r="B67" s="22" t="s">
        <v>236</v>
      </c>
      <c r="C67" s="22" t="s">
        <v>237</v>
      </c>
      <c r="D67" s="23" t="s">
        <v>238</v>
      </c>
      <c r="E67" s="125">
        <v>1642444</v>
      </c>
      <c r="F67" s="125">
        <v>1236499</v>
      </c>
      <c r="G67" s="125">
        <v>76813</v>
      </c>
      <c r="H67" s="125">
        <v>1173838.3</v>
      </c>
      <c r="I67" s="125">
        <v>902982.76</v>
      </c>
      <c r="J67" s="125">
        <v>49856.88</v>
      </c>
      <c r="K67" s="126">
        <f t="shared" si="15"/>
        <v>71.4689998563117</v>
      </c>
      <c r="L67" s="125">
        <f t="shared" si="16"/>
        <v>407000</v>
      </c>
      <c r="M67" s="125">
        <v>407000</v>
      </c>
      <c r="N67" s="125">
        <v>98000</v>
      </c>
      <c r="O67" s="125">
        <v>132800</v>
      </c>
      <c r="P67" s="125"/>
      <c r="Q67" s="125">
        <f t="shared" si="17"/>
        <v>343376.58</v>
      </c>
      <c r="R67" s="125">
        <v>343376.58</v>
      </c>
      <c r="S67" s="125">
        <v>73911.05</v>
      </c>
      <c r="T67" s="125">
        <v>80610.95</v>
      </c>
      <c r="U67" s="125"/>
      <c r="V67" s="126">
        <f t="shared" si="6"/>
        <v>84.36771007371007</v>
      </c>
      <c r="W67" s="125">
        <f t="shared" si="18"/>
        <v>1517214.8800000001</v>
      </c>
      <c r="X67" s="180"/>
      <c r="Y67" s="43"/>
    </row>
    <row r="68" spans="1:25" s="21" customFormat="1" ht="30">
      <c r="A68" s="19"/>
      <c r="B68" s="22" t="s">
        <v>88</v>
      </c>
      <c r="C68" s="22" t="s">
        <v>203</v>
      </c>
      <c r="D68" s="23" t="s">
        <v>89</v>
      </c>
      <c r="E68" s="125">
        <v>4317260</v>
      </c>
      <c r="F68" s="125">
        <v>3032620</v>
      </c>
      <c r="G68" s="125">
        <v>339954</v>
      </c>
      <c r="H68" s="125">
        <v>3098946.35</v>
      </c>
      <c r="I68" s="125">
        <v>2195923.43</v>
      </c>
      <c r="J68" s="125">
        <v>207600.66</v>
      </c>
      <c r="K68" s="126">
        <f t="shared" si="15"/>
        <v>71.78039659413609</v>
      </c>
      <c r="L68" s="125">
        <f t="shared" si="16"/>
        <v>4353292</v>
      </c>
      <c r="M68" s="125">
        <v>3353292</v>
      </c>
      <c r="N68" s="125">
        <v>2153375</v>
      </c>
      <c r="O68" s="125">
        <v>166719</v>
      </c>
      <c r="P68" s="125">
        <v>1000000</v>
      </c>
      <c r="Q68" s="125">
        <f t="shared" si="17"/>
        <v>3410900.04</v>
      </c>
      <c r="R68" s="125">
        <v>2264920</v>
      </c>
      <c r="S68" s="125">
        <v>1388198.1</v>
      </c>
      <c r="T68" s="125">
        <v>107344.8</v>
      </c>
      <c r="U68" s="125">
        <v>1145980.04</v>
      </c>
      <c r="V68" s="126">
        <f t="shared" si="6"/>
        <v>78.35219966866454</v>
      </c>
      <c r="W68" s="125">
        <f t="shared" si="18"/>
        <v>6509846.390000001</v>
      </c>
      <c r="X68" s="180"/>
      <c r="Y68" s="43"/>
    </row>
    <row r="69" spans="1:25" s="21" customFormat="1" ht="30">
      <c r="A69" s="19"/>
      <c r="B69" s="22" t="s">
        <v>90</v>
      </c>
      <c r="C69" s="22" t="s">
        <v>204</v>
      </c>
      <c r="D69" s="29" t="s">
        <v>91</v>
      </c>
      <c r="E69" s="125">
        <v>9368526.94</v>
      </c>
      <c r="F69" s="125">
        <v>6095875</v>
      </c>
      <c r="G69" s="125">
        <v>564989</v>
      </c>
      <c r="H69" s="125">
        <v>6765497.82</v>
      </c>
      <c r="I69" s="125">
        <v>4515055.76</v>
      </c>
      <c r="J69" s="125">
        <v>310041.42</v>
      </c>
      <c r="K69" s="126">
        <f t="shared" si="15"/>
        <v>72.21517174822792</v>
      </c>
      <c r="L69" s="125">
        <f t="shared" si="16"/>
        <v>2587500</v>
      </c>
      <c r="M69" s="125">
        <v>155500</v>
      </c>
      <c r="N69" s="125">
        <v>22000</v>
      </c>
      <c r="O69" s="125">
        <v>19661</v>
      </c>
      <c r="P69" s="125">
        <v>2432000</v>
      </c>
      <c r="Q69" s="125">
        <f t="shared" si="17"/>
        <v>1865957.56</v>
      </c>
      <c r="R69" s="125">
        <v>140671.56</v>
      </c>
      <c r="S69" s="125">
        <v>19603.92</v>
      </c>
      <c r="T69" s="125">
        <v>12876.58</v>
      </c>
      <c r="U69" s="125">
        <v>1725286</v>
      </c>
      <c r="V69" s="126">
        <f t="shared" si="6"/>
        <v>72.11430183574879</v>
      </c>
      <c r="W69" s="125">
        <f t="shared" si="18"/>
        <v>8631455.38</v>
      </c>
      <c r="X69" s="180"/>
      <c r="Y69" s="43"/>
    </row>
    <row r="70" spans="1:25" s="21" customFormat="1" ht="15.75">
      <c r="A70" s="19"/>
      <c r="B70" s="22" t="s">
        <v>92</v>
      </c>
      <c r="C70" s="22" t="s">
        <v>205</v>
      </c>
      <c r="D70" s="23" t="s">
        <v>93</v>
      </c>
      <c r="E70" s="125">
        <v>2004372.06</v>
      </c>
      <c r="F70" s="125">
        <v>420777</v>
      </c>
      <c r="G70" s="125">
        <v>11415</v>
      </c>
      <c r="H70" s="125">
        <v>1470689.71</v>
      </c>
      <c r="I70" s="125">
        <v>298083.28</v>
      </c>
      <c r="J70" s="125">
        <v>5934.45</v>
      </c>
      <c r="K70" s="126">
        <f t="shared" si="15"/>
        <v>73.37408754340748</v>
      </c>
      <c r="L70" s="125">
        <f t="shared" si="16"/>
        <v>20000</v>
      </c>
      <c r="M70" s="123"/>
      <c r="N70" s="123"/>
      <c r="O70" s="123"/>
      <c r="P70" s="125">
        <v>20000</v>
      </c>
      <c r="Q70" s="125">
        <f t="shared" si="17"/>
        <v>19980</v>
      </c>
      <c r="R70" s="123"/>
      <c r="S70" s="123"/>
      <c r="T70" s="123"/>
      <c r="U70" s="125">
        <v>19980</v>
      </c>
      <c r="V70" s="126">
        <f t="shared" si="6"/>
        <v>99.9</v>
      </c>
      <c r="W70" s="125">
        <f t="shared" si="18"/>
        <v>1490669.71</v>
      </c>
      <c r="X70" s="180">
        <v>18</v>
      </c>
      <c r="Y70" s="43"/>
    </row>
    <row r="71" spans="1:25" s="21" customFormat="1" ht="75">
      <c r="A71" s="19"/>
      <c r="B71" s="28" t="s">
        <v>94</v>
      </c>
      <c r="C71" s="28" t="s">
        <v>205</v>
      </c>
      <c r="D71" s="29" t="s">
        <v>95</v>
      </c>
      <c r="E71" s="125">
        <v>658099</v>
      </c>
      <c r="F71" s="125">
        <v>437314</v>
      </c>
      <c r="G71" s="125">
        <v>18580</v>
      </c>
      <c r="H71" s="125">
        <v>460668.56</v>
      </c>
      <c r="I71" s="125">
        <v>323536.01</v>
      </c>
      <c r="J71" s="125">
        <v>7062.94</v>
      </c>
      <c r="K71" s="126">
        <f t="shared" si="15"/>
        <v>69.99988755491195</v>
      </c>
      <c r="L71" s="125">
        <f t="shared" si="16"/>
        <v>40000</v>
      </c>
      <c r="M71" s="123"/>
      <c r="N71" s="123"/>
      <c r="O71" s="123"/>
      <c r="P71" s="125">
        <v>40000</v>
      </c>
      <c r="Q71" s="125">
        <f t="shared" si="17"/>
        <v>39975</v>
      </c>
      <c r="R71" s="125">
        <v>15</v>
      </c>
      <c r="S71" s="125"/>
      <c r="T71" s="125"/>
      <c r="U71" s="125">
        <v>39960</v>
      </c>
      <c r="V71" s="126">
        <f t="shared" si="6"/>
        <v>99.9375</v>
      </c>
      <c r="W71" s="125">
        <f t="shared" si="18"/>
        <v>500643.56</v>
      </c>
      <c r="X71" s="180"/>
      <c r="Y71" s="43"/>
    </row>
    <row r="72" spans="1:25" s="21" customFormat="1" ht="45">
      <c r="A72" s="19"/>
      <c r="B72" s="28" t="s">
        <v>248</v>
      </c>
      <c r="C72" s="28" t="s">
        <v>205</v>
      </c>
      <c r="D72" s="23" t="s">
        <v>249</v>
      </c>
      <c r="E72" s="125">
        <f>4846847+371153+5129290</f>
        <v>10347290</v>
      </c>
      <c r="F72" s="125"/>
      <c r="G72" s="125"/>
      <c r="H72" s="125">
        <v>4511370.79</v>
      </c>
      <c r="I72" s="125"/>
      <c r="J72" s="125"/>
      <c r="K72" s="126">
        <f t="shared" si="15"/>
        <v>43.59953949294936</v>
      </c>
      <c r="L72" s="125">
        <f t="shared" si="16"/>
        <v>0</v>
      </c>
      <c r="M72" s="123"/>
      <c r="N72" s="123"/>
      <c r="O72" s="123"/>
      <c r="P72" s="123"/>
      <c r="Q72" s="125">
        <f t="shared" si="17"/>
        <v>0</v>
      </c>
      <c r="R72" s="123"/>
      <c r="S72" s="123"/>
      <c r="T72" s="123"/>
      <c r="U72" s="123"/>
      <c r="V72" s="126"/>
      <c r="W72" s="125">
        <f t="shared" si="18"/>
        <v>4511370.79</v>
      </c>
      <c r="X72" s="180"/>
      <c r="Y72" s="43"/>
    </row>
    <row r="73" spans="1:26" s="21" customFormat="1" ht="42.75">
      <c r="A73" s="19"/>
      <c r="B73" s="26"/>
      <c r="C73" s="26"/>
      <c r="D73" s="27" t="s">
        <v>335</v>
      </c>
      <c r="E73" s="123">
        <f aca="true" t="shared" si="19" ref="E73:J73">SUM(E74:E116)</f>
        <v>729450399.0300001</v>
      </c>
      <c r="F73" s="123">
        <f t="shared" si="19"/>
        <v>17460357.86</v>
      </c>
      <c r="G73" s="123">
        <f t="shared" si="19"/>
        <v>655383</v>
      </c>
      <c r="H73" s="123">
        <f t="shared" si="19"/>
        <v>497475067.24</v>
      </c>
      <c r="I73" s="123">
        <f t="shared" si="19"/>
        <v>12351098.27</v>
      </c>
      <c r="J73" s="123">
        <f t="shared" si="19"/>
        <v>425986.24</v>
      </c>
      <c r="K73" s="124">
        <f t="shared" si="15"/>
        <v>68.19861472439065</v>
      </c>
      <c r="L73" s="123">
        <f aca="true" t="shared" si="20" ref="L73:T73">SUM(L74:L116)</f>
        <v>1050703</v>
      </c>
      <c r="M73" s="123">
        <f t="shared" si="20"/>
        <v>27800</v>
      </c>
      <c r="N73" s="123">
        <f t="shared" si="20"/>
        <v>18822</v>
      </c>
      <c r="O73" s="123">
        <f t="shared" si="20"/>
        <v>0</v>
      </c>
      <c r="P73" s="123">
        <f t="shared" si="20"/>
        <v>1022903</v>
      </c>
      <c r="Q73" s="123">
        <f t="shared" si="20"/>
        <v>1291055.73</v>
      </c>
      <c r="R73" s="123">
        <f t="shared" si="20"/>
        <v>408470.33</v>
      </c>
      <c r="S73" s="123">
        <f t="shared" si="20"/>
        <v>207647.84</v>
      </c>
      <c r="T73" s="123">
        <f t="shared" si="20"/>
        <v>0</v>
      </c>
      <c r="U73" s="123">
        <f>SUM(U74:U116)</f>
        <v>882585.4</v>
      </c>
      <c r="V73" s="124">
        <f t="shared" si="6"/>
        <v>122.87542055176391</v>
      </c>
      <c r="W73" s="123">
        <f>SUM(W74:W116)</f>
        <v>498766122.9700001</v>
      </c>
      <c r="X73" s="180"/>
      <c r="Y73" s="43"/>
      <c r="Z73" s="43"/>
    </row>
    <row r="74" spans="1:25" s="21" customFormat="1" ht="15.75">
      <c r="A74" s="19"/>
      <c r="B74" s="22" t="s">
        <v>11</v>
      </c>
      <c r="C74" s="22" t="s">
        <v>9</v>
      </c>
      <c r="D74" s="23" t="s">
        <v>96</v>
      </c>
      <c r="E74" s="125">
        <v>16088574</v>
      </c>
      <c r="F74" s="125">
        <v>11867575</v>
      </c>
      <c r="G74" s="125">
        <v>369473</v>
      </c>
      <c r="H74" s="125">
        <v>11292126.08</v>
      </c>
      <c r="I74" s="125">
        <v>8486601.62</v>
      </c>
      <c r="J74" s="125">
        <v>262788.36</v>
      </c>
      <c r="K74" s="126">
        <f aca="true" t="shared" si="21" ref="K74:K79">H74/E74*100</f>
        <v>70.18724021159365</v>
      </c>
      <c r="L74" s="125">
        <f aca="true" t="shared" si="22" ref="L74:L79">M74+P74</f>
        <v>342500</v>
      </c>
      <c r="M74" s="125"/>
      <c r="N74" s="125"/>
      <c r="O74" s="125"/>
      <c r="P74" s="125">
        <v>342500</v>
      </c>
      <c r="Q74" s="125">
        <f aca="true" t="shared" si="23" ref="Q74:Q79">R74+U74</f>
        <v>429823.27</v>
      </c>
      <c r="R74" s="125">
        <v>229837.27</v>
      </c>
      <c r="S74" s="125">
        <v>188132.59</v>
      </c>
      <c r="T74" s="125"/>
      <c r="U74" s="125">
        <v>199986</v>
      </c>
      <c r="V74" s="126">
        <f>Q74/L74*100</f>
        <v>125.49584525547446</v>
      </c>
      <c r="W74" s="125">
        <f>H74+Q74</f>
        <v>11721949.35</v>
      </c>
      <c r="X74" s="180"/>
      <c r="Y74" s="43"/>
    </row>
    <row r="75" spans="1:25" s="21" customFormat="1" ht="30">
      <c r="A75" s="19"/>
      <c r="B75" s="22" t="s">
        <v>97</v>
      </c>
      <c r="C75" s="22" t="s">
        <v>194</v>
      </c>
      <c r="D75" s="23" t="s">
        <v>98</v>
      </c>
      <c r="E75" s="125">
        <v>1678900</v>
      </c>
      <c r="F75" s="125"/>
      <c r="G75" s="125"/>
      <c r="H75" s="125">
        <v>1042288.71</v>
      </c>
      <c r="I75" s="125"/>
      <c r="J75" s="125"/>
      <c r="K75" s="126">
        <f t="shared" si="21"/>
        <v>62.08164333789982</v>
      </c>
      <c r="L75" s="125">
        <f t="shared" si="22"/>
        <v>0</v>
      </c>
      <c r="M75" s="123"/>
      <c r="N75" s="123"/>
      <c r="O75" s="123"/>
      <c r="P75" s="123"/>
      <c r="Q75" s="125">
        <f t="shared" si="23"/>
        <v>0</v>
      </c>
      <c r="R75" s="123"/>
      <c r="S75" s="123"/>
      <c r="T75" s="123"/>
      <c r="U75" s="123"/>
      <c r="V75" s="126"/>
      <c r="W75" s="125">
        <f>H75+Q75</f>
        <v>1042288.71</v>
      </c>
      <c r="X75" s="180"/>
      <c r="Y75" s="43"/>
    </row>
    <row r="76" spans="1:25" s="21" customFormat="1" ht="270">
      <c r="A76" s="19"/>
      <c r="B76" s="22" t="s">
        <v>99</v>
      </c>
      <c r="C76" s="22" t="s">
        <v>206</v>
      </c>
      <c r="D76" s="23" t="s">
        <v>100</v>
      </c>
      <c r="E76" s="125">
        <v>35619200</v>
      </c>
      <c r="F76" s="125"/>
      <c r="G76" s="123"/>
      <c r="H76" s="125">
        <v>25953849.36</v>
      </c>
      <c r="I76" s="123"/>
      <c r="J76" s="123"/>
      <c r="K76" s="126">
        <f t="shared" si="21"/>
        <v>72.86477338064864</v>
      </c>
      <c r="L76" s="125">
        <f t="shared" si="22"/>
        <v>0</v>
      </c>
      <c r="M76" s="123"/>
      <c r="N76" s="123"/>
      <c r="O76" s="123"/>
      <c r="P76" s="123"/>
      <c r="Q76" s="125">
        <f t="shared" si="23"/>
        <v>0</v>
      </c>
      <c r="R76" s="123"/>
      <c r="S76" s="123"/>
      <c r="T76" s="123"/>
      <c r="U76" s="123"/>
      <c r="V76" s="126"/>
      <c r="W76" s="125">
        <f>H76+Q76</f>
        <v>25953849.36</v>
      </c>
      <c r="X76" s="180"/>
      <c r="Y76" s="43"/>
    </row>
    <row r="77" spans="1:25" s="21" customFormat="1" ht="240">
      <c r="A77" s="19"/>
      <c r="B77" s="22" t="s">
        <v>101</v>
      </c>
      <c r="C77" s="22" t="s">
        <v>206</v>
      </c>
      <c r="D77" s="23" t="s">
        <v>102</v>
      </c>
      <c r="E77" s="125">
        <v>23046.23</v>
      </c>
      <c r="F77" s="123"/>
      <c r="G77" s="123"/>
      <c r="H77" s="125">
        <v>18701.88</v>
      </c>
      <c r="I77" s="123"/>
      <c r="J77" s="123"/>
      <c r="K77" s="126">
        <f t="shared" si="21"/>
        <v>81.14941142217188</v>
      </c>
      <c r="L77" s="125">
        <f t="shared" si="22"/>
        <v>0</v>
      </c>
      <c r="M77" s="123"/>
      <c r="N77" s="123"/>
      <c r="O77" s="123"/>
      <c r="P77" s="123"/>
      <c r="Q77" s="125">
        <f t="shared" si="23"/>
        <v>0</v>
      </c>
      <c r="R77" s="123"/>
      <c r="S77" s="123"/>
      <c r="T77" s="123"/>
      <c r="U77" s="123"/>
      <c r="V77" s="126"/>
      <c r="W77" s="125">
        <f>H77+Q77</f>
        <v>18701.88</v>
      </c>
      <c r="X77" s="180"/>
      <c r="Y77" s="43"/>
    </row>
    <row r="78" spans="1:25" s="21" customFormat="1" ht="270">
      <c r="A78" s="19"/>
      <c r="B78" s="30" t="s">
        <v>318</v>
      </c>
      <c r="C78" s="30" t="s">
        <v>206</v>
      </c>
      <c r="D78" s="77" t="s">
        <v>319</v>
      </c>
      <c r="E78" s="105">
        <v>269119</v>
      </c>
      <c r="F78" s="127"/>
      <c r="G78" s="127"/>
      <c r="H78" s="105">
        <v>165947.77</v>
      </c>
      <c r="I78" s="127"/>
      <c r="J78" s="127"/>
      <c r="K78" s="126">
        <f t="shared" si="21"/>
        <v>61.66334223893519</v>
      </c>
      <c r="L78" s="125">
        <f t="shared" si="22"/>
        <v>0</v>
      </c>
      <c r="M78" s="127"/>
      <c r="N78" s="127"/>
      <c r="O78" s="127"/>
      <c r="P78" s="127"/>
      <c r="Q78" s="125">
        <f t="shared" si="23"/>
        <v>0</v>
      </c>
      <c r="R78" s="127"/>
      <c r="S78" s="127"/>
      <c r="T78" s="127"/>
      <c r="U78" s="127"/>
      <c r="V78" s="126"/>
      <c r="W78" s="125">
        <f>H78+Q78</f>
        <v>165947.77</v>
      </c>
      <c r="X78" s="180"/>
      <c r="Y78" s="43"/>
    </row>
    <row r="79" spans="1:25" s="21" customFormat="1" ht="15.75">
      <c r="A79" s="19"/>
      <c r="B79" s="192" t="s">
        <v>103</v>
      </c>
      <c r="C79" s="192" t="s">
        <v>206</v>
      </c>
      <c r="D79" s="162" t="s">
        <v>230</v>
      </c>
      <c r="E79" s="183">
        <v>5469100</v>
      </c>
      <c r="F79" s="183"/>
      <c r="G79" s="183"/>
      <c r="H79" s="189">
        <v>3505139.53</v>
      </c>
      <c r="I79" s="105"/>
      <c r="J79" s="105"/>
      <c r="K79" s="186">
        <f t="shared" si="21"/>
        <v>64.08987822493646</v>
      </c>
      <c r="L79" s="183">
        <f t="shared" si="22"/>
        <v>0</v>
      </c>
      <c r="M79" s="183"/>
      <c r="N79" s="183"/>
      <c r="O79" s="183"/>
      <c r="P79" s="183"/>
      <c r="Q79" s="183">
        <f t="shared" si="23"/>
        <v>0</v>
      </c>
      <c r="R79" s="183"/>
      <c r="S79" s="183"/>
      <c r="T79" s="183"/>
      <c r="U79" s="183"/>
      <c r="V79" s="183"/>
      <c r="W79" s="183">
        <f>Q79+H79</f>
        <v>3505139.53</v>
      </c>
      <c r="X79" s="180">
        <v>19</v>
      </c>
      <c r="Y79" s="182"/>
    </row>
    <row r="80" spans="1:25" s="21" customFormat="1" ht="15.75">
      <c r="A80" s="19"/>
      <c r="B80" s="193"/>
      <c r="C80" s="193"/>
      <c r="D80" s="163"/>
      <c r="E80" s="184"/>
      <c r="F80" s="184"/>
      <c r="G80" s="184"/>
      <c r="H80" s="190"/>
      <c r="I80" s="128"/>
      <c r="J80" s="128"/>
      <c r="K80" s="187"/>
      <c r="L80" s="184"/>
      <c r="M80" s="184"/>
      <c r="N80" s="184"/>
      <c r="O80" s="184"/>
      <c r="P80" s="184"/>
      <c r="Q80" s="184"/>
      <c r="R80" s="184"/>
      <c r="S80" s="184"/>
      <c r="T80" s="184"/>
      <c r="U80" s="184"/>
      <c r="V80" s="184"/>
      <c r="W80" s="184"/>
      <c r="X80" s="180"/>
      <c r="Y80" s="182"/>
    </row>
    <row r="81" spans="1:25" s="21" customFormat="1" ht="178.5" customHeight="1">
      <c r="A81" s="19"/>
      <c r="B81" s="193"/>
      <c r="C81" s="193"/>
      <c r="D81" s="51" t="s">
        <v>231</v>
      </c>
      <c r="E81" s="184"/>
      <c r="F81" s="184"/>
      <c r="G81" s="184"/>
      <c r="H81" s="190"/>
      <c r="I81" s="128"/>
      <c r="J81" s="128"/>
      <c r="K81" s="187"/>
      <c r="L81" s="184"/>
      <c r="M81" s="184"/>
      <c r="N81" s="184"/>
      <c r="O81" s="184"/>
      <c r="P81" s="184"/>
      <c r="Q81" s="184"/>
      <c r="R81" s="184"/>
      <c r="S81" s="184"/>
      <c r="T81" s="184"/>
      <c r="U81" s="184"/>
      <c r="V81" s="184"/>
      <c r="W81" s="184"/>
      <c r="X81" s="180"/>
      <c r="Y81" s="182"/>
    </row>
    <row r="82" spans="1:25" s="21" customFormat="1" ht="300">
      <c r="A82" s="19"/>
      <c r="B82" s="194"/>
      <c r="C82" s="194"/>
      <c r="D82" s="52" t="s">
        <v>234</v>
      </c>
      <c r="E82" s="185"/>
      <c r="F82" s="185"/>
      <c r="G82" s="185"/>
      <c r="H82" s="191"/>
      <c r="I82" s="129"/>
      <c r="J82" s="129"/>
      <c r="K82" s="188"/>
      <c r="L82" s="185"/>
      <c r="M82" s="185"/>
      <c r="N82" s="185"/>
      <c r="O82" s="185"/>
      <c r="P82" s="185"/>
      <c r="Q82" s="185"/>
      <c r="R82" s="185"/>
      <c r="S82" s="185"/>
      <c r="T82" s="185"/>
      <c r="U82" s="185"/>
      <c r="V82" s="185"/>
      <c r="W82" s="185"/>
      <c r="X82" s="180"/>
      <c r="Y82" s="182"/>
    </row>
    <row r="83" spans="1:25" s="21" customFormat="1" ht="105">
      <c r="A83" s="19"/>
      <c r="B83" s="22" t="s">
        <v>104</v>
      </c>
      <c r="C83" s="22" t="s">
        <v>207</v>
      </c>
      <c r="D83" s="23" t="s">
        <v>105</v>
      </c>
      <c r="E83" s="125">
        <v>4278400</v>
      </c>
      <c r="F83" s="123"/>
      <c r="G83" s="125"/>
      <c r="H83" s="125">
        <v>2264876.27</v>
      </c>
      <c r="I83" s="123"/>
      <c r="J83" s="123"/>
      <c r="K83" s="126">
        <f>H83/E83*100</f>
        <v>52.937459564323106</v>
      </c>
      <c r="L83" s="130">
        <f>M83+P83</f>
        <v>0</v>
      </c>
      <c r="M83" s="123"/>
      <c r="N83" s="123"/>
      <c r="O83" s="123"/>
      <c r="P83" s="123"/>
      <c r="Q83" s="130">
        <f>R83+U83</f>
        <v>0</v>
      </c>
      <c r="R83" s="123"/>
      <c r="S83" s="123"/>
      <c r="T83" s="123"/>
      <c r="U83" s="123"/>
      <c r="V83" s="124"/>
      <c r="W83" s="125">
        <f>H83+Q83</f>
        <v>2264876.27</v>
      </c>
      <c r="X83" s="180"/>
      <c r="Y83" s="43"/>
    </row>
    <row r="84" spans="1:25" s="21" customFormat="1" ht="105">
      <c r="A84" s="19"/>
      <c r="B84" s="22" t="s">
        <v>320</v>
      </c>
      <c r="C84" s="22" t="s">
        <v>207</v>
      </c>
      <c r="D84" s="23" t="s">
        <v>321</v>
      </c>
      <c r="E84" s="125">
        <v>70400</v>
      </c>
      <c r="F84" s="123"/>
      <c r="G84" s="125"/>
      <c r="H84" s="125">
        <v>40213.75</v>
      </c>
      <c r="I84" s="123"/>
      <c r="J84" s="123"/>
      <c r="K84" s="126">
        <f>H84/E84*100</f>
        <v>57.12180397727272</v>
      </c>
      <c r="L84" s="130">
        <f>M84+P84</f>
        <v>0</v>
      </c>
      <c r="M84" s="123"/>
      <c r="N84" s="123"/>
      <c r="O84" s="123"/>
      <c r="P84" s="123"/>
      <c r="Q84" s="130">
        <f aca="true" t="shared" si="24" ref="Q84:Q116">R84+U84</f>
        <v>0</v>
      </c>
      <c r="R84" s="123"/>
      <c r="S84" s="123"/>
      <c r="T84" s="123"/>
      <c r="U84" s="123"/>
      <c r="V84" s="124"/>
      <c r="W84" s="125">
        <f aca="true" t="shared" si="25" ref="W84:W116">H84+Q84</f>
        <v>40213.75</v>
      </c>
      <c r="X84" s="180"/>
      <c r="Y84" s="43"/>
    </row>
    <row r="85" spans="1:25" s="21" customFormat="1" ht="225">
      <c r="A85" s="19"/>
      <c r="B85" s="22" t="s">
        <v>106</v>
      </c>
      <c r="C85" s="22" t="s">
        <v>207</v>
      </c>
      <c r="D85" s="23" t="s">
        <v>233</v>
      </c>
      <c r="E85" s="125">
        <v>110300</v>
      </c>
      <c r="F85" s="123"/>
      <c r="G85" s="125"/>
      <c r="H85" s="125">
        <v>25680</v>
      </c>
      <c r="I85" s="123"/>
      <c r="J85" s="123"/>
      <c r="K85" s="126">
        <f>H85/E85*100</f>
        <v>23.28195829555757</v>
      </c>
      <c r="L85" s="130">
        <f aca="true" t="shared" si="26" ref="L85:L116">M85+P85</f>
        <v>0</v>
      </c>
      <c r="M85" s="123"/>
      <c r="N85" s="123"/>
      <c r="O85" s="123"/>
      <c r="P85" s="123"/>
      <c r="Q85" s="130">
        <f t="shared" si="24"/>
        <v>0</v>
      </c>
      <c r="R85" s="123"/>
      <c r="S85" s="123"/>
      <c r="T85" s="123"/>
      <c r="U85" s="123"/>
      <c r="V85" s="124"/>
      <c r="W85" s="125">
        <f t="shared" si="25"/>
        <v>25680</v>
      </c>
      <c r="X85" s="180"/>
      <c r="Y85" s="43"/>
    </row>
    <row r="86" spans="1:25" s="21" customFormat="1" ht="45">
      <c r="A86" s="19"/>
      <c r="B86" s="22" t="s">
        <v>107</v>
      </c>
      <c r="C86" s="22" t="s">
        <v>207</v>
      </c>
      <c r="D86" s="23" t="s">
        <v>108</v>
      </c>
      <c r="E86" s="125">
        <f>250000+382700+240900+9100</f>
        <v>882700</v>
      </c>
      <c r="F86" s="125"/>
      <c r="G86" s="125"/>
      <c r="H86" s="125">
        <v>522579.69</v>
      </c>
      <c r="I86" s="125"/>
      <c r="J86" s="125"/>
      <c r="K86" s="126">
        <f>H86/E86*100</f>
        <v>59.20241191797893</v>
      </c>
      <c r="L86" s="130">
        <f t="shared" si="26"/>
        <v>0</v>
      </c>
      <c r="M86" s="125"/>
      <c r="N86" s="125"/>
      <c r="O86" s="125"/>
      <c r="P86" s="125"/>
      <c r="Q86" s="130">
        <f t="shared" si="24"/>
        <v>0</v>
      </c>
      <c r="R86" s="125"/>
      <c r="S86" s="125"/>
      <c r="T86" s="125"/>
      <c r="U86" s="125"/>
      <c r="V86" s="126"/>
      <c r="W86" s="125">
        <f t="shared" si="25"/>
        <v>522579.69</v>
      </c>
      <c r="X86" s="180"/>
      <c r="Y86" s="43"/>
    </row>
    <row r="87" spans="1:25" s="21" customFormat="1" ht="30">
      <c r="A87" s="19"/>
      <c r="B87" s="22" t="s">
        <v>322</v>
      </c>
      <c r="C87" s="22" t="s">
        <v>207</v>
      </c>
      <c r="D87" s="23" t="s">
        <v>323</v>
      </c>
      <c r="E87" s="125">
        <v>1394632</v>
      </c>
      <c r="F87" s="125"/>
      <c r="G87" s="125"/>
      <c r="H87" s="125">
        <v>1038255.88</v>
      </c>
      <c r="I87" s="125"/>
      <c r="J87" s="125"/>
      <c r="K87" s="126">
        <f>H87/E87*100</f>
        <v>74.44658375829609</v>
      </c>
      <c r="L87" s="130">
        <f t="shared" si="26"/>
        <v>0</v>
      </c>
      <c r="M87" s="125"/>
      <c r="N87" s="125"/>
      <c r="O87" s="125"/>
      <c r="P87" s="125"/>
      <c r="Q87" s="130">
        <f t="shared" si="24"/>
        <v>0</v>
      </c>
      <c r="R87" s="125"/>
      <c r="S87" s="125"/>
      <c r="T87" s="125"/>
      <c r="U87" s="125"/>
      <c r="V87" s="126"/>
      <c r="W87" s="125">
        <f t="shared" si="25"/>
        <v>1038255.88</v>
      </c>
      <c r="X87" s="180"/>
      <c r="Y87" s="43"/>
    </row>
    <row r="88" spans="1:25" s="21" customFormat="1" ht="150">
      <c r="A88" s="19"/>
      <c r="B88" s="22" t="s">
        <v>109</v>
      </c>
      <c r="C88" s="22" t="s">
        <v>207</v>
      </c>
      <c r="D88" s="23" t="s">
        <v>110</v>
      </c>
      <c r="E88" s="125">
        <v>2195200</v>
      </c>
      <c r="F88" s="123"/>
      <c r="G88" s="123"/>
      <c r="H88" s="125">
        <v>885136.44</v>
      </c>
      <c r="I88" s="123"/>
      <c r="J88" s="123"/>
      <c r="K88" s="126">
        <f aca="true" t="shared" si="27" ref="K88:K116">H88/E88*100</f>
        <v>40.32144861516035</v>
      </c>
      <c r="L88" s="130">
        <f t="shared" si="26"/>
        <v>0</v>
      </c>
      <c r="M88" s="123"/>
      <c r="N88" s="123"/>
      <c r="O88" s="123"/>
      <c r="P88" s="123"/>
      <c r="Q88" s="130">
        <f t="shared" si="24"/>
        <v>0</v>
      </c>
      <c r="R88" s="123"/>
      <c r="S88" s="123"/>
      <c r="T88" s="123"/>
      <c r="U88" s="123"/>
      <c r="V88" s="124"/>
      <c r="W88" s="125">
        <f t="shared" si="25"/>
        <v>885136.44</v>
      </c>
      <c r="X88" s="180">
        <v>20</v>
      </c>
      <c r="Y88" s="43"/>
    </row>
    <row r="89" spans="1:25" s="21" customFormat="1" ht="165">
      <c r="A89" s="19"/>
      <c r="B89" s="25" t="s">
        <v>111</v>
      </c>
      <c r="C89" s="25" t="s">
        <v>207</v>
      </c>
      <c r="D89" s="23" t="s">
        <v>112</v>
      </c>
      <c r="E89" s="125">
        <v>6754.88</v>
      </c>
      <c r="F89" s="123"/>
      <c r="G89" s="123"/>
      <c r="H89" s="125">
        <v>6748.04</v>
      </c>
      <c r="I89" s="123"/>
      <c r="J89" s="123"/>
      <c r="K89" s="126">
        <f t="shared" si="27"/>
        <v>99.8987398739874</v>
      </c>
      <c r="L89" s="130">
        <f t="shared" si="26"/>
        <v>0</v>
      </c>
      <c r="M89" s="123"/>
      <c r="N89" s="123"/>
      <c r="O89" s="123"/>
      <c r="P89" s="123"/>
      <c r="Q89" s="130">
        <f t="shared" si="24"/>
        <v>0</v>
      </c>
      <c r="R89" s="123"/>
      <c r="S89" s="123"/>
      <c r="T89" s="123"/>
      <c r="U89" s="123"/>
      <c r="V89" s="124"/>
      <c r="W89" s="125">
        <f t="shared" si="25"/>
        <v>6748.04</v>
      </c>
      <c r="X89" s="180"/>
      <c r="Y89" s="43"/>
    </row>
    <row r="90" spans="1:25" s="21" customFormat="1" ht="30">
      <c r="A90" s="19"/>
      <c r="B90" s="22" t="s">
        <v>113</v>
      </c>
      <c r="C90" s="22" t="s">
        <v>182</v>
      </c>
      <c r="D90" s="23" t="s">
        <v>114</v>
      </c>
      <c r="E90" s="125">
        <v>2832400</v>
      </c>
      <c r="F90" s="125"/>
      <c r="G90" s="125"/>
      <c r="H90" s="125">
        <v>1761165.89</v>
      </c>
      <c r="I90" s="125"/>
      <c r="J90" s="125"/>
      <c r="K90" s="126">
        <f t="shared" si="27"/>
        <v>62.17927870357294</v>
      </c>
      <c r="L90" s="130">
        <f t="shared" si="26"/>
        <v>0</v>
      </c>
      <c r="M90" s="125"/>
      <c r="N90" s="125"/>
      <c r="O90" s="125"/>
      <c r="P90" s="125"/>
      <c r="Q90" s="130">
        <f t="shared" si="24"/>
        <v>0</v>
      </c>
      <c r="R90" s="125"/>
      <c r="S90" s="125"/>
      <c r="T90" s="125"/>
      <c r="U90" s="125"/>
      <c r="V90" s="126"/>
      <c r="W90" s="125">
        <f t="shared" si="25"/>
        <v>1761165.89</v>
      </c>
      <c r="X90" s="180"/>
      <c r="Y90" s="43"/>
    </row>
    <row r="91" spans="1:25" s="21" customFormat="1" ht="30">
      <c r="A91" s="19"/>
      <c r="B91" s="22" t="s">
        <v>115</v>
      </c>
      <c r="C91" s="22" t="s">
        <v>182</v>
      </c>
      <c r="D91" s="23" t="s">
        <v>226</v>
      </c>
      <c r="E91" s="125">
        <v>2302000</v>
      </c>
      <c r="F91" s="125"/>
      <c r="G91" s="125"/>
      <c r="H91" s="125">
        <v>1638835.19</v>
      </c>
      <c r="I91" s="125"/>
      <c r="J91" s="125"/>
      <c r="K91" s="126">
        <f t="shared" si="27"/>
        <v>71.19179800173761</v>
      </c>
      <c r="L91" s="130">
        <f t="shared" si="26"/>
        <v>0</v>
      </c>
      <c r="M91" s="125"/>
      <c r="N91" s="125"/>
      <c r="O91" s="125"/>
      <c r="P91" s="125"/>
      <c r="Q91" s="130">
        <f t="shared" si="24"/>
        <v>0</v>
      </c>
      <c r="R91" s="125"/>
      <c r="S91" s="125"/>
      <c r="T91" s="125"/>
      <c r="U91" s="125"/>
      <c r="V91" s="126"/>
      <c r="W91" s="125">
        <f t="shared" si="25"/>
        <v>1638835.19</v>
      </c>
      <c r="X91" s="180"/>
      <c r="Y91" s="43"/>
    </row>
    <row r="92" spans="1:25" s="21" customFormat="1" ht="15.75">
      <c r="A92" s="19"/>
      <c r="B92" s="22" t="s">
        <v>116</v>
      </c>
      <c r="C92" s="22" t="s">
        <v>182</v>
      </c>
      <c r="D92" s="23" t="s">
        <v>117</v>
      </c>
      <c r="E92" s="125">
        <v>132914300</v>
      </c>
      <c r="F92" s="125"/>
      <c r="G92" s="125"/>
      <c r="H92" s="125">
        <v>101004168.04</v>
      </c>
      <c r="I92" s="125"/>
      <c r="J92" s="125"/>
      <c r="K92" s="126">
        <f t="shared" si="27"/>
        <v>75.99194973001401</v>
      </c>
      <c r="L92" s="130">
        <f t="shared" si="26"/>
        <v>0</v>
      </c>
      <c r="M92" s="125"/>
      <c r="N92" s="125"/>
      <c r="O92" s="125"/>
      <c r="P92" s="125"/>
      <c r="Q92" s="130">
        <f t="shared" si="24"/>
        <v>0</v>
      </c>
      <c r="R92" s="125"/>
      <c r="S92" s="125"/>
      <c r="T92" s="125"/>
      <c r="U92" s="125"/>
      <c r="V92" s="126"/>
      <c r="W92" s="125">
        <f t="shared" si="25"/>
        <v>101004168.04</v>
      </c>
      <c r="X92" s="180"/>
      <c r="Y92" s="43"/>
    </row>
    <row r="93" spans="1:25" s="21" customFormat="1" ht="30">
      <c r="A93" s="19"/>
      <c r="B93" s="22" t="s">
        <v>118</v>
      </c>
      <c r="C93" s="22" t="s">
        <v>182</v>
      </c>
      <c r="D93" s="23" t="s">
        <v>119</v>
      </c>
      <c r="E93" s="125">
        <v>5734000</v>
      </c>
      <c r="F93" s="125"/>
      <c r="G93" s="125"/>
      <c r="H93" s="125">
        <v>4841303.87</v>
      </c>
      <c r="I93" s="125"/>
      <c r="J93" s="125"/>
      <c r="K93" s="126">
        <f t="shared" si="27"/>
        <v>84.43152895012209</v>
      </c>
      <c r="L93" s="130">
        <f t="shared" si="26"/>
        <v>0</v>
      </c>
      <c r="M93" s="125"/>
      <c r="N93" s="125"/>
      <c r="O93" s="125"/>
      <c r="P93" s="125"/>
      <c r="Q93" s="130">
        <f t="shared" si="24"/>
        <v>0</v>
      </c>
      <c r="R93" s="125"/>
      <c r="S93" s="125"/>
      <c r="T93" s="125"/>
      <c r="U93" s="125"/>
      <c r="V93" s="126"/>
      <c r="W93" s="125">
        <f t="shared" si="25"/>
        <v>4841303.87</v>
      </c>
      <c r="X93" s="180"/>
      <c r="Y93" s="43"/>
    </row>
    <row r="94" spans="1:25" s="21" customFormat="1" ht="15.75">
      <c r="A94" s="19"/>
      <c r="B94" s="22" t="s">
        <v>120</v>
      </c>
      <c r="C94" s="22" t="s">
        <v>182</v>
      </c>
      <c r="D94" s="23" t="s">
        <v>121</v>
      </c>
      <c r="E94" s="125">
        <v>23220500</v>
      </c>
      <c r="F94" s="125"/>
      <c r="G94" s="125"/>
      <c r="H94" s="125">
        <v>18726886.56</v>
      </c>
      <c r="I94" s="125"/>
      <c r="J94" s="125"/>
      <c r="K94" s="126">
        <f t="shared" si="27"/>
        <v>80.64807631187958</v>
      </c>
      <c r="L94" s="130">
        <f t="shared" si="26"/>
        <v>0</v>
      </c>
      <c r="M94" s="125"/>
      <c r="N94" s="125"/>
      <c r="O94" s="125"/>
      <c r="P94" s="125"/>
      <c r="Q94" s="130">
        <f t="shared" si="24"/>
        <v>0</v>
      </c>
      <c r="R94" s="125"/>
      <c r="S94" s="125"/>
      <c r="T94" s="125"/>
      <c r="U94" s="125"/>
      <c r="V94" s="126"/>
      <c r="W94" s="125">
        <f t="shared" si="25"/>
        <v>18726886.56</v>
      </c>
      <c r="X94" s="180"/>
      <c r="Y94" s="43"/>
    </row>
    <row r="95" spans="1:25" s="21" customFormat="1" ht="15.75">
      <c r="A95" s="19"/>
      <c r="B95" s="22" t="s">
        <v>122</v>
      </c>
      <c r="C95" s="22" t="s">
        <v>182</v>
      </c>
      <c r="D95" s="23" t="s">
        <v>123</v>
      </c>
      <c r="E95" s="125">
        <v>1304200</v>
      </c>
      <c r="F95" s="125"/>
      <c r="G95" s="125"/>
      <c r="H95" s="125">
        <v>814376.49</v>
      </c>
      <c r="I95" s="125"/>
      <c r="J95" s="125"/>
      <c r="K95" s="126">
        <f t="shared" si="27"/>
        <v>62.44260772887594</v>
      </c>
      <c r="L95" s="130">
        <f t="shared" si="26"/>
        <v>0</v>
      </c>
      <c r="M95" s="125"/>
      <c r="N95" s="125"/>
      <c r="O95" s="125"/>
      <c r="P95" s="125"/>
      <c r="Q95" s="130">
        <f t="shared" si="24"/>
        <v>0</v>
      </c>
      <c r="R95" s="125"/>
      <c r="S95" s="125"/>
      <c r="T95" s="125"/>
      <c r="U95" s="125"/>
      <c r="V95" s="126"/>
      <c r="W95" s="125">
        <f t="shared" si="25"/>
        <v>814376.49</v>
      </c>
      <c r="X95" s="180"/>
      <c r="Y95" s="43"/>
    </row>
    <row r="96" spans="1:25" s="21" customFormat="1" ht="15.75">
      <c r="A96" s="19"/>
      <c r="B96" s="22" t="s">
        <v>124</v>
      </c>
      <c r="C96" s="22" t="s">
        <v>182</v>
      </c>
      <c r="D96" s="23" t="s">
        <v>125</v>
      </c>
      <c r="E96" s="125">
        <v>276200</v>
      </c>
      <c r="F96" s="125"/>
      <c r="G96" s="125"/>
      <c r="H96" s="125">
        <v>206400</v>
      </c>
      <c r="I96" s="125"/>
      <c r="J96" s="125"/>
      <c r="K96" s="126">
        <f t="shared" si="27"/>
        <v>74.72845763939175</v>
      </c>
      <c r="L96" s="130">
        <f t="shared" si="26"/>
        <v>0</v>
      </c>
      <c r="M96" s="125"/>
      <c r="N96" s="125"/>
      <c r="O96" s="125"/>
      <c r="P96" s="125"/>
      <c r="Q96" s="130">
        <f t="shared" si="24"/>
        <v>0</v>
      </c>
      <c r="R96" s="125"/>
      <c r="S96" s="125"/>
      <c r="T96" s="125"/>
      <c r="U96" s="125"/>
      <c r="V96" s="126"/>
      <c r="W96" s="125">
        <f t="shared" si="25"/>
        <v>206400</v>
      </c>
      <c r="X96" s="180"/>
      <c r="Y96" s="43"/>
    </row>
    <row r="97" spans="1:25" s="21" customFormat="1" ht="30">
      <c r="A97" s="19"/>
      <c r="B97" s="22" t="s">
        <v>126</v>
      </c>
      <c r="C97" s="22" t="s">
        <v>182</v>
      </c>
      <c r="D97" s="23" t="s">
        <v>127</v>
      </c>
      <c r="E97" s="125">
        <v>41101000</v>
      </c>
      <c r="F97" s="125"/>
      <c r="G97" s="125"/>
      <c r="H97" s="125">
        <v>31847720.34</v>
      </c>
      <c r="I97" s="125"/>
      <c r="J97" s="125"/>
      <c r="K97" s="126">
        <f t="shared" si="27"/>
        <v>77.48648534098928</v>
      </c>
      <c r="L97" s="130">
        <f t="shared" si="26"/>
        <v>0</v>
      </c>
      <c r="M97" s="125"/>
      <c r="N97" s="125"/>
      <c r="O97" s="125"/>
      <c r="P97" s="125"/>
      <c r="Q97" s="130">
        <f t="shared" si="24"/>
        <v>0</v>
      </c>
      <c r="R97" s="125"/>
      <c r="S97" s="125"/>
      <c r="T97" s="125"/>
      <c r="U97" s="125"/>
      <c r="V97" s="126"/>
      <c r="W97" s="125">
        <f t="shared" si="25"/>
        <v>31847720.34</v>
      </c>
      <c r="X97" s="180"/>
      <c r="Y97" s="43"/>
    </row>
    <row r="98" spans="1:25" s="21" customFormat="1" ht="45">
      <c r="A98" s="19"/>
      <c r="B98" s="22" t="s">
        <v>128</v>
      </c>
      <c r="C98" s="22" t="s">
        <v>208</v>
      </c>
      <c r="D98" s="23" t="s">
        <v>129</v>
      </c>
      <c r="E98" s="125">
        <v>365245700</v>
      </c>
      <c r="F98" s="125"/>
      <c r="G98" s="125"/>
      <c r="H98" s="125">
        <v>231630976.99</v>
      </c>
      <c r="I98" s="125"/>
      <c r="J98" s="125"/>
      <c r="K98" s="126">
        <f t="shared" si="27"/>
        <v>63.41785187067227</v>
      </c>
      <c r="L98" s="130">
        <f t="shared" si="26"/>
        <v>0</v>
      </c>
      <c r="M98" s="125"/>
      <c r="N98" s="125"/>
      <c r="O98" s="125"/>
      <c r="P98" s="125"/>
      <c r="Q98" s="130">
        <f t="shared" si="24"/>
        <v>0</v>
      </c>
      <c r="R98" s="125"/>
      <c r="S98" s="125"/>
      <c r="T98" s="125"/>
      <c r="U98" s="125"/>
      <c r="V98" s="126"/>
      <c r="W98" s="125">
        <f t="shared" si="25"/>
        <v>231630976.99</v>
      </c>
      <c r="X98" s="180"/>
      <c r="Y98" s="43"/>
    </row>
    <row r="99" spans="1:25" s="21" customFormat="1" ht="60">
      <c r="A99" s="19"/>
      <c r="B99" s="22" t="s">
        <v>130</v>
      </c>
      <c r="C99" s="22" t="s">
        <v>208</v>
      </c>
      <c r="D99" s="23" t="s">
        <v>131</v>
      </c>
      <c r="E99" s="125">
        <v>135028.89</v>
      </c>
      <c r="F99" s="125"/>
      <c r="G99" s="125"/>
      <c r="H99" s="125">
        <v>123680.66</v>
      </c>
      <c r="I99" s="125"/>
      <c r="J99" s="125"/>
      <c r="K99" s="126">
        <f t="shared" si="27"/>
        <v>91.59570222342789</v>
      </c>
      <c r="L99" s="130">
        <f t="shared" si="26"/>
        <v>0</v>
      </c>
      <c r="M99" s="125"/>
      <c r="N99" s="125"/>
      <c r="O99" s="125"/>
      <c r="P99" s="125"/>
      <c r="Q99" s="130">
        <f t="shared" si="24"/>
        <v>0</v>
      </c>
      <c r="R99" s="125"/>
      <c r="S99" s="125"/>
      <c r="T99" s="125"/>
      <c r="U99" s="125"/>
      <c r="V99" s="126"/>
      <c r="W99" s="125">
        <f t="shared" si="25"/>
        <v>123680.66</v>
      </c>
      <c r="X99" s="180"/>
      <c r="Y99" s="43"/>
    </row>
    <row r="100" spans="1:25" s="21" customFormat="1" ht="30">
      <c r="A100" s="19"/>
      <c r="B100" s="22" t="s">
        <v>16</v>
      </c>
      <c r="C100" s="22" t="s">
        <v>181</v>
      </c>
      <c r="D100" s="23" t="s">
        <v>17</v>
      </c>
      <c r="E100" s="125">
        <v>5737897.96</v>
      </c>
      <c r="F100" s="125"/>
      <c r="G100" s="125"/>
      <c r="H100" s="125">
        <v>4564026.25</v>
      </c>
      <c r="I100" s="125"/>
      <c r="J100" s="125"/>
      <c r="K100" s="126">
        <f t="shared" si="27"/>
        <v>79.54178135994597</v>
      </c>
      <c r="L100" s="130">
        <f t="shared" si="26"/>
        <v>0</v>
      </c>
      <c r="M100" s="125"/>
      <c r="N100" s="125"/>
      <c r="O100" s="125"/>
      <c r="P100" s="125"/>
      <c r="Q100" s="130">
        <f t="shared" si="24"/>
        <v>0</v>
      </c>
      <c r="R100" s="125"/>
      <c r="S100" s="125"/>
      <c r="T100" s="125"/>
      <c r="U100" s="125"/>
      <c r="V100" s="126"/>
      <c r="W100" s="125">
        <f t="shared" si="25"/>
        <v>4564026.25</v>
      </c>
      <c r="X100" s="180"/>
      <c r="Y100" s="43"/>
    </row>
    <row r="101" spans="1:25" s="21" customFormat="1" ht="30">
      <c r="A101" s="19"/>
      <c r="B101" s="22" t="s">
        <v>132</v>
      </c>
      <c r="C101" s="22" t="s">
        <v>209</v>
      </c>
      <c r="D101" s="23" t="s">
        <v>133</v>
      </c>
      <c r="E101" s="125">
        <v>7669000</v>
      </c>
      <c r="F101" s="125"/>
      <c r="G101" s="125"/>
      <c r="H101" s="125">
        <v>6251240.25</v>
      </c>
      <c r="I101" s="125"/>
      <c r="J101" s="125"/>
      <c r="K101" s="126">
        <f t="shared" si="27"/>
        <v>81.51310796714043</v>
      </c>
      <c r="L101" s="130">
        <f t="shared" si="26"/>
        <v>0</v>
      </c>
      <c r="M101" s="125"/>
      <c r="N101" s="125"/>
      <c r="O101" s="125"/>
      <c r="P101" s="125"/>
      <c r="Q101" s="130">
        <f t="shared" si="24"/>
        <v>0</v>
      </c>
      <c r="R101" s="125"/>
      <c r="S101" s="125"/>
      <c r="T101" s="125"/>
      <c r="U101" s="125"/>
      <c r="V101" s="126"/>
      <c r="W101" s="125">
        <f t="shared" si="25"/>
        <v>6251240.25</v>
      </c>
      <c r="X101" s="180"/>
      <c r="Y101" s="43"/>
    </row>
    <row r="102" spans="1:25" s="21" customFormat="1" ht="30">
      <c r="A102" s="19"/>
      <c r="B102" s="22" t="s">
        <v>134</v>
      </c>
      <c r="C102" s="22" t="s">
        <v>206</v>
      </c>
      <c r="D102" s="23" t="s">
        <v>135</v>
      </c>
      <c r="E102" s="125">
        <v>1673159</v>
      </c>
      <c r="F102" s="125"/>
      <c r="G102" s="125"/>
      <c r="H102" s="125">
        <v>983369.9</v>
      </c>
      <c r="I102" s="125"/>
      <c r="J102" s="125"/>
      <c r="K102" s="126">
        <f t="shared" si="27"/>
        <v>58.7732486870644</v>
      </c>
      <c r="L102" s="130">
        <f t="shared" si="26"/>
        <v>0</v>
      </c>
      <c r="M102" s="125"/>
      <c r="N102" s="125"/>
      <c r="O102" s="125"/>
      <c r="P102" s="125"/>
      <c r="Q102" s="130">
        <f t="shared" si="24"/>
        <v>0</v>
      </c>
      <c r="R102" s="125"/>
      <c r="S102" s="125"/>
      <c r="T102" s="125"/>
      <c r="U102" s="125"/>
      <c r="V102" s="126"/>
      <c r="W102" s="125">
        <f t="shared" si="25"/>
        <v>983369.9</v>
      </c>
      <c r="X102" s="180"/>
      <c r="Y102" s="43"/>
    </row>
    <row r="103" spans="1:25" s="21" customFormat="1" ht="30">
      <c r="A103" s="19"/>
      <c r="B103" s="22" t="s">
        <v>239</v>
      </c>
      <c r="C103" s="22" t="s">
        <v>241</v>
      </c>
      <c r="D103" s="23" t="s">
        <v>240</v>
      </c>
      <c r="E103" s="125">
        <v>181400</v>
      </c>
      <c r="F103" s="125"/>
      <c r="G103" s="125"/>
      <c r="H103" s="125">
        <v>114977.34</v>
      </c>
      <c r="I103" s="125"/>
      <c r="J103" s="125"/>
      <c r="K103" s="126">
        <f t="shared" si="27"/>
        <v>63.38331863285557</v>
      </c>
      <c r="L103" s="130">
        <f t="shared" si="26"/>
        <v>0</v>
      </c>
      <c r="M103" s="125"/>
      <c r="N103" s="125"/>
      <c r="O103" s="125"/>
      <c r="P103" s="125"/>
      <c r="Q103" s="130">
        <f t="shared" si="24"/>
        <v>0</v>
      </c>
      <c r="R103" s="125"/>
      <c r="S103" s="125"/>
      <c r="T103" s="125"/>
      <c r="U103" s="125"/>
      <c r="V103" s="126"/>
      <c r="W103" s="125">
        <f t="shared" si="25"/>
        <v>114977.34</v>
      </c>
      <c r="X103" s="180"/>
      <c r="Y103" s="43"/>
    </row>
    <row r="104" spans="1:25" s="21" customFormat="1" ht="30">
      <c r="A104" s="19"/>
      <c r="B104" s="22" t="s">
        <v>292</v>
      </c>
      <c r="C104" s="22" t="s">
        <v>293</v>
      </c>
      <c r="D104" s="23" t="s">
        <v>294</v>
      </c>
      <c r="E104" s="125">
        <f>160429-16831+231305.07</f>
        <v>374903.07</v>
      </c>
      <c r="F104" s="125">
        <f>117703+189509.86</f>
        <v>307212.86</v>
      </c>
      <c r="G104" s="125"/>
      <c r="H104" s="125">
        <v>229837.28</v>
      </c>
      <c r="I104" s="125">
        <v>188132.59</v>
      </c>
      <c r="J104" s="125"/>
      <c r="K104" s="126">
        <f t="shared" si="27"/>
        <v>61.30578765332596</v>
      </c>
      <c r="L104" s="130">
        <f t="shared" si="26"/>
        <v>0</v>
      </c>
      <c r="M104" s="125"/>
      <c r="N104" s="125"/>
      <c r="O104" s="125"/>
      <c r="P104" s="125"/>
      <c r="Q104" s="130">
        <f t="shared" si="24"/>
        <v>0</v>
      </c>
      <c r="R104" s="125"/>
      <c r="S104" s="125"/>
      <c r="T104" s="125"/>
      <c r="U104" s="125"/>
      <c r="V104" s="126"/>
      <c r="W104" s="125">
        <f t="shared" si="25"/>
        <v>229837.28</v>
      </c>
      <c r="X104" s="180"/>
      <c r="Y104" s="43"/>
    </row>
    <row r="105" spans="1:25" s="21" customFormat="1" ht="45">
      <c r="A105" s="19"/>
      <c r="B105" s="22" t="s">
        <v>136</v>
      </c>
      <c r="C105" s="22" t="s">
        <v>210</v>
      </c>
      <c r="D105" s="23" t="s">
        <v>137</v>
      </c>
      <c r="E105" s="125">
        <v>5925555</v>
      </c>
      <c r="F105" s="125">
        <f>4614400+54100-591900+312900-2330</f>
        <v>4387170</v>
      </c>
      <c r="G105" s="125">
        <f>154005+2561</f>
        <v>156566</v>
      </c>
      <c r="H105" s="125">
        <v>4123443.5</v>
      </c>
      <c r="I105" s="125">
        <v>3069417.54</v>
      </c>
      <c r="J105" s="125">
        <v>98242.99</v>
      </c>
      <c r="K105" s="126">
        <f t="shared" si="27"/>
        <v>69.587464802875</v>
      </c>
      <c r="L105" s="130">
        <f t="shared" si="26"/>
        <v>464703</v>
      </c>
      <c r="M105" s="125">
        <v>27800</v>
      </c>
      <c r="N105" s="125">
        <v>18822</v>
      </c>
      <c r="O105" s="125"/>
      <c r="P105" s="125">
        <v>436903</v>
      </c>
      <c r="Q105" s="130">
        <f t="shared" si="24"/>
        <v>508463.26</v>
      </c>
      <c r="R105" s="125">
        <v>69343.86</v>
      </c>
      <c r="S105" s="125">
        <v>19515.25</v>
      </c>
      <c r="T105" s="125"/>
      <c r="U105" s="125">
        <v>439119.4</v>
      </c>
      <c r="V105" s="126">
        <f>Q105/L105*100</f>
        <v>109.4168232182706</v>
      </c>
      <c r="W105" s="125">
        <f t="shared" si="25"/>
        <v>4631906.76</v>
      </c>
      <c r="X105" s="180"/>
      <c r="Y105" s="43"/>
    </row>
    <row r="106" spans="1:25" s="21" customFormat="1" ht="90">
      <c r="A106" s="19"/>
      <c r="B106" s="22" t="s">
        <v>138</v>
      </c>
      <c r="C106" s="22" t="s">
        <v>209</v>
      </c>
      <c r="D106" s="23" t="s">
        <v>139</v>
      </c>
      <c r="E106" s="125">
        <v>1397200</v>
      </c>
      <c r="F106" s="125"/>
      <c r="G106" s="125"/>
      <c r="H106" s="125">
        <v>840485.38</v>
      </c>
      <c r="I106" s="125"/>
      <c r="J106" s="125"/>
      <c r="K106" s="126">
        <f t="shared" si="27"/>
        <v>60.15497995991984</v>
      </c>
      <c r="L106" s="130">
        <f t="shared" si="26"/>
        <v>0</v>
      </c>
      <c r="M106" s="125"/>
      <c r="N106" s="125"/>
      <c r="O106" s="125"/>
      <c r="P106" s="125"/>
      <c r="Q106" s="130">
        <f t="shared" si="24"/>
        <v>0</v>
      </c>
      <c r="R106" s="125"/>
      <c r="S106" s="125"/>
      <c r="T106" s="125"/>
      <c r="U106" s="125"/>
      <c r="V106" s="126"/>
      <c r="W106" s="125">
        <f t="shared" si="25"/>
        <v>840485.38</v>
      </c>
      <c r="X106" s="180"/>
      <c r="Y106" s="43"/>
    </row>
    <row r="107" spans="1:25" s="21" customFormat="1" ht="105">
      <c r="A107" s="19"/>
      <c r="B107" s="22" t="s">
        <v>140</v>
      </c>
      <c r="C107" s="22" t="s">
        <v>208</v>
      </c>
      <c r="D107" s="23" t="s">
        <v>141</v>
      </c>
      <c r="E107" s="125">
        <f>2446698+35741</f>
        <v>2482439</v>
      </c>
      <c r="F107" s="125"/>
      <c r="G107" s="125"/>
      <c r="H107" s="125">
        <v>940510.43</v>
      </c>
      <c r="I107" s="125"/>
      <c r="J107" s="125"/>
      <c r="K107" s="126">
        <f t="shared" si="27"/>
        <v>37.88654746400616</v>
      </c>
      <c r="L107" s="130">
        <f t="shared" si="26"/>
        <v>0</v>
      </c>
      <c r="M107" s="125"/>
      <c r="N107" s="125"/>
      <c r="O107" s="125"/>
      <c r="P107" s="125"/>
      <c r="Q107" s="130">
        <f t="shared" si="24"/>
        <v>0</v>
      </c>
      <c r="R107" s="125"/>
      <c r="S107" s="125"/>
      <c r="T107" s="125"/>
      <c r="U107" s="125"/>
      <c r="V107" s="126"/>
      <c r="W107" s="125">
        <f t="shared" si="25"/>
        <v>940510.43</v>
      </c>
      <c r="X107" s="180"/>
      <c r="Y107" s="43"/>
    </row>
    <row r="108" spans="1:25" s="21" customFormat="1" ht="30">
      <c r="A108" s="19"/>
      <c r="B108" s="22" t="s">
        <v>142</v>
      </c>
      <c r="C108" s="22" t="s">
        <v>206</v>
      </c>
      <c r="D108" s="23" t="s">
        <v>143</v>
      </c>
      <c r="E108" s="125">
        <v>798900</v>
      </c>
      <c r="F108" s="125"/>
      <c r="G108" s="125"/>
      <c r="H108" s="125">
        <v>522643.86</v>
      </c>
      <c r="I108" s="125"/>
      <c r="J108" s="125"/>
      <c r="K108" s="126">
        <f t="shared" si="27"/>
        <v>65.42043559894856</v>
      </c>
      <c r="L108" s="130">
        <f t="shared" si="26"/>
        <v>0</v>
      </c>
      <c r="M108" s="125"/>
      <c r="N108" s="125"/>
      <c r="O108" s="125"/>
      <c r="P108" s="125"/>
      <c r="Q108" s="130">
        <f t="shared" si="24"/>
        <v>0</v>
      </c>
      <c r="R108" s="125"/>
      <c r="S108" s="125"/>
      <c r="T108" s="125"/>
      <c r="U108" s="125"/>
      <c r="V108" s="126"/>
      <c r="W108" s="125">
        <f t="shared" si="25"/>
        <v>522643.86</v>
      </c>
      <c r="X108" s="180"/>
      <c r="Y108" s="43"/>
    </row>
    <row r="109" spans="1:25" s="21" customFormat="1" ht="30">
      <c r="A109" s="19"/>
      <c r="B109" s="22" t="s">
        <v>242</v>
      </c>
      <c r="C109" s="22" t="s">
        <v>181</v>
      </c>
      <c r="D109" s="23" t="s">
        <v>243</v>
      </c>
      <c r="E109" s="125">
        <f>54417+57300</f>
        <v>111717</v>
      </c>
      <c r="F109" s="125"/>
      <c r="G109" s="125"/>
      <c r="H109" s="125">
        <v>86782</v>
      </c>
      <c r="I109" s="125"/>
      <c r="J109" s="125"/>
      <c r="K109" s="126">
        <f t="shared" si="27"/>
        <v>77.68020981587404</v>
      </c>
      <c r="L109" s="130">
        <f t="shared" si="26"/>
        <v>0</v>
      </c>
      <c r="M109" s="125"/>
      <c r="N109" s="125"/>
      <c r="O109" s="125"/>
      <c r="P109" s="125"/>
      <c r="Q109" s="130">
        <f t="shared" si="24"/>
        <v>0</v>
      </c>
      <c r="R109" s="125"/>
      <c r="S109" s="125"/>
      <c r="T109" s="125"/>
      <c r="U109" s="125"/>
      <c r="V109" s="126"/>
      <c r="W109" s="125">
        <f t="shared" si="25"/>
        <v>86782</v>
      </c>
      <c r="X109" s="180"/>
      <c r="Y109" s="43"/>
    </row>
    <row r="110" spans="1:25" s="21" customFormat="1" ht="15.75">
      <c r="A110" s="19"/>
      <c r="B110" s="22" t="s">
        <v>144</v>
      </c>
      <c r="C110" s="22" t="s">
        <v>181</v>
      </c>
      <c r="D110" s="23" t="s">
        <v>145</v>
      </c>
      <c r="E110" s="125">
        <v>1481942</v>
      </c>
      <c r="F110" s="125">
        <v>898400</v>
      </c>
      <c r="G110" s="125">
        <f>127230+2114</f>
        <v>129344</v>
      </c>
      <c r="H110" s="125">
        <v>997526.96</v>
      </c>
      <c r="I110" s="125">
        <v>606946.52</v>
      </c>
      <c r="J110" s="125">
        <v>64954.89</v>
      </c>
      <c r="K110" s="126">
        <f t="shared" si="27"/>
        <v>67.31214581947201</v>
      </c>
      <c r="L110" s="130">
        <f t="shared" si="26"/>
        <v>243500</v>
      </c>
      <c r="M110" s="125"/>
      <c r="N110" s="125"/>
      <c r="O110" s="125"/>
      <c r="P110" s="125">
        <f>200000+43500</f>
        <v>243500</v>
      </c>
      <c r="Q110" s="130">
        <f t="shared" si="24"/>
        <v>352769.2</v>
      </c>
      <c r="R110" s="125">
        <v>109289.2</v>
      </c>
      <c r="S110" s="125"/>
      <c r="T110" s="125"/>
      <c r="U110" s="125">
        <v>243480</v>
      </c>
      <c r="V110" s="126">
        <f>Q110/L110*100</f>
        <v>144.87441478439425</v>
      </c>
      <c r="W110" s="125">
        <f t="shared" si="25"/>
        <v>1350296.16</v>
      </c>
      <c r="X110" s="180"/>
      <c r="Y110" s="43"/>
    </row>
    <row r="111" spans="1:25" s="21" customFormat="1" ht="30">
      <c r="A111" s="19"/>
      <c r="B111" s="22" t="s">
        <v>146</v>
      </c>
      <c r="C111" s="22" t="s">
        <v>209</v>
      </c>
      <c r="D111" s="23" t="s">
        <v>147</v>
      </c>
      <c r="E111" s="125">
        <v>42439500</v>
      </c>
      <c r="F111" s="125"/>
      <c r="G111" s="125"/>
      <c r="H111" s="125">
        <v>30909769.12</v>
      </c>
      <c r="I111" s="125"/>
      <c r="J111" s="125"/>
      <c r="K111" s="126">
        <f t="shared" si="27"/>
        <v>72.8325477915621</v>
      </c>
      <c r="L111" s="130">
        <f t="shared" si="26"/>
        <v>0</v>
      </c>
      <c r="M111" s="125"/>
      <c r="N111" s="125"/>
      <c r="O111" s="125"/>
      <c r="P111" s="125"/>
      <c r="Q111" s="130">
        <f t="shared" si="24"/>
        <v>0</v>
      </c>
      <c r="R111" s="125"/>
      <c r="S111" s="125"/>
      <c r="T111" s="125"/>
      <c r="U111" s="125"/>
      <c r="V111" s="126"/>
      <c r="W111" s="125">
        <f t="shared" si="25"/>
        <v>30909769.12</v>
      </c>
      <c r="X111" s="180">
        <v>21</v>
      </c>
      <c r="Y111" s="43"/>
    </row>
    <row r="112" spans="1:25" s="21" customFormat="1" ht="60">
      <c r="A112" s="19"/>
      <c r="B112" s="22" t="s">
        <v>244</v>
      </c>
      <c r="C112" s="22" t="s">
        <v>209</v>
      </c>
      <c r="D112" s="23" t="s">
        <v>245</v>
      </c>
      <c r="E112" s="125">
        <v>162275</v>
      </c>
      <c r="F112" s="125"/>
      <c r="G112" s="125"/>
      <c r="H112" s="125">
        <v>142179.68</v>
      </c>
      <c r="I112" s="125"/>
      <c r="J112" s="125"/>
      <c r="K112" s="126">
        <f t="shared" si="27"/>
        <v>87.61650285010013</v>
      </c>
      <c r="L112" s="130">
        <f t="shared" si="26"/>
        <v>0</v>
      </c>
      <c r="M112" s="125"/>
      <c r="N112" s="125"/>
      <c r="O112" s="125"/>
      <c r="P112" s="125"/>
      <c r="Q112" s="130">
        <f t="shared" si="24"/>
        <v>0</v>
      </c>
      <c r="R112" s="125"/>
      <c r="S112" s="125"/>
      <c r="T112" s="125"/>
      <c r="U112" s="125"/>
      <c r="V112" s="126"/>
      <c r="W112" s="125">
        <f t="shared" si="25"/>
        <v>142179.68</v>
      </c>
      <c r="X112" s="180"/>
      <c r="Y112" s="43"/>
    </row>
    <row r="113" spans="1:25" s="21" customFormat="1" ht="30">
      <c r="A113" s="19"/>
      <c r="B113" s="22" t="s">
        <v>246</v>
      </c>
      <c r="C113" s="22" t="s">
        <v>209</v>
      </c>
      <c r="D113" s="23" t="s">
        <v>247</v>
      </c>
      <c r="E113" s="125">
        <v>4800</v>
      </c>
      <c r="F113" s="125"/>
      <c r="G113" s="125"/>
      <c r="H113" s="125">
        <v>756</v>
      </c>
      <c r="I113" s="125"/>
      <c r="J113" s="125"/>
      <c r="K113" s="126">
        <f t="shared" si="27"/>
        <v>15.75</v>
      </c>
      <c r="L113" s="130">
        <f t="shared" si="26"/>
        <v>0</v>
      </c>
      <c r="M113" s="125"/>
      <c r="N113" s="125"/>
      <c r="O113" s="125"/>
      <c r="P113" s="125"/>
      <c r="Q113" s="130">
        <f t="shared" si="24"/>
        <v>0</v>
      </c>
      <c r="R113" s="125"/>
      <c r="S113" s="125"/>
      <c r="T113" s="125"/>
      <c r="U113" s="125"/>
      <c r="V113" s="126"/>
      <c r="W113" s="125">
        <f t="shared" si="25"/>
        <v>756</v>
      </c>
      <c r="X113" s="180"/>
      <c r="Y113" s="43"/>
    </row>
    <row r="114" spans="1:25" s="21" customFormat="1" ht="45">
      <c r="A114" s="19"/>
      <c r="B114" s="22" t="s">
        <v>324</v>
      </c>
      <c r="C114" s="22" t="s">
        <v>207</v>
      </c>
      <c r="D114" s="23" t="s">
        <v>325</v>
      </c>
      <c r="E114" s="125">
        <v>4009742</v>
      </c>
      <c r="F114" s="125"/>
      <c r="G114" s="125"/>
      <c r="H114" s="125">
        <v>1536510.61</v>
      </c>
      <c r="I114" s="125"/>
      <c r="J114" s="125"/>
      <c r="K114" s="126">
        <f>H114/E114*100</f>
        <v>38.31943825812235</v>
      </c>
      <c r="L114" s="130">
        <f t="shared" si="26"/>
        <v>0</v>
      </c>
      <c r="M114" s="125"/>
      <c r="N114" s="125"/>
      <c r="O114" s="125"/>
      <c r="P114" s="125"/>
      <c r="Q114" s="130">
        <f t="shared" si="24"/>
        <v>0</v>
      </c>
      <c r="R114" s="125"/>
      <c r="S114" s="125"/>
      <c r="T114" s="125"/>
      <c r="U114" s="125"/>
      <c r="V114" s="126"/>
      <c r="W114" s="125">
        <f t="shared" si="25"/>
        <v>1536510.61</v>
      </c>
      <c r="X114" s="180"/>
      <c r="Y114" s="43"/>
    </row>
    <row r="115" spans="1:25" s="21" customFormat="1" ht="45">
      <c r="A115" s="19"/>
      <c r="B115" s="22" t="s">
        <v>148</v>
      </c>
      <c r="C115" s="22" t="s">
        <v>207</v>
      </c>
      <c r="D115" s="23" t="s">
        <v>149</v>
      </c>
      <c r="E115" s="125">
        <f>130000+9557658</f>
        <v>9687658</v>
      </c>
      <c r="F115" s="123"/>
      <c r="G115" s="123"/>
      <c r="H115" s="125">
        <v>4639291.25</v>
      </c>
      <c r="I115" s="125"/>
      <c r="J115" s="125"/>
      <c r="K115" s="126">
        <f t="shared" si="27"/>
        <v>47.88867701564196</v>
      </c>
      <c r="L115" s="130">
        <f t="shared" si="26"/>
        <v>0</v>
      </c>
      <c r="M115" s="123"/>
      <c r="N115" s="123"/>
      <c r="O115" s="123"/>
      <c r="P115" s="123"/>
      <c r="Q115" s="130">
        <f t="shared" si="24"/>
        <v>0</v>
      </c>
      <c r="R115" s="123"/>
      <c r="S115" s="123"/>
      <c r="T115" s="123"/>
      <c r="U115" s="123"/>
      <c r="V115" s="124"/>
      <c r="W115" s="125">
        <f t="shared" si="25"/>
        <v>4639291.25</v>
      </c>
      <c r="X115" s="180"/>
      <c r="Y115" s="43"/>
    </row>
    <row r="116" spans="1:25" s="21" customFormat="1" ht="15.75">
      <c r="A116" s="19"/>
      <c r="B116" s="22" t="s">
        <v>178</v>
      </c>
      <c r="C116" s="22" t="s">
        <v>224</v>
      </c>
      <c r="D116" s="23" t="s">
        <v>179</v>
      </c>
      <c r="E116" s="125">
        <f>1160656+1000000</f>
        <v>2160656</v>
      </c>
      <c r="F116" s="123"/>
      <c r="G116" s="123"/>
      <c r="H116" s="125">
        <v>1234660</v>
      </c>
      <c r="I116" s="125"/>
      <c r="J116" s="125"/>
      <c r="K116" s="126">
        <f t="shared" si="27"/>
        <v>57.142830695862735</v>
      </c>
      <c r="L116" s="130">
        <f t="shared" si="26"/>
        <v>0</v>
      </c>
      <c r="M116" s="123"/>
      <c r="N116" s="123"/>
      <c r="O116" s="123"/>
      <c r="P116" s="123"/>
      <c r="Q116" s="130">
        <f t="shared" si="24"/>
        <v>0</v>
      </c>
      <c r="R116" s="123"/>
      <c r="S116" s="123"/>
      <c r="T116" s="123"/>
      <c r="U116" s="123"/>
      <c r="V116" s="124"/>
      <c r="W116" s="125">
        <f t="shared" si="25"/>
        <v>1234660</v>
      </c>
      <c r="X116" s="180"/>
      <c r="Y116" s="43"/>
    </row>
    <row r="117" spans="1:25" s="21" customFormat="1" ht="28.5">
      <c r="A117" s="19"/>
      <c r="B117" s="26"/>
      <c r="C117" s="26"/>
      <c r="D117" s="27" t="s">
        <v>211</v>
      </c>
      <c r="E117" s="123">
        <f aca="true" t="shared" si="28" ref="E117:J117">SUM(E118:E119)</f>
        <v>1116736</v>
      </c>
      <c r="F117" s="123">
        <f t="shared" si="28"/>
        <v>808347</v>
      </c>
      <c r="G117" s="123">
        <f t="shared" si="28"/>
        <v>32719</v>
      </c>
      <c r="H117" s="123">
        <f t="shared" si="28"/>
        <v>791163.79</v>
      </c>
      <c r="I117" s="123">
        <f t="shared" si="28"/>
        <v>567733.75</v>
      </c>
      <c r="J117" s="123">
        <f t="shared" si="28"/>
        <v>20594.92</v>
      </c>
      <c r="K117" s="124">
        <f aca="true" t="shared" si="29" ref="K117:K127">H117/E117*100</f>
        <v>70.84608985471948</v>
      </c>
      <c r="L117" s="123">
        <f aca="true" t="shared" si="30" ref="L117:Q117">SUM(L118:L119)</f>
        <v>0</v>
      </c>
      <c r="M117" s="123">
        <f t="shared" si="30"/>
        <v>0</v>
      </c>
      <c r="N117" s="123">
        <f t="shared" si="30"/>
        <v>0</v>
      </c>
      <c r="O117" s="123">
        <f t="shared" si="30"/>
        <v>0</v>
      </c>
      <c r="P117" s="123">
        <f t="shared" si="30"/>
        <v>0</v>
      </c>
      <c r="Q117" s="123">
        <f t="shared" si="30"/>
        <v>0</v>
      </c>
      <c r="R117" s="123"/>
      <c r="S117" s="123"/>
      <c r="T117" s="123"/>
      <c r="U117" s="123"/>
      <c r="V117" s="124"/>
      <c r="W117" s="123">
        <f>SUM(W118:W119)</f>
        <v>791163.79</v>
      </c>
      <c r="X117" s="180"/>
      <c r="Y117" s="43"/>
    </row>
    <row r="118" spans="1:25" s="21" customFormat="1" ht="15.75">
      <c r="A118" s="19"/>
      <c r="B118" s="22" t="s">
        <v>11</v>
      </c>
      <c r="C118" s="22" t="s">
        <v>9</v>
      </c>
      <c r="D118" s="23" t="s">
        <v>96</v>
      </c>
      <c r="E118" s="125">
        <v>1066736</v>
      </c>
      <c r="F118" s="125">
        <v>808347</v>
      </c>
      <c r="G118" s="125">
        <v>32719</v>
      </c>
      <c r="H118" s="125">
        <v>759317.15</v>
      </c>
      <c r="I118" s="125">
        <v>567733.75</v>
      </c>
      <c r="J118" s="125">
        <v>20594.92</v>
      </c>
      <c r="K118" s="126">
        <f t="shared" si="29"/>
        <v>71.18135602435842</v>
      </c>
      <c r="L118" s="125">
        <f>M118+P118</f>
        <v>0</v>
      </c>
      <c r="M118" s="125"/>
      <c r="N118" s="125"/>
      <c r="O118" s="125"/>
      <c r="P118" s="125"/>
      <c r="Q118" s="125">
        <f>R118+U118</f>
        <v>0</v>
      </c>
      <c r="R118" s="125"/>
      <c r="S118" s="125"/>
      <c r="T118" s="125"/>
      <c r="U118" s="125"/>
      <c r="V118" s="126"/>
      <c r="W118" s="125">
        <f>H118+Q118</f>
        <v>759317.15</v>
      </c>
      <c r="X118" s="180"/>
      <c r="Y118" s="43"/>
    </row>
    <row r="119" spans="1:25" s="21" customFormat="1" ht="30">
      <c r="A119" s="19"/>
      <c r="B119" s="22" t="s">
        <v>150</v>
      </c>
      <c r="C119" s="22" t="s">
        <v>182</v>
      </c>
      <c r="D119" s="23" t="s">
        <v>151</v>
      </c>
      <c r="E119" s="125">
        <v>50000</v>
      </c>
      <c r="F119" s="123"/>
      <c r="G119" s="123"/>
      <c r="H119" s="125">
        <v>31846.64</v>
      </c>
      <c r="I119" s="123"/>
      <c r="J119" s="123"/>
      <c r="K119" s="126">
        <f t="shared" si="29"/>
        <v>63.693279999999994</v>
      </c>
      <c r="L119" s="125">
        <f>M119+P119</f>
        <v>0</v>
      </c>
      <c r="M119" s="123"/>
      <c r="N119" s="123"/>
      <c r="O119" s="123"/>
      <c r="P119" s="123"/>
      <c r="Q119" s="125">
        <f>R119+U119</f>
        <v>0</v>
      </c>
      <c r="R119" s="125"/>
      <c r="S119" s="123"/>
      <c r="T119" s="123"/>
      <c r="U119" s="125"/>
      <c r="V119" s="126"/>
      <c r="W119" s="125">
        <f>H119+Q119</f>
        <v>31846.64</v>
      </c>
      <c r="X119" s="180"/>
      <c r="Y119" s="43"/>
    </row>
    <row r="120" spans="1:25" s="21" customFormat="1" ht="28.5">
      <c r="A120" s="19"/>
      <c r="B120" s="26"/>
      <c r="C120" s="26"/>
      <c r="D120" s="27" t="s">
        <v>212</v>
      </c>
      <c r="E120" s="123">
        <f aca="true" t="shared" si="31" ref="E120:J120">SUM(E121:E125)</f>
        <v>29824298</v>
      </c>
      <c r="F120" s="123">
        <f t="shared" si="31"/>
        <v>21051734</v>
      </c>
      <c r="G120" s="123">
        <f t="shared" si="31"/>
        <v>1776764</v>
      </c>
      <c r="H120" s="123">
        <f t="shared" si="31"/>
        <v>21959040.94</v>
      </c>
      <c r="I120" s="123">
        <f t="shared" si="31"/>
        <v>15604470.75</v>
      </c>
      <c r="J120" s="123">
        <f t="shared" si="31"/>
        <v>988312.57</v>
      </c>
      <c r="K120" s="124">
        <f t="shared" si="29"/>
        <v>73.6280228289028</v>
      </c>
      <c r="L120" s="123">
        <f aca="true" t="shared" si="32" ref="L120:T120">SUM(L121:L125)</f>
        <v>2489920</v>
      </c>
      <c r="M120" s="123">
        <f t="shared" si="32"/>
        <v>1320320</v>
      </c>
      <c r="N120" s="123">
        <f t="shared" si="32"/>
        <v>953732</v>
      </c>
      <c r="O120" s="123">
        <f t="shared" si="32"/>
        <v>0</v>
      </c>
      <c r="P120" s="123">
        <f t="shared" si="32"/>
        <v>1169600</v>
      </c>
      <c r="Q120" s="123">
        <f t="shared" si="32"/>
        <v>1772250.88</v>
      </c>
      <c r="R120" s="123">
        <f t="shared" si="32"/>
        <v>938724.69</v>
      </c>
      <c r="S120" s="123">
        <f t="shared" si="32"/>
        <v>741615.54</v>
      </c>
      <c r="T120" s="123">
        <f t="shared" si="32"/>
        <v>0</v>
      </c>
      <c r="U120" s="123">
        <f>SUM(U121:U125)</f>
        <v>833526.1900000001</v>
      </c>
      <c r="V120" s="124">
        <f>Q120/L120*100</f>
        <v>71.1770209484642</v>
      </c>
      <c r="W120" s="123">
        <f>SUM(W121:W125)</f>
        <v>23731291.82</v>
      </c>
      <c r="X120" s="180"/>
      <c r="Y120" s="43"/>
    </row>
    <row r="121" spans="1:25" s="21" customFormat="1" ht="15.75">
      <c r="A121" s="19"/>
      <c r="B121" s="22" t="s">
        <v>11</v>
      </c>
      <c r="C121" s="22" t="s">
        <v>9</v>
      </c>
      <c r="D121" s="23" t="s">
        <v>96</v>
      </c>
      <c r="E121" s="125">
        <v>501281</v>
      </c>
      <c r="F121" s="125">
        <v>351583</v>
      </c>
      <c r="G121" s="125">
        <v>13469</v>
      </c>
      <c r="H121" s="125">
        <v>352333.11</v>
      </c>
      <c r="I121" s="125">
        <v>263115.1</v>
      </c>
      <c r="J121" s="125">
        <v>8420.1</v>
      </c>
      <c r="K121" s="126">
        <f t="shared" si="29"/>
        <v>70.28654786437147</v>
      </c>
      <c r="L121" s="125">
        <f>M121+P121</f>
        <v>20000</v>
      </c>
      <c r="M121" s="125"/>
      <c r="N121" s="125"/>
      <c r="O121" s="125"/>
      <c r="P121" s="125">
        <v>20000</v>
      </c>
      <c r="Q121" s="125">
        <f>R121+U121</f>
        <v>12280</v>
      </c>
      <c r="R121" s="125"/>
      <c r="S121" s="125"/>
      <c r="T121" s="125"/>
      <c r="U121" s="125">
        <v>12280</v>
      </c>
      <c r="V121" s="126">
        <f>Q121/L121*100</f>
        <v>61.4</v>
      </c>
      <c r="W121" s="125">
        <f>H121+Q121</f>
        <v>364613.11</v>
      </c>
      <c r="X121" s="180"/>
      <c r="Y121" s="43"/>
    </row>
    <row r="122" spans="1:25" s="21" customFormat="1" ht="45">
      <c r="A122" s="19"/>
      <c r="B122" s="22" t="s">
        <v>152</v>
      </c>
      <c r="C122" s="22" t="s">
        <v>213</v>
      </c>
      <c r="D122" s="23" t="s">
        <v>153</v>
      </c>
      <c r="E122" s="125">
        <v>1075000</v>
      </c>
      <c r="F122" s="125"/>
      <c r="G122" s="125"/>
      <c r="H122" s="125">
        <v>1059143.31</v>
      </c>
      <c r="I122" s="125"/>
      <c r="J122" s="125"/>
      <c r="K122" s="126">
        <f t="shared" si="29"/>
        <v>98.52495906976745</v>
      </c>
      <c r="L122" s="125">
        <f>M122+P122</f>
        <v>0</v>
      </c>
      <c r="M122" s="123"/>
      <c r="N122" s="123"/>
      <c r="O122" s="123"/>
      <c r="P122" s="123"/>
      <c r="Q122" s="125">
        <f>R122+U122</f>
        <v>0</v>
      </c>
      <c r="R122" s="125"/>
      <c r="S122" s="125"/>
      <c r="T122" s="125"/>
      <c r="U122" s="125"/>
      <c r="V122" s="126"/>
      <c r="W122" s="125">
        <f>H122+Q122</f>
        <v>1059143.31</v>
      </c>
      <c r="X122" s="180"/>
      <c r="Y122" s="43"/>
    </row>
    <row r="123" spans="1:25" s="21" customFormat="1" ht="15.75">
      <c r="A123" s="19"/>
      <c r="B123" s="22" t="s">
        <v>154</v>
      </c>
      <c r="C123" s="22" t="s">
        <v>214</v>
      </c>
      <c r="D123" s="23" t="s">
        <v>155</v>
      </c>
      <c r="E123" s="125">
        <v>10519452</v>
      </c>
      <c r="F123" s="125">
        <v>7091432</v>
      </c>
      <c r="G123" s="125">
        <v>1039633</v>
      </c>
      <c r="H123" s="125">
        <v>7545187.21</v>
      </c>
      <c r="I123" s="125">
        <v>5235966.32</v>
      </c>
      <c r="J123" s="125">
        <v>589672.49</v>
      </c>
      <c r="K123" s="126">
        <f t="shared" si="29"/>
        <v>71.72604818197755</v>
      </c>
      <c r="L123" s="125">
        <f>M123+P123</f>
        <v>705500</v>
      </c>
      <c r="M123" s="125">
        <v>21000</v>
      </c>
      <c r="N123" s="125">
        <v>5000</v>
      </c>
      <c r="O123" s="123"/>
      <c r="P123" s="125">
        <v>684500</v>
      </c>
      <c r="Q123" s="125">
        <f>R123+U123</f>
        <v>596221.84</v>
      </c>
      <c r="R123" s="125">
        <v>6286.82</v>
      </c>
      <c r="S123" s="125">
        <v>1100</v>
      </c>
      <c r="T123" s="125"/>
      <c r="U123" s="125">
        <v>589935.02</v>
      </c>
      <c r="V123" s="126">
        <f aca="true" t="shared" si="33" ref="V123:V187">Q123/L123*100</f>
        <v>84.51053720765415</v>
      </c>
      <c r="W123" s="125">
        <f>H123+Q123</f>
        <v>8141409.05</v>
      </c>
      <c r="X123" s="180"/>
      <c r="Y123" s="43"/>
    </row>
    <row r="124" spans="1:25" s="21" customFormat="1" ht="15.75">
      <c r="A124" s="19"/>
      <c r="B124" s="22" t="s">
        <v>156</v>
      </c>
      <c r="C124" s="22" t="s">
        <v>197</v>
      </c>
      <c r="D124" s="23" t="s">
        <v>157</v>
      </c>
      <c r="E124" s="125">
        <v>16969240</v>
      </c>
      <c r="F124" s="125">
        <v>13079650</v>
      </c>
      <c r="G124" s="125">
        <v>702306</v>
      </c>
      <c r="H124" s="125">
        <v>12477088.19</v>
      </c>
      <c r="I124" s="125">
        <v>9703464</v>
      </c>
      <c r="J124" s="125">
        <v>376266.64</v>
      </c>
      <c r="K124" s="126">
        <f t="shared" si="29"/>
        <v>73.52767825783594</v>
      </c>
      <c r="L124" s="125">
        <f>M124+P124</f>
        <v>1741420</v>
      </c>
      <c r="M124" s="125">
        <v>1299320</v>
      </c>
      <c r="N124" s="125">
        <v>948732</v>
      </c>
      <c r="O124" s="125"/>
      <c r="P124" s="125">
        <f>4600+435500-18000+20000</f>
        <v>442100</v>
      </c>
      <c r="Q124" s="125">
        <f>R124+U124</f>
        <v>1144289.04</v>
      </c>
      <c r="R124" s="125">
        <v>923377.87</v>
      </c>
      <c r="S124" s="125">
        <v>740515.54</v>
      </c>
      <c r="T124" s="125"/>
      <c r="U124" s="125">
        <v>220911.17</v>
      </c>
      <c r="V124" s="126">
        <f t="shared" si="33"/>
        <v>65.71011243697671</v>
      </c>
      <c r="W124" s="125">
        <f>H124+Q124</f>
        <v>13621377.23</v>
      </c>
      <c r="X124" s="180"/>
      <c r="Y124" s="43"/>
    </row>
    <row r="125" spans="1:25" s="21" customFormat="1" ht="30">
      <c r="A125" s="19"/>
      <c r="B125" s="22" t="s">
        <v>30</v>
      </c>
      <c r="C125" s="22" t="s">
        <v>184</v>
      </c>
      <c r="D125" s="23" t="s">
        <v>31</v>
      </c>
      <c r="E125" s="125">
        <v>759325</v>
      </c>
      <c r="F125" s="125">
        <v>529069</v>
      </c>
      <c r="G125" s="125">
        <v>21356</v>
      </c>
      <c r="H125" s="125">
        <v>525289.12</v>
      </c>
      <c r="I125" s="125">
        <v>401925.33</v>
      </c>
      <c r="J125" s="125">
        <v>13953.34</v>
      </c>
      <c r="K125" s="126">
        <f t="shared" si="29"/>
        <v>69.1784308431831</v>
      </c>
      <c r="L125" s="125">
        <f>M125+P125</f>
        <v>23000</v>
      </c>
      <c r="M125" s="123"/>
      <c r="N125" s="123"/>
      <c r="O125" s="123"/>
      <c r="P125" s="125">
        <f>30000-7000</f>
        <v>23000</v>
      </c>
      <c r="Q125" s="125">
        <f>R125+U125</f>
        <v>19460</v>
      </c>
      <c r="R125" s="125">
        <v>9060</v>
      </c>
      <c r="S125" s="125"/>
      <c r="T125" s="125"/>
      <c r="U125" s="125">
        <v>10400</v>
      </c>
      <c r="V125" s="126">
        <f t="shared" si="33"/>
        <v>84.60869565217392</v>
      </c>
      <c r="W125" s="125">
        <f>H125+Q125</f>
        <v>544749.12</v>
      </c>
      <c r="X125" s="180"/>
      <c r="Y125" s="43"/>
    </row>
    <row r="126" spans="1:25" s="21" customFormat="1" ht="28.5">
      <c r="A126" s="19"/>
      <c r="B126" s="26"/>
      <c r="C126" s="26"/>
      <c r="D126" s="27" t="s">
        <v>215</v>
      </c>
      <c r="E126" s="123">
        <f aca="true" t="shared" si="34" ref="E126:J126">SUM(E127:E147)</f>
        <v>43338523.83</v>
      </c>
      <c r="F126" s="123">
        <f t="shared" si="34"/>
        <v>2664144</v>
      </c>
      <c r="G126" s="123">
        <f t="shared" si="34"/>
        <v>7296375</v>
      </c>
      <c r="H126" s="123">
        <f t="shared" si="34"/>
        <v>28128768.310000002</v>
      </c>
      <c r="I126" s="123">
        <f t="shared" si="34"/>
        <v>2027478.59</v>
      </c>
      <c r="J126" s="123">
        <f t="shared" si="34"/>
        <v>6191711.72</v>
      </c>
      <c r="K126" s="124">
        <f t="shared" si="29"/>
        <v>64.90476791581114</v>
      </c>
      <c r="L126" s="123">
        <f>SUM(L127:L147)</f>
        <v>126776852.66</v>
      </c>
      <c r="M126" s="123">
        <f aca="true" t="shared" si="35" ref="M126:T126">SUM(M127:M147)</f>
        <v>1191544</v>
      </c>
      <c r="N126" s="123">
        <f t="shared" si="35"/>
        <v>0</v>
      </c>
      <c r="O126" s="123">
        <f t="shared" si="35"/>
        <v>0</v>
      </c>
      <c r="P126" s="123">
        <f t="shared" si="35"/>
        <v>125585308.66</v>
      </c>
      <c r="Q126" s="123">
        <f t="shared" si="35"/>
        <v>38892341.1</v>
      </c>
      <c r="R126" s="123">
        <f t="shared" si="35"/>
        <v>296506.95999999996</v>
      </c>
      <c r="S126" s="123">
        <f t="shared" si="35"/>
        <v>0</v>
      </c>
      <c r="T126" s="123">
        <f t="shared" si="35"/>
        <v>0</v>
      </c>
      <c r="U126" s="123">
        <f>SUM(U127:U147)</f>
        <v>38595834.14</v>
      </c>
      <c r="V126" s="124">
        <f t="shared" si="33"/>
        <v>30.677793527738462</v>
      </c>
      <c r="W126" s="123">
        <f>SUM(W127:W147)</f>
        <v>67021109.410000004</v>
      </c>
      <c r="X126" s="180"/>
      <c r="Y126" s="43"/>
    </row>
    <row r="127" spans="1:25" s="21" customFormat="1" ht="15.75">
      <c r="A127" s="19"/>
      <c r="B127" s="22" t="s">
        <v>11</v>
      </c>
      <c r="C127" s="22" t="s">
        <v>9</v>
      </c>
      <c r="D127" s="23" t="s">
        <v>96</v>
      </c>
      <c r="E127" s="125">
        <v>3659664</v>
      </c>
      <c r="F127" s="125">
        <v>2664144</v>
      </c>
      <c r="G127" s="125">
        <v>118075</v>
      </c>
      <c r="H127" s="125">
        <v>2709372.68</v>
      </c>
      <c r="I127" s="125">
        <v>2027478.59</v>
      </c>
      <c r="J127" s="125">
        <v>69606.79</v>
      </c>
      <c r="K127" s="126">
        <f t="shared" si="29"/>
        <v>74.0333724626086</v>
      </c>
      <c r="L127" s="125">
        <f>M127+P127</f>
        <v>30000</v>
      </c>
      <c r="M127" s="125"/>
      <c r="N127" s="125"/>
      <c r="O127" s="125"/>
      <c r="P127" s="125">
        <v>30000</v>
      </c>
      <c r="Q127" s="125">
        <f>R127+U127</f>
        <v>29999</v>
      </c>
      <c r="R127" s="125"/>
      <c r="S127" s="125"/>
      <c r="T127" s="125"/>
      <c r="U127" s="125">
        <v>29999</v>
      </c>
      <c r="V127" s="126">
        <f t="shared" si="33"/>
        <v>99.99666666666667</v>
      </c>
      <c r="W127" s="125">
        <f>H127+Q127</f>
        <v>2739371.68</v>
      </c>
      <c r="X127" s="180"/>
      <c r="Y127" s="43"/>
    </row>
    <row r="128" spans="1:25" s="21" customFormat="1" ht="30">
      <c r="A128" s="19"/>
      <c r="B128" s="22" t="s">
        <v>292</v>
      </c>
      <c r="C128" s="22" t="s">
        <v>293</v>
      </c>
      <c r="D128" s="23" t="s">
        <v>294</v>
      </c>
      <c r="E128" s="125">
        <v>350000</v>
      </c>
      <c r="F128" s="125"/>
      <c r="G128" s="125"/>
      <c r="H128" s="125">
        <v>155673.62</v>
      </c>
      <c r="I128" s="125"/>
      <c r="J128" s="125"/>
      <c r="K128" s="126">
        <f aca="true" t="shared" si="36" ref="K128:K139">H128/E128*100</f>
        <v>44.47817714285714</v>
      </c>
      <c r="L128" s="125">
        <f aca="true" t="shared" si="37" ref="L128:L147">M128+P128</f>
        <v>0</v>
      </c>
      <c r="M128" s="125"/>
      <c r="N128" s="125"/>
      <c r="O128" s="125"/>
      <c r="P128" s="125"/>
      <c r="Q128" s="125">
        <f aca="true" t="shared" si="38" ref="Q128:Q147">R128+U128</f>
        <v>0</v>
      </c>
      <c r="R128" s="125"/>
      <c r="S128" s="125"/>
      <c r="T128" s="125"/>
      <c r="U128" s="125"/>
      <c r="V128" s="126"/>
      <c r="W128" s="125">
        <f aca="true" t="shared" si="39" ref="W128:W147">H128+Q128</f>
        <v>155673.62</v>
      </c>
      <c r="X128" s="180"/>
      <c r="Y128" s="43"/>
    </row>
    <row r="129" spans="1:25" s="21" customFormat="1" ht="15.75">
      <c r="A129" s="19"/>
      <c r="B129" s="22" t="s">
        <v>307</v>
      </c>
      <c r="C129" s="22" t="s">
        <v>216</v>
      </c>
      <c r="D129" s="23" t="s">
        <v>308</v>
      </c>
      <c r="E129" s="125">
        <f>180000+1500000</f>
        <v>1680000</v>
      </c>
      <c r="F129" s="125"/>
      <c r="G129" s="125"/>
      <c r="H129" s="125">
        <v>178041.07</v>
      </c>
      <c r="I129" s="125"/>
      <c r="J129" s="125"/>
      <c r="K129" s="126">
        <f t="shared" si="36"/>
        <v>10.597682738095239</v>
      </c>
      <c r="L129" s="125">
        <f t="shared" si="37"/>
        <v>0</v>
      </c>
      <c r="M129" s="125"/>
      <c r="N129" s="125"/>
      <c r="O129" s="125"/>
      <c r="P129" s="125"/>
      <c r="Q129" s="125">
        <f t="shared" si="38"/>
        <v>0</v>
      </c>
      <c r="R129" s="125"/>
      <c r="S129" s="125"/>
      <c r="T129" s="125"/>
      <c r="U129" s="125"/>
      <c r="V129" s="126"/>
      <c r="W129" s="125">
        <f t="shared" si="39"/>
        <v>178041.07</v>
      </c>
      <c r="X129" s="180"/>
      <c r="Y129" s="43"/>
    </row>
    <row r="130" spans="1:25" s="21" customFormat="1" ht="30">
      <c r="A130" s="19"/>
      <c r="B130" s="22" t="s">
        <v>158</v>
      </c>
      <c r="C130" s="22" t="s">
        <v>216</v>
      </c>
      <c r="D130" s="23" t="s">
        <v>159</v>
      </c>
      <c r="E130" s="125">
        <v>390000</v>
      </c>
      <c r="F130" s="123"/>
      <c r="G130" s="123"/>
      <c r="H130" s="125">
        <v>146149.36</v>
      </c>
      <c r="I130" s="125"/>
      <c r="J130" s="125"/>
      <c r="K130" s="126">
        <f t="shared" si="36"/>
        <v>37.47419487179487</v>
      </c>
      <c r="L130" s="125">
        <f t="shared" si="37"/>
        <v>59315444.14</v>
      </c>
      <c r="M130" s="123"/>
      <c r="N130" s="123"/>
      <c r="O130" s="123"/>
      <c r="P130" s="125">
        <v>59315444.14</v>
      </c>
      <c r="Q130" s="125">
        <f t="shared" si="38"/>
        <v>19409432.51</v>
      </c>
      <c r="R130" s="125"/>
      <c r="S130" s="125"/>
      <c r="T130" s="125"/>
      <c r="U130" s="125">
        <v>19409432.51</v>
      </c>
      <c r="V130" s="126">
        <f t="shared" si="33"/>
        <v>32.72239261024271</v>
      </c>
      <c r="W130" s="125">
        <f t="shared" si="39"/>
        <v>19555581.87</v>
      </c>
      <c r="X130" s="180"/>
      <c r="Y130" s="43"/>
    </row>
    <row r="131" spans="1:25" s="21" customFormat="1" ht="45">
      <c r="A131" s="19"/>
      <c r="B131" s="22" t="s">
        <v>160</v>
      </c>
      <c r="C131" s="22" t="s">
        <v>216</v>
      </c>
      <c r="D131" s="23" t="s">
        <v>161</v>
      </c>
      <c r="E131" s="123"/>
      <c r="F131" s="123"/>
      <c r="G131" s="123"/>
      <c r="H131" s="123"/>
      <c r="I131" s="123"/>
      <c r="J131" s="123"/>
      <c r="K131" s="126"/>
      <c r="L131" s="125">
        <f t="shared" si="37"/>
        <v>7000000</v>
      </c>
      <c r="M131" s="125"/>
      <c r="N131" s="125"/>
      <c r="O131" s="125"/>
      <c r="P131" s="125">
        <f>7000000</f>
        <v>7000000</v>
      </c>
      <c r="Q131" s="125">
        <f t="shared" si="38"/>
        <v>888404.49</v>
      </c>
      <c r="R131" s="125"/>
      <c r="S131" s="125"/>
      <c r="T131" s="125"/>
      <c r="U131" s="125">
        <v>888404.49</v>
      </c>
      <c r="V131" s="126">
        <f t="shared" si="33"/>
        <v>12.691492714285715</v>
      </c>
      <c r="W131" s="125">
        <f t="shared" si="39"/>
        <v>888404.49</v>
      </c>
      <c r="X131" s="180"/>
      <c r="Y131" s="43"/>
    </row>
    <row r="132" spans="1:25" s="21" customFormat="1" ht="30">
      <c r="A132" s="19"/>
      <c r="B132" s="22" t="s">
        <v>162</v>
      </c>
      <c r="C132" s="22" t="s">
        <v>183</v>
      </c>
      <c r="D132" s="23" t="s">
        <v>163</v>
      </c>
      <c r="E132" s="125">
        <v>5174103</v>
      </c>
      <c r="F132" s="123"/>
      <c r="G132" s="123"/>
      <c r="H132" s="125">
        <v>2933073.52</v>
      </c>
      <c r="I132" s="125"/>
      <c r="J132" s="125"/>
      <c r="K132" s="126">
        <f t="shared" si="36"/>
        <v>56.687575025081635</v>
      </c>
      <c r="L132" s="125">
        <f t="shared" si="37"/>
        <v>4269334</v>
      </c>
      <c r="M132" s="123"/>
      <c r="N132" s="123"/>
      <c r="O132" s="123"/>
      <c r="P132" s="125">
        <v>4269334</v>
      </c>
      <c r="Q132" s="125">
        <f t="shared" si="38"/>
        <v>1663373.31</v>
      </c>
      <c r="R132" s="123"/>
      <c r="S132" s="123"/>
      <c r="T132" s="123"/>
      <c r="U132" s="125">
        <v>1663373.31</v>
      </c>
      <c r="V132" s="126">
        <f t="shared" si="33"/>
        <v>38.96095526843297</v>
      </c>
      <c r="W132" s="125">
        <f t="shared" si="39"/>
        <v>4596446.83</v>
      </c>
      <c r="X132" s="180"/>
      <c r="Y132" s="43"/>
    </row>
    <row r="133" spans="1:25" s="21" customFormat="1" ht="15.75">
      <c r="A133" s="19"/>
      <c r="B133" s="22" t="s">
        <v>28</v>
      </c>
      <c r="C133" s="22" t="s">
        <v>183</v>
      </c>
      <c r="D133" s="23" t="s">
        <v>29</v>
      </c>
      <c r="E133" s="125">
        <v>26571642.83</v>
      </c>
      <c r="F133" s="125"/>
      <c r="G133" s="125">
        <f>4106300+3000000</f>
        <v>7106300</v>
      </c>
      <c r="H133" s="125">
        <v>20014665.75</v>
      </c>
      <c r="I133" s="125"/>
      <c r="J133" s="125">
        <v>6095070.47</v>
      </c>
      <c r="K133" s="126">
        <f t="shared" si="36"/>
        <v>75.32340351723748</v>
      </c>
      <c r="L133" s="125">
        <f t="shared" si="37"/>
        <v>20268216.2</v>
      </c>
      <c r="M133" s="125"/>
      <c r="N133" s="125"/>
      <c r="O133" s="125"/>
      <c r="P133" s="125">
        <v>20268216.2</v>
      </c>
      <c r="Q133" s="125">
        <f t="shared" si="38"/>
        <v>5049217.29</v>
      </c>
      <c r="R133" s="125"/>
      <c r="S133" s="125"/>
      <c r="T133" s="125"/>
      <c r="U133" s="125">
        <v>5049217.29</v>
      </c>
      <c r="V133" s="126">
        <f t="shared" si="33"/>
        <v>24.911996399564753</v>
      </c>
      <c r="W133" s="125">
        <f t="shared" si="39"/>
        <v>25063883.04</v>
      </c>
      <c r="X133" s="180"/>
      <c r="Y133" s="43"/>
    </row>
    <row r="134" spans="1:25" s="21" customFormat="1" ht="45">
      <c r="A134" s="19"/>
      <c r="B134" s="22" t="s">
        <v>299</v>
      </c>
      <c r="C134" s="22" t="s">
        <v>300</v>
      </c>
      <c r="D134" s="23" t="s">
        <v>301</v>
      </c>
      <c r="E134" s="125"/>
      <c r="F134" s="125"/>
      <c r="G134" s="125"/>
      <c r="H134" s="125"/>
      <c r="I134" s="125"/>
      <c r="J134" s="125"/>
      <c r="K134" s="126"/>
      <c r="L134" s="125">
        <f t="shared" si="37"/>
        <v>845938</v>
      </c>
      <c r="M134" s="125"/>
      <c r="N134" s="125"/>
      <c r="O134" s="125"/>
      <c r="P134" s="125">
        <v>845938</v>
      </c>
      <c r="Q134" s="125">
        <f t="shared" si="38"/>
        <v>137252.87</v>
      </c>
      <c r="R134" s="125"/>
      <c r="S134" s="125"/>
      <c r="T134" s="125"/>
      <c r="U134" s="125">
        <v>137252.87</v>
      </c>
      <c r="V134" s="126">
        <f t="shared" si="33"/>
        <v>16.224932560069412</v>
      </c>
      <c r="W134" s="125">
        <f t="shared" si="39"/>
        <v>137252.87</v>
      </c>
      <c r="X134" s="180"/>
      <c r="Y134" s="43"/>
    </row>
    <row r="135" spans="1:25" s="21" customFormat="1" ht="60">
      <c r="A135" s="19"/>
      <c r="B135" s="22" t="s">
        <v>326</v>
      </c>
      <c r="C135" s="22" t="s">
        <v>183</v>
      </c>
      <c r="D135" s="23" t="s">
        <v>327</v>
      </c>
      <c r="E135" s="125">
        <v>100000</v>
      </c>
      <c r="F135" s="125"/>
      <c r="G135" s="125"/>
      <c r="H135" s="125">
        <v>100000</v>
      </c>
      <c r="I135" s="125"/>
      <c r="J135" s="125"/>
      <c r="K135" s="126">
        <f t="shared" si="36"/>
        <v>100</v>
      </c>
      <c r="L135" s="125">
        <f t="shared" si="37"/>
        <v>0</v>
      </c>
      <c r="M135" s="125"/>
      <c r="N135" s="125"/>
      <c r="O135" s="125"/>
      <c r="P135" s="125"/>
      <c r="Q135" s="125">
        <f t="shared" si="38"/>
        <v>0</v>
      </c>
      <c r="R135" s="125"/>
      <c r="S135" s="125"/>
      <c r="T135" s="125"/>
      <c r="U135" s="125"/>
      <c r="V135" s="126"/>
      <c r="W135" s="125">
        <f t="shared" si="39"/>
        <v>100000</v>
      </c>
      <c r="X135" s="180"/>
      <c r="Y135" s="43"/>
    </row>
    <row r="136" spans="1:25" s="21" customFormat="1" ht="15.75">
      <c r="A136" s="19"/>
      <c r="B136" s="22" t="s">
        <v>172</v>
      </c>
      <c r="C136" s="22" t="s">
        <v>188</v>
      </c>
      <c r="D136" s="23" t="s">
        <v>341</v>
      </c>
      <c r="E136" s="125"/>
      <c r="F136" s="125"/>
      <c r="G136" s="125"/>
      <c r="H136" s="125"/>
      <c r="I136" s="125"/>
      <c r="J136" s="125"/>
      <c r="K136" s="126" t="e">
        <f t="shared" si="36"/>
        <v>#DIV/0!</v>
      </c>
      <c r="L136" s="125">
        <f t="shared" si="37"/>
        <v>1973000</v>
      </c>
      <c r="M136" s="125"/>
      <c r="N136" s="125"/>
      <c r="O136" s="125"/>
      <c r="P136" s="125">
        <v>1973000</v>
      </c>
      <c r="Q136" s="125"/>
      <c r="R136" s="125"/>
      <c r="S136" s="125"/>
      <c r="T136" s="125"/>
      <c r="U136" s="125"/>
      <c r="V136" s="126"/>
      <c r="W136" s="125">
        <f t="shared" si="39"/>
        <v>0</v>
      </c>
      <c r="X136" s="180"/>
      <c r="Y136" s="43"/>
    </row>
    <row r="137" spans="1:25" s="21" customFormat="1" ht="30">
      <c r="A137" s="19"/>
      <c r="B137" s="22" t="s">
        <v>285</v>
      </c>
      <c r="C137" s="22" t="s">
        <v>286</v>
      </c>
      <c r="D137" s="23" t="s">
        <v>287</v>
      </c>
      <c r="E137" s="125">
        <v>465000</v>
      </c>
      <c r="F137" s="123"/>
      <c r="G137" s="123"/>
      <c r="H137" s="125"/>
      <c r="I137" s="125"/>
      <c r="J137" s="125"/>
      <c r="K137" s="126">
        <f t="shared" si="36"/>
        <v>0</v>
      </c>
      <c r="L137" s="125">
        <f t="shared" si="37"/>
        <v>0</v>
      </c>
      <c r="M137" s="125"/>
      <c r="N137" s="123"/>
      <c r="O137" s="123"/>
      <c r="P137" s="125"/>
      <c r="Q137" s="125">
        <f t="shared" si="38"/>
        <v>0</v>
      </c>
      <c r="R137" s="123"/>
      <c r="S137" s="123"/>
      <c r="T137" s="123"/>
      <c r="U137" s="125"/>
      <c r="V137" s="126"/>
      <c r="W137" s="125">
        <f t="shared" si="39"/>
        <v>0</v>
      </c>
      <c r="X137" s="180"/>
      <c r="Y137" s="43"/>
    </row>
    <row r="138" spans="1:25" s="21" customFormat="1" ht="15.75">
      <c r="A138" s="19"/>
      <c r="B138" s="22" t="s">
        <v>164</v>
      </c>
      <c r="C138" s="22" t="s">
        <v>217</v>
      </c>
      <c r="D138" s="23" t="s">
        <v>165</v>
      </c>
      <c r="E138" s="125">
        <f>180000+1500000+10851-10851+10851</f>
        <v>1690851</v>
      </c>
      <c r="F138" s="123"/>
      <c r="G138" s="123"/>
      <c r="H138" s="125">
        <v>33752.04</v>
      </c>
      <c r="I138" s="125"/>
      <c r="J138" s="125"/>
      <c r="K138" s="126">
        <f t="shared" si="36"/>
        <v>1.9961569647473372</v>
      </c>
      <c r="L138" s="125">
        <f t="shared" si="37"/>
        <v>0</v>
      </c>
      <c r="M138" s="125"/>
      <c r="N138" s="123"/>
      <c r="O138" s="123"/>
      <c r="P138" s="125"/>
      <c r="Q138" s="125">
        <f t="shared" si="38"/>
        <v>0</v>
      </c>
      <c r="R138" s="123"/>
      <c r="S138" s="123"/>
      <c r="T138" s="123"/>
      <c r="U138" s="123"/>
      <c r="V138" s="126"/>
      <c r="W138" s="125">
        <f t="shared" si="39"/>
        <v>33752.04</v>
      </c>
      <c r="X138" s="180"/>
      <c r="Y138" s="43"/>
    </row>
    <row r="139" spans="1:25" s="21" customFormat="1" ht="30">
      <c r="A139" s="19"/>
      <c r="B139" s="22" t="s">
        <v>166</v>
      </c>
      <c r="C139" s="22" t="s">
        <v>218</v>
      </c>
      <c r="D139" s="23" t="s">
        <v>167</v>
      </c>
      <c r="E139" s="125">
        <f>530000+500000-30000+30000</f>
        <v>1030000</v>
      </c>
      <c r="F139" s="123"/>
      <c r="G139" s="123"/>
      <c r="H139" s="125">
        <v>700809.6</v>
      </c>
      <c r="I139" s="123"/>
      <c r="J139" s="123"/>
      <c r="K139" s="126">
        <f t="shared" si="36"/>
        <v>68.03976699029126</v>
      </c>
      <c r="L139" s="125">
        <f t="shared" si="37"/>
        <v>0</v>
      </c>
      <c r="M139" s="123"/>
      <c r="N139" s="123"/>
      <c r="O139" s="123"/>
      <c r="P139" s="123"/>
      <c r="Q139" s="125">
        <f t="shared" si="38"/>
        <v>0</v>
      </c>
      <c r="R139" s="123"/>
      <c r="S139" s="123"/>
      <c r="T139" s="123"/>
      <c r="U139" s="123"/>
      <c r="V139" s="126"/>
      <c r="W139" s="125">
        <f t="shared" si="39"/>
        <v>700809.6</v>
      </c>
      <c r="X139" s="180"/>
      <c r="Y139" s="43"/>
    </row>
    <row r="140" spans="1:25" s="21" customFormat="1" ht="60">
      <c r="A140" s="19"/>
      <c r="B140" s="22" t="s">
        <v>47</v>
      </c>
      <c r="C140" s="22" t="s">
        <v>188</v>
      </c>
      <c r="D140" s="23" t="s">
        <v>48</v>
      </c>
      <c r="E140" s="125"/>
      <c r="F140" s="123"/>
      <c r="G140" s="123"/>
      <c r="H140" s="123"/>
      <c r="I140" s="123"/>
      <c r="J140" s="123"/>
      <c r="K140" s="126"/>
      <c r="L140" s="125">
        <f t="shared" si="37"/>
        <v>26239409</v>
      </c>
      <c r="M140" s="123"/>
      <c r="N140" s="123"/>
      <c r="O140" s="123"/>
      <c r="P140" s="125">
        <v>26239409</v>
      </c>
      <c r="Q140" s="125">
        <f t="shared" si="38"/>
        <v>10562252</v>
      </c>
      <c r="R140" s="125"/>
      <c r="S140" s="125"/>
      <c r="T140" s="125"/>
      <c r="U140" s="125">
        <v>10562252</v>
      </c>
      <c r="V140" s="126">
        <f t="shared" si="33"/>
        <v>40.25339137783172</v>
      </c>
      <c r="W140" s="125">
        <f t="shared" si="39"/>
        <v>10562252</v>
      </c>
      <c r="X140" s="180"/>
      <c r="Y140" s="43"/>
    </row>
    <row r="141" spans="1:25" s="21" customFormat="1" ht="30">
      <c r="A141" s="19"/>
      <c r="B141" s="22" t="s">
        <v>284</v>
      </c>
      <c r="C141" s="22" t="s">
        <v>199</v>
      </c>
      <c r="D141" s="23" t="s">
        <v>83</v>
      </c>
      <c r="E141" s="125">
        <f>410000-251200</f>
        <v>158800</v>
      </c>
      <c r="F141" s="123"/>
      <c r="G141" s="123"/>
      <c r="H141" s="125">
        <v>158799.82</v>
      </c>
      <c r="I141" s="123"/>
      <c r="J141" s="123"/>
      <c r="K141" s="126">
        <f>H141/E141*100</f>
        <v>99.99988664987406</v>
      </c>
      <c r="L141" s="125">
        <f t="shared" si="37"/>
        <v>0</v>
      </c>
      <c r="M141" s="123"/>
      <c r="N141" s="123"/>
      <c r="O141" s="123"/>
      <c r="P141" s="125"/>
      <c r="Q141" s="125">
        <f t="shared" si="38"/>
        <v>0</v>
      </c>
      <c r="R141" s="125"/>
      <c r="S141" s="125"/>
      <c r="T141" s="125"/>
      <c r="U141" s="125"/>
      <c r="V141" s="126"/>
      <c r="W141" s="125">
        <f t="shared" si="39"/>
        <v>158799.82</v>
      </c>
      <c r="X141" s="180"/>
      <c r="Y141" s="43"/>
    </row>
    <row r="142" spans="1:25" s="21" customFormat="1" ht="30">
      <c r="A142" s="19"/>
      <c r="B142" s="22" t="s">
        <v>168</v>
      </c>
      <c r="C142" s="22" t="s">
        <v>219</v>
      </c>
      <c r="D142" s="23" t="s">
        <v>169</v>
      </c>
      <c r="E142" s="125"/>
      <c r="F142" s="125"/>
      <c r="G142" s="125"/>
      <c r="H142" s="125"/>
      <c r="I142" s="125"/>
      <c r="J142" s="125"/>
      <c r="K142" s="126"/>
      <c r="L142" s="125">
        <f t="shared" si="37"/>
        <v>5346082</v>
      </c>
      <c r="M142" s="125">
        <v>615344</v>
      </c>
      <c r="N142" s="125"/>
      <c r="O142" s="125"/>
      <c r="P142" s="125">
        <f>54000+1184200+3492538</f>
        <v>4730738</v>
      </c>
      <c r="Q142" s="125">
        <f t="shared" si="38"/>
        <v>280708.02999999997</v>
      </c>
      <c r="R142" s="125">
        <v>175305.36</v>
      </c>
      <c r="S142" s="125"/>
      <c r="T142" s="125"/>
      <c r="U142" s="125">
        <v>105402.67</v>
      </c>
      <c r="V142" s="126">
        <f t="shared" si="33"/>
        <v>5.25072436225258</v>
      </c>
      <c r="W142" s="125">
        <f t="shared" si="39"/>
        <v>280708.02999999997</v>
      </c>
      <c r="X142" s="180"/>
      <c r="Y142" s="43"/>
    </row>
    <row r="143" spans="1:25" s="21" customFormat="1" ht="15.75">
      <c r="A143" s="19"/>
      <c r="B143" s="22" t="s">
        <v>170</v>
      </c>
      <c r="C143" s="22" t="s">
        <v>220</v>
      </c>
      <c r="D143" s="23" t="s">
        <v>171</v>
      </c>
      <c r="E143" s="125"/>
      <c r="F143" s="125"/>
      <c r="G143" s="125"/>
      <c r="H143" s="123"/>
      <c r="I143" s="123"/>
      <c r="J143" s="123"/>
      <c r="K143" s="126"/>
      <c r="L143" s="125">
        <f t="shared" si="37"/>
        <v>250000</v>
      </c>
      <c r="M143" s="125">
        <v>250000</v>
      </c>
      <c r="N143" s="125"/>
      <c r="O143" s="125"/>
      <c r="P143" s="125"/>
      <c r="Q143" s="125">
        <f t="shared" si="38"/>
        <v>121201.6</v>
      </c>
      <c r="R143" s="125">
        <v>121201.6</v>
      </c>
      <c r="S143" s="125"/>
      <c r="T143" s="125"/>
      <c r="U143" s="125"/>
      <c r="V143" s="126">
        <f t="shared" si="33"/>
        <v>48.48064</v>
      </c>
      <c r="W143" s="125">
        <f t="shared" si="39"/>
        <v>121201.6</v>
      </c>
      <c r="X143" s="180"/>
      <c r="Y143" s="43"/>
    </row>
    <row r="144" spans="1:25" s="21" customFormat="1" ht="30">
      <c r="A144" s="19"/>
      <c r="B144" s="22" t="s">
        <v>82</v>
      </c>
      <c r="C144" s="22" t="s">
        <v>199</v>
      </c>
      <c r="D144" s="23" t="s">
        <v>83</v>
      </c>
      <c r="E144" s="125"/>
      <c r="F144" s="125"/>
      <c r="G144" s="125"/>
      <c r="H144" s="125"/>
      <c r="I144" s="125"/>
      <c r="J144" s="125"/>
      <c r="K144" s="126"/>
      <c r="L144" s="125">
        <f t="shared" si="37"/>
        <v>251200</v>
      </c>
      <c r="M144" s="125">
        <v>251200</v>
      </c>
      <c r="N144" s="125"/>
      <c r="O144" s="125"/>
      <c r="P144" s="125"/>
      <c r="Q144" s="125">
        <f t="shared" si="38"/>
        <v>0</v>
      </c>
      <c r="R144" s="125"/>
      <c r="S144" s="125"/>
      <c r="T144" s="125"/>
      <c r="U144" s="125"/>
      <c r="V144" s="126">
        <f t="shared" si="33"/>
        <v>0</v>
      </c>
      <c r="W144" s="125">
        <f t="shared" si="39"/>
        <v>0</v>
      </c>
      <c r="X144" s="180"/>
      <c r="Y144" s="43"/>
    </row>
    <row r="145" spans="1:25" s="21" customFormat="1" ht="60">
      <c r="A145" s="19"/>
      <c r="B145" s="22" t="s">
        <v>57</v>
      </c>
      <c r="C145" s="22" t="s">
        <v>192</v>
      </c>
      <c r="D145" s="23" t="s">
        <v>58</v>
      </c>
      <c r="E145" s="125"/>
      <c r="F145" s="125"/>
      <c r="G145" s="125"/>
      <c r="H145" s="125"/>
      <c r="I145" s="125"/>
      <c r="J145" s="125"/>
      <c r="K145" s="126"/>
      <c r="L145" s="125">
        <f t="shared" si="37"/>
        <v>237729.32</v>
      </c>
      <c r="M145" s="125">
        <v>75000</v>
      </c>
      <c r="N145" s="125"/>
      <c r="O145" s="125"/>
      <c r="P145" s="125">
        <v>162729.32</v>
      </c>
      <c r="Q145" s="125">
        <f t="shared" si="38"/>
        <v>0</v>
      </c>
      <c r="R145" s="125"/>
      <c r="S145" s="125"/>
      <c r="T145" s="125"/>
      <c r="U145" s="125"/>
      <c r="V145" s="126">
        <f t="shared" si="33"/>
        <v>0</v>
      </c>
      <c r="W145" s="125">
        <f t="shared" si="39"/>
        <v>0</v>
      </c>
      <c r="X145" s="180">
        <v>22</v>
      </c>
      <c r="Y145" s="43"/>
    </row>
    <row r="146" spans="1:25" s="21" customFormat="1" ht="15.75">
      <c r="A146" s="19"/>
      <c r="B146" s="22" t="s">
        <v>178</v>
      </c>
      <c r="C146" s="22" t="s">
        <v>224</v>
      </c>
      <c r="D146" s="32" t="s">
        <v>179</v>
      </c>
      <c r="E146" s="125">
        <v>229500</v>
      </c>
      <c r="F146" s="125"/>
      <c r="G146" s="125"/>
      <c r="H146" s="125">
        <v>229500</v>
      </c>
      <c r="I146" s="125"/>
      <c r="J146" s="125"/>
      <c r="K146" s="126">
        <f aca="true" t="shared" si="40" ref="K146:K158">H146/E146*100</f>
        <v>100</v>
      </c>
      <c r="L146" s="125">
        <f t="shared" si="37"/>
        <v>750500</v>
      </c>
      <c r="M146" s="125"/>
      <c r="N146" s="125"/>
      <c r="O146" s="125"/>
      <c r="P146" s="125">
        <v>750500</v>
      </c>
      <c r="Q146" s="125">
        <f t="shared" si="38"/>
        <v>750500</v>
      </c>
      <c r="R146" s="125"/>
      <c r="S146" s="125"/>
      <c r="T146" s="125"/>
      <c r="U146" s="125">
        <v>750500</v>
      </c>
      <c r="V146" s="126">
        <f t="shared" si="33"/>
        <v>100</v>
      </c>
      <c r="W146" s="125">
        <f t="shared" si="39"/>
        <v>980000</v>
      </c>
      <c r="X146" s="180"/>
      <c r="Y146" s="43"/>
    </row>
    <row r="147" spans="1:25" s="21" customFormat="1" ht="15.75">
      <c r="A147" s="19"/>
      <c r="B147" s="22" t="s">
        <v>59</v>
      </c>
      <c r="C147" s="22" t="s">
        <v>192</v>
      </c>
      <c r="D147" s="23" t="s">
        <v>25</v>
      </c>
      <c r="E147" s="125">
        <f>1429000+258120+1920+67223+82700</f>
        <v>1838963</v>
      </c>
      <c r="F147" s="123"/>
      <c r="G147" s="125">
        <v>72000</v>
      </c>
      <c r="H147" s="125">
        <v>768930.85</v>
      </c>
      <c r="I147" s="125"/>
      <c r="J147" s="125">
        <v>27034.46</v>
      </c>
      <c r="K147" s="126">
        <f t="shared" si="40"/>
        <v>41.81328553103026</v>
      </c>
      <c r="L147" s="125">
        <f t="shared" si="37"/>
        <v>0</v>
      </c>
      <c r="M147" s="123"/>
      <c r="N147" s="123"/>
      <c r="O147" s="123"/>
      <c r="P147" s="123"/>
      <c r="Q147" s="125">
        <f t="shared" si="38"/>
        <v>0</v>
      </c>
      <c r="R147" s="123"/>
      <c r="S147" s="123"/>
      <c r="T147" s="123"/>
      <c r="U147" s="123"/>
      <c r="V147" s="126"/>
      <c r="W147" s="125">
        <f t="shared" si="39"/>
        <v>768930.85</v>
      </c>
      <c r="X147" s="180"/>
      <c r="Y147" s="43"/>
    </row>
    <row r="148" spans="1:25" s="21" customFormat="1" ht="28.5">
      <c r="A148" s="19"/>
      <c r="B148" s="26"/>
      <c r="C148" s="26"/>
      <c r="D148" s="27" t="s">
        <v>221</v>
      </c>
      <c r="E148" s="123">
        <f aca="true" t="shared" si="41" ref="E148:J148">SUM(E149:E151)</f>
        <v>1116779.27</v>
      </c>
      <c r="F148" s="123">
        <f t="shared" si="41"/>
        <v>668264</v>
      </c>
      <c r="G148" s="123">
        <f t="shared" si="41"/>
        <v>86525</v>
      </c>
      <c r="H148" s="123">
        <f t="shared" si="41"/>
        <v>949705.73</v>
      </c>
      <c r="I148" s="123">
        <f t="shared" si="41"/>
        <v>556838.78</v>
      </c>
      <c r="J148" s="123">
        <f t="shared" si="41"/>
        <v>75456.83</v>
      </c>
      <c r="K148" s="124">
        <f t="shared" si="40"/>
        <v>85.0396990266483</v>
      </c>
      <c r="L148" s="123">
        <f aca="true" t="shared" si="42" ref="L148:Q148">SUM(L149:L151)</f>
        <v>0</v>
      </c>
      <c r="M148" s="123">
        <f t="shared" si="42"/>
        <v>0</v>
      </c>
      <c r="N148" s="123">
        <f t="shared" si="42"/>
        <v>0</v>
      </c>
      <c r="O148" s="123">
        <f t="shared" si="42"/>
        <v>0</v>
      </c>
      <c r="P148" s="123">
        <f t="shared" si="42"/>
        <v>0</v>
      </c>
      <c r="Q148" s="123">
        <f t="shared" si="42"/>
        <v>0</v>
      </c>
      <c r="R148" s="123"/>
      <c r="S148" s="123"/>
      <c r="T148" s="123"/>
      <c r="U148" s="123"/>
      <c r="V148" s="126"/>
      <c r="W148" s="123">
        <f>SUM(W149:W151)</f>
        <v>949705.73</v>
      </c>
      <c r="X148" s="180"/>
      <c r="Y148" s="43"/>
    </row>
    <row r="149" spans="1:25" s="21" customFormat="1" ht="15.75">
      <c r="A149" s="19"/>
      <c r="B149" s="22" t="s">
        <v>11</v>
      </c>
      <c r="C149" s="22" t="s">
        <v>9</v>
      </c>
      <c r="D149" s="23" t="s">
        <v>15</v>
      </c>
      <c r="E149" s="125">
        <f>2737690-357480-1385520</f>
        <v>994690</v>
      </c>
      <c r="F149" s="125">
        <f>1763030-86370-1008396</f>
        <v>668264</v>
      </c>
      <c r="G149" s="125">
        <f>154189-67664</f>
        <v>86525</v>
      </c>
      <c r="H149" s="125">
        <v>828146</v>
      </c>
      <c r="I149" s="125">
        <v>556838.78</v>
      </c>
      <c r="J149" s="125">
        <v>75456.83</v>
      </c>
      <c r="K149" s="126">
        <f t="shared" si="40"/>
        <v>83.25669304004263</v>
      </c>
      <c r="L149" s="125">
        <f>M149+P149</f>
        <v>0</v>
      </c>
      <c r="M149" s="125"/>
      <c r="N149" s="125"/>
      <c r="O149" s="125"/>
      <c r="P149" s="125"/>
      <c r="Q149" s="125">
        <f>R149+U149</f>
        <v>0</v>
      </c>
      <c r="R149" s="125"/>
      <c r="S149" s="125"/>
      <c r="T149" s="125"/>
      <c r="U149" s="125"/>
      <c r="V149" s="126"/>
      <c r="W149" s="125">
        <f>H149+Q149</f>
        <v>828146</v>
      </c>
      <c r="X149" s="180"/>
      <c r="Y149" s="43"/>
    </row>
    <row r="150" spans="1:25" s="21" customFormat="1" ht="15.75">
      <c r="A150" s="19"/>
      <c r="B150" s="22" t="s">
        <v>164</v>
      </c>
      <c r="C150" s="22" t="s">
        <v>217</v>
      </c>
      <c r="D150" s="23" t="s">
        <v>165</v>
      </c>
      <c r="E150" s="125">
        <f>10500-1200</f>
        <v>9300</v>
      </c>
      <c r="F150" s="123"/>
      <c r="G150" s="123"/>
      <c r="H150" s="125">
        <v>9300</v>
      </c>
      <c r="I150" s="125"/>
      <c r="J150" s="125"/>
      <c r="K150" s="126">
        <f t="shared" si="40"/>
        <v>100</v>
      </c>
      <c r="L150" s="125">
        <f>M150+P150</f>
        <v>0</v>
      </c>
      <c r="M150" s="123"/>
      <c r="N150" s="123"/>
      <c r="O150" s="123"/>
      <c r="P150" s="123"/>
      <c r="Q150" s="125">
        <f aca="true" t="shared" si="43" ref="Q150:Q155">R150+U150</f>
        <v>0</v>
      </c>
      <c r="R150" s="123"/>
      <c r="S150" s="123"/>
      <c r="T150" s="123"/>
      <c r="U150" s="123"/>
      <c r="V150" s="126"/>
      <c r="W150" s="125">
        <f aca="true" t="shared" si="44" ref="W150:W155">H150+Q150</f>
        <v>9300</v>
      </c>
      <c r="X150" s="180"/>
      <c r="Y150" s="43"/>
    </row>
    <row r="151" spans="1:25" s="21" customFormat="1" ht="15.75">
      <c r="A151" s="19"/>
      <c r="B151" s="22" t="s">
        <v>59</v>
      </c>
      <c r="C151" s="22" t="s">
        <v>192</v>
      </c>
      <c r="D151" s="23" t="s">
        <v>25</v>
      </c>
      <c r="E151" s="125">
        <f>360000-247210.73</f>
        <v>112789.26999999999</v>
      </c>
      <c r="F151" s="123"/>
      <c r="G151" s="125"/>
      <c r="H151" s="125">
        <v>112259.73</v>
      </c>
      <c r="I151" s="123"/>
      <c r="J151" s="123"/>
      <c r="K151" s="126">
        <f t="shared" si="40"/>
        <v>99.530504985093</v>
      </c>
      <c r="L151" s="125">
        <f>M151+P151</f>
        <v>0</v>
      </c>
      <c r="M151" s="123"/>
      <c r="N151" s="123"/>
      <c r="O151" s="123"/>
      <c r="P151" s="123"/>
      <c r="Q151" s="125">
        <f t="shared" si="43"/>
        <v>0</v>
      </c>
      <c r="R151" s="123"/>
      <c r="S151" s="123"/>
      <c r="T151" s="123"/>
      <c r="U151" s="123"/>
      <c r="V151" s="126"/>
      <c r="W151" s="125">
        <f t="shared" si="44"/>
        <v>112259.73</v>
      </c>
      <c r="X151" s="180"/>
      <c r="Y151" s="43"/>
    </row>
    <row r="152" spans="1:25" s="21" customFormat="1" ht="42.75">
      <c r="A152" s="19"/>
      <c r="B152" s="26"/>
      <c r="C152" s="26"/>
      <c r="D152" s="27" t="s">
        <v>328</v>
      </c>
      <c r="E152" s="123">
        <f aca="true" t="shared" si="45" ref="E152:J152">SUM(E153:E155)</f>
        <v>2591768.95</v>
      </c>
      <c r="F152" s="123">
        <f t="shared" si="45"/>
        <v>1714298.93</v>
      </c>
      <c r="G152" s="123">
        <f t="shared" si="45"/>
        <v>109253</v>
      </c>
      <c r="H152" s="123">
        <f t="shared" si="45"/>
        <v>1428481.09</v>
      </c>
      <c r="I152" s="123">
        <f t="shared" si="45"/>
        <v>1012263.31</v>
      </c>
      <c r="J152" s="123">
        <f t="shared" si="45"/>
        <v>21739.14</v>
      </c>
      <c r="K152" s="124">
        <f t="shared" si="40"/>
        <v>55.11606619100827</v>
      </c>
      <c r="L152" s="123">
        <f aca="true" t="shared" si="46" ref="L152:U152">SUM(L153:L155)</f>
        <v>481000</v>
      </c>
      <c r="M152" s="123">
        <f t="shared" si="46"/>
        <v>0</v>
      </c>
      <c r="N152" s="123">
        <f t="shared" si="46"/>
        <v>0</v>
      </c>
      <c r="O152" s="123">
        <f t="shared" si="46"/>
        <v>0</v>
      </c>
      <c r="P152" s="123">
        <f t="shared" si="46"/>
        <v>481000</v>
      </c>
      <c r="Q152" s="123">
        <f t="shared" si="46"/>
        <v>94700</v>
      </c>
      <c r="R152" s="123">
        <f t="shared" si="46"/>
        <v>0</v>
      </c>
      <c r="S152" s="123">
        <f t="shared" si="46"/>
        <v>0</v>
      </c>
      <c r="T152" s="123">
        <f t="shared" si="46"/>
        <v>0</v>
      </c>
      <c r="U152" s="123">
        <f t="shared" si="46"/>
        <v>94700</v>
      </c>
      <c r="V152" s="124">
        <f t="shared" si="33"/>
        <v>19.68814968814969</v>
      </c>
      <c r="W152" s="123">
        <f>SUM(W153:W155)</f>
        <v>1523181.09</v>
      </c>
      <c r="X152" s="180"/>
      <c r="Y152" s="43"/>
    </row>
    <row r="153" spans="1:25" s="21" customFormat="1" ht="15.75">
      <c r="A153" s="19"/>
      <c r="B153" s="22" t="s">
        <v>11</v>
      </c>
      <c r="C153" s="22" t="s">
        <v>9</v>
      </c>
      <c r="D153" s="23" t="s">
        <v>15</v>
      </c>
      <c r="E153" s="125">
        <v>2343358.22</v>
      </c>
      <c r="F153" s="125">
        <v>1714298.93</v>
      </c>
      <c r="G153" s="125">
        <v>109253</v>
      </c>
      <c r="H153" s="125">
        <v>1336557.35</v>
      </c>
      <c r="I153" s="125">
        <v>1012263.31</v>
      </c>
      <c r="J153" s="125">
        <v>21739.14</v>
      </c>
      <c r="K153" s="126">
        <f t="shared" si="40"/>
        <v>57.03598103750437</v>
      </c>
      <c r="L153" s="125">
        <f>M153+P153</f>
        <v>340000</v>
      </c>
      <c r="M153" s="123"/>
      <c r="N153" s="123"/>
      <c r="O153" s="123"/>
      <c r="P153" s="125">
        <v>340000</v>
      </c>
      <c r="Q153" s="125">
        <f t="shared" si="43"/>
        <v>94700</v>
      </c>
      <c r="R153" s="123"/>
      <c r="S153" s="123"/>
      <c r="T153" s="123"/>
      <c r="U153" s="125">
        <v>94700</v>
      </c>
      <c r="V153" s="126">
        <f t="shared" si="33"/>
        <v>27.852941176470587</v>
      </c>
      <c r="W153" s="125">
        <f t="shared" si="44"/>
        <v>1431257.35</v>
      </c>
      <c r="X153" s="180"/>
      <c r="Y153" s="43"/>
    </row>
    <row r="154" spans="1:25" s="21" customFormat="1" ht="15.75">
      <c r="A154" s="19"/>
      <c r="B154" s="22" t="s">
        <v>164</v>
      </c>
      <c r="C154" s="22" t="s">
        <v>217</v>
      </c>
      <c r="D154" s="23" t="s">
        <v>165</v>
      </c>
      <c r="E154" s="125">
        <v>1200</v>
      </c>
      <c r="F154" s="123"/>
      <c r="G154" s="123"/>
      <c r="H154" s="123"/>
      <c r="I154" s="123"/>
      <c r="J154" s="123"/>
      <c r="K154" s="126">
        <f t="shared" si="40"/>
        <v>0</v>
      </c>
      <c r="L154" s="125">
        <f>M154+P154</f>
        <v>141000</v>
      </c>
      <c r="M154" s="123"/>
      <c r="N154" s="123"/>
      <c r="O154" s="123"/>
      <c r="P154" s="125">
        <v>141000</v>
      </c>
      <c r="Q154" s="125">
        <f t="shared" si="43"/>
        <v>0</v>
      </c>
      <c r="R154" s="123"/>
      <c r="S154" s="123"/>
      <c r="T154" s="123"/>
      <c r="U154" s="123"/>
      <c r="V154" s="126">
        <f t="shared" si="33"/>
        <v>0</v>
      </c>
      <c r="W154" s="125">
        <f t="shared" si="44"/>
        <v>0</v>
      </c>
      <c r="X154" s="180"/>
      <c r="Y154" s="43"/>
    </row>
    <row r="155" spans="1:25" s="21" customFormat="1" ht="15.75">
      <c r="A155" s="19"/>
      <c r="B155" s="22" t="s">
        <v>59</v>
      </c>
      <c r="C155" s="22" t="s">
        <v>192</v>
      </c>
      <c r="D155" s="23" t="s">
        <v>25</v>
      </c>
      <c r="E155" s="125">
        <v>247210.73</v>
      </c>
      <c r="F155" s="123"/>
      <c r="G155" s="125"/>
      <c r="H155" s="125">
        <v>91923.74</v>
      </c>
      <c r="I155" s="123"/>
      <c r="J155" s="123"/>
      <c r="K155" s="126">
        <f t="shared" si="40"/>
        <v>37.184364934321415</v>
      </c>
      <c r="L155" s="125">
        <f>M155+P155</f>
        <v>0</v>
      </c>
      <c r="M155" s="123"/>
      <c r="N155" s="123"/>
      <c r="O155" s="123"/>
      <c r="P155" s="123"/>
      <c r="Q155" s="125">
        <f t="shared" si="43"/>
        <v>0</v>
      </c>
      <c r="R155" s="123"/>
      <c r="S155" s="123"/>
      <c r="T155" s="123"/>
      <c r="U155" s="123"/>
      <c r="V155" s="126"/>
      <c r="W155" s="125">
        <f t="shared" si="44"/>
        <v>91923.74</v>
      </c>
      <c r="X155" s="180"/>
      <c r="Y155" s="43"/>
    </row>
    <row r="156" spans="1:25" s="21" customFormat="1" ht="57">
      <c r="A156" s="19"/>
      <c r="B156" s="22"/>
      <c r="C156" s="35"/>
      <c r="D156" s="27" t="s">
        <v>342</v>
      </c>
      <c r="E156" s="123">
        <f aca="true" t="shared" si="47" ref="E156:J156">E157</f>
        <v>779230</v>
      </c>
      <c r="F156" s="123">
        <f t="shared" si="47"/>
        <v>486832</v>
      </c>
      <c r="G156" s="123">
        <f t="shared" si="47"/>
        <v>34232</v>
      </c>
      <c r="H156" s="123">
        <f t="shared" si="47"/>
        <v>533834.54</v>
      </c>
      <c r="I156" s="123">
        <f t="shared" si="47"/>
        <v>339352.97</v>
      </c>
      <c r="J156" s="123">
        <f t="shared" si="47"/>
        <v>16025.57</v>
      </c>
      <c r="K156" s="124">
        <f>H156/E156*100</f>
        <v>68.50795528919575</v>
      </c>
      <c r="L156" s="123">
        <f aca="true" t="shared" si="48" ref="L156:U156">L157</f>
        <v>182700</v>
      </c>
      <c r="M156" s="123">
        <f t="shared" si="48"/>
        <v>0</v>
      </c>
      <c r="N156" s="123">
        <f t="shared" si="48"/>
        <v>0</v>
      </c>
      <c r="O156" s="123">
        <f t="shared" si="48"/>
        <v>0</v>
      </c>
      <c r="P156" s="123">
        <f t="shared" si="48"/>
        <v>182700</v>
      </c>
      <c r="Q156" s="123">
        <f t="shared" si="48"/>
        <v>177897</v>
      </c>
      <c r="R156" s="123">
        <f t="shared" si="48"/>
        <v>0</v>
      </c>
      <c r="S156" s="123">
        <f t="shared" si="48"/>
        <v>0</v>
      </c>
      <c r="T156" s="123">
        <f t="shared" si="48"/>
        <v>0</v>
      </c>
      <c r="U156" s="123">
        <f t="shared" si="48"/>
        <v>177897</v>
      </c>
      <c r="V156" s="124">
        <f>Q156/L156*100</f>
        <v>97.37110016420361</v>
      </c>
      <c r="W156" s="123">
        <f>W157</f>
        <v>711731.54</v>
      </c>
      <c r="X156" s="180"/>
      <c r="Y156" s="43"/>
    </row>
    <row r="157" spans="1:25" s="21" customFormat="1" ht="15.75">
      <c r="A157" s="19"/>
      <c r="B157" s="22" t="s">
        <v>11</v>
      </c>
      <c r="C157" s="22" t="s">
        <v>9</v>
      </c>
      <c r="D157" s="23" t="s">
        <v>15</v>
      </c>
      <c r="E157" s="125">
        <v>779230</v>
      </c>
      <c r="F157" s="125">
        <v>486832</v>
      </c>
      <c r="G157" s="125">
        <v>34232</v>
      </c>
      <c r="H157" s="125">
        <v>533834.54</v>
      </c>
      <c r="I157" s="125">
        <v>339352.97</v>
      </c>
      <c r="J157" s="125">
        <v>16025.57</v>
      </c>
      <c r="K157" s="126">
        <f>H157/E157*100</f>
        <v>68.50795528919575</v>
      </c>
      <c r="L157" s="125">
        <f>M157+P157</f>
        <v>182700</v>
      </c>
      <c r="M157" s="125"/>
      <c r="N157" s="125"/>
      <c r="O157" s="125"/>
      <c r="P157" s="125">
        <f>134100+48600</f>
        <v>182700</v>
      </c>
      <c r="Q157" s="125">
        <f>R157+U157</f>
        <v>177897</v>
      </c>
      <c r="R157" s="125"/>
      <c r="S157" s="125"/>
      <c r="T157" s="125"/>
      <c r="U157" s="125">
        <v>177897</v>
      </c>
      <c r="V157" s="126">
        <f>Q157/L157*100</f>
        <v>97.37110016420361</v>
      </c>
      <c r="W157" s="125">
        <f>H157+Q157</f>
        <v>711731.54</v>
      </c>
      <c r="X157" s="180"/>
      <c r="Y157" s="43"/>
    </row>
    <row r="158" spans="1:25" s="21" customFormat="1" ht="42.75">
      <c r="A158" s="19"/>
      <c r="B158" s="26"/>
      <c r="C158" s="26"/>
      <c r="D158" s="27" t="s">
        <v>222</v>
      </c>
      <c r="E158" s="123">
        <f aca="true" t="shared" si="49" ref="E158:J158">SUM(E159:E171)</f>
        <v>60807926</v>
      </c>
      <c r="F158" s="123">
        <f t="shared" si="49"/>
        <v>0</v>
      </c>
      <c r="G158" s="123">
        <f t="shared" si="49"/>
        <v>0</v>
      </c>
      <c r="H158" s="123">
        <f t="shared" si="49"/>
        <v>50700560.22</v>
      </c>
      <c r="I158" s="123">
        <f t="shared" si="49"/>
        <v>0</v>
      </c>
      <c r="J158" s="123">
        <f t="shared" si="49"/>
        <v>0</v>
      </c>
      <c r="K158" s="124">
        <f t="shared" si="40"/>
        <v>83.37820997216711</v>
      </c>
      <c r="L158" s="123">
        <f aca="true" t="shared" si="50" ref="L158:U158">SUM(L159:L171)</f>
        <v>237969312.47</v>
      </c>
      <c r="M158" s="123">
        <f t="shared" si="50"/>
        <v>2316191.53</v>
      </c>
      <c r="N158" s="123">
        <f t="shared" si="50"/>
        <v>1455770</v>
      </c>
      <c r="O158" s="123">
        <f t="shared" si="50"/>
        <v>50946</v>
      </c>
      <c r="P158" s="123">
        <f t="shared" si="50"/>
        <v>235653120.94</v>
      </c>
      <c r="Q158" s="123">
        <f t="shared" si="50"/>
        <v>122167801.98</v>
      </c>
      <c r="R158" s="123">
        <f t="shared" si="50"/>
        <v>1446688.98</v>
      </c>
      <c r="S158" s="123">
        <f t="shared" si="50"/>
        <v>1100266.39</v>
      </c>
      <c r="T158" s="123">
        <f t="shared" si="50"/>
        <v>32530.51</v>
      </c>
      <c r="U158" s="123">
        <f t="shared" si="50"/>
        <v>120721113</v>
      </c>
      <c r="V158" s="124">
        <f t="shared" si="33"/>
        <v>51.33762866815077</v>
      </c>
      <c r="W158" s="123">
        <f>SUM(W159:W171)</f>
        <v>172868362.2</v>
      </c>
      <c r="X158" s="180"/>
      <c r="Y158" s="43"/>
    </row>
    <row r="159" spans="1:25" s="21" customFormat="1" ht="15.75">
      <c r="A159" s="19"/>
      <c r="B159" s="22" t="s">
        <v>11</v>
      </c>
      <c r="C159" s="22" t="s">
        <v>9</v>
      </c>
      <c r="D159" s="23" t="s">
        <v>96</v>
      </c>
      <c r="E159" s="125"/>
      <c r="F159" s="125"/>
      <c r="G159" s="125"/>
      <c r="H159" s="125"/>
      <c r="I159" s="125"/>
      <c r="J159" s="125"/>
      <c r="K159" s="126"/>
      <c r="L159" s="125">
        <f>M159+P159</f>
        <v>2380664</v>
      </c>
      <c r="M159" s="125">
        <v>2280164</v>
      </c>
      <c r="N159" s="125">
        <v>1455770</v>
      </c>
      <c r="O159" s="125">
        <v>50946</v>
      </c>
      <c r="P159" s="125">
        <v>100500</v>
      </c>
      <c r="Q159" s="125">
        <f>R159+U159</f>
        <v>1461392.14</v>
      </c>
      <c r="R159" s="125">
        <v>1430672.14</v>
      </c>
      <c r="S159" s="125">
        <v>1100266.39</v>
      </c>
      <c r="T159" s="125">
        <v>32530.51</v>
      </c>
      <c r="U159" s="125">
        <v>30720</v>
      </c>
      <c r="V159" s="126">
        <f t="shared" si="33"/>
        <v>61.38590494080643</v>
      </c>
      <c r="W159" s="125">
        <f>H159+Q159</f>
        <v>1461392.14</v>
      </c>
      <c r="X159" s="180"/>
      <c r="Y159" s="43"/>
    </row>
    <row r="160" spans="1:25" s="21" customFormat="1" ht="15.75">
      <c r="A160" s="19"/>
      <c r="B160" s="22" t="s">
        <v>84</v>
      </c>
      <c r="C160" s="22" t="s">
        <v>201</v>
      </c>
      <c r="D160" s="23" t="s">
        <v>85</v>
      </c>
      <c r="E160" s="125"/>
      <c r="F160" s="125"/>
      <c r="G160" s="125"/>
      <c r="H160" s="125"/>
      <c r="I160" s="125"/>
      <c r="J160" s="125"/>
      <c r="K160" s="126"/>
      <c r="L160" s="125">
        <f aca="true" t="shared" si="51" ref="L160:L171">M160+P160</f>
        <v>1724000</v>
      </c>
      <c r="M160" s="125"/>
      <c r="N160" s="125"/>
      <c r="O160" s="125"/>
      <c r="P160" s="125">
        <v>1724000</v>
      </c>
      <c r="Q160" s="125">
        <f aca="true" t="shared" si="52" ref="Q160:Q171">R160+U160</f>
        <v>374621</v>
      </c>
      <c r="R160" s="125"/>
      <c r="S160" s="125"/>
      <c r="T160" s="125"/>
      <c r="U160" s="125">
        <v>374621</v>
      </c>
      <c r="V160" s="126">
        <f t="shared" si="33"/>
        <v>21.72975638051044</v>
      </c>
      <c r="W160" s="125">
        <f aca="true" t="shared" si="53" ref="W160:W171">H160+Q160</f>
        <v>374621</v>
      </c>
      <c r="X160" s="180"/>
      <c r="Y160" s="43"/>
    </row>
    <row r="161" spans="1:25" s="21" customFormat="1" ht="15.75">
      <c r="A161" s="19"/>
      <c r="B161" s="22" t="s">
        <v>28</v>
      </c>
      <c r="C161" s="22" t="s">
        <v>183</v>
      </c>
      <c r="D161" s="23" t="s">
        <v>29</v>
      </c>
      <c r="E161" s="125">
        <f>30000000+30000000+300000</f>
        <v>60300000</v>
      </c>
      <c r="F161" s="123"/>
      <c r="G161" s="123"/>
      <c r="H161" s="125">
        <v>50427911</v>
      </c>
      <c r="I161" s="125"/>
      <c r="J161" s="125"/>
      <c r="K161" s="126">
        <f>H161/E161*100</f>
        <v>83.62837645107794</v>
      </c>
      <c r="L161" s="125">
        <f t="shared" si="51"/>
        <v>75252200</v>
      </c>
      <c r="M161" s="123"/>
      <c r="N161" s="123"/>
      <c r="O161" s="123"/>
      <c r="P161" s="125">
        <v>75252200</v>
      </c>
      <c r="Q161" s="125">
        <f t="shared" si="52"/>
        <v>47833736</v>
      </c>
      <c r="R161" s="125"/>
      <c r="S161" s="125"/>
      <c r="T161" s="125"/>
      <c r="U161" s="125">
        <v>47833736</v>
      </c>
      <c r="V161" s="126">
        <f t="shared" si="33"/>
        <v>63.56456821195925</v>
      </c>
      <c r="W161" s="125">
        <f t="shared" si="53"/>
        <v>98261647</v>
      </c>
      <c r="X161" s="180"/>
      <c r="Y161" s="43"/>
    </row>
    <row r="162" spans="1:25" s="21" customFormat="1" ht="15.75">
      <c r="A162" s="19"/>
      <c r="B162" s="22" t="s">
        <v>172</v>
      </c>
      <c r="C162" s="22" t="s">
        <v>188</v>
      </c>
      <c r="D162" s="23" t="s">
        <v>173</v>
      </c>
      <c r="E162" s="123"/>
      <c r="F162" s="123"/>
      <c r="G162" s="123"/>
      <c r="H162" s="123"/>
      <c r="I162" s="123"/>
      <c r="J162" s="123"/>
      <c r="K162" s="126"/>
      <c r="L162" s="125">
        <f t="shared" si="51"/>
        <v>144030090.94</v>
      </c>
      <c r="M162" s="125"/>
      <c r="N162" s="125"/>
      <c r="O162" s="125"/>
      <c r="P162" s="125">
        <f>141835290.94+2194800</f>
        <v>144030090.94</v>
      </c>
      <c r="Q162" s="125">
        <f t="shared" si="52"/>
        <v>59773596</v>
      </c>
      <c r="R162" s="125"/>
      <c r="S162" s="125"/>
      <c r="T162" s="125"/>
      <c r="U162" s="125">
        <v>59773596</v>
      </c>
      <c r="V162" s="126">
        <f t="shared" si="33"/>
        <v>41.500769464139594</v>
      </c>
      <c r="W162" s="125">
        <f t="shared" si="53"/>
        <v>59773596</v>
      </c>
      <c r="X162" s="180"/>
      <c r="Y162" s="43"/>
    </row>
    <row r="163" spans="1:25" s="21" customFormat="1" ht="30">
      <c r="A163" s="19"/>
      <c r="B163" s="22" t="s">
        <v>329</v>
      </c>
      <c r="C163" s="22" t="s">
        <v>184</v>
      </c>
      <c r="D163" s="23" t="s">
        <v>330</v>
      </c>
      <c r="E163" s="123"/>
      <c r="F163" s="123"/>
      <c r="G163" s="123"/>
      <c r="H163" s="123"/>
      <c r="I163" s="123"/>
      <c r="J163" s="123"/>
      <c r="K163" s="126"/>
      <c r="L163" s="125">
        <f t="shared" si="51"/>
        <v>200000</v>
      </c>
      <c r="M163" s="125"/>
      <c r="N163" s="125"/>
      <c r="O163" s="125"/>
      <c r="P163" s="125">
        <v>200000</v>
      </c>
      <c r="Q163" s="125">
        <f t="shared" si="52"/>
        <v>46583</v>
      </c>
      <c r="R163" s="125"/>
      <c r="S163" s="125"/>
      <c r="T163" s="125"/>
      <c r="U163" s="125">
        <v>46583</v>
      </c>
      <c r="V163" s="126">
        <f t="shared" si="33"/>
        <v>23.291500000000003</v>
      </c>
      <c r="W163" s="125">
        <f t="shared" si="53"/>
        <v>46583</v>
      </c>
      <c r="X163" s="180"/>
      <c r="Y163" s="43"/>
    </row>
    <row r="164" spans="1:25" s="21" customFormat="1" ht="30">
      <c r="A164" s="19"/>
      <c r="B164" s="22" t="s">
        <v>285</v>
      </c>
      <c r="C164" s="22" t="s">
        <v>286</v>
      </c>
      <c r="D164" s="23" t="s">
        <v>287</v>
      </c>
      <c r="E164" s="125">
        <v>200000</v>
      </c>
      <c r="F164" s="123"/>
      <c r="G164" s="123"/>
      <c r="H164" s="123"/>
      <c r="I164" s="123"/>
      <c r="J164" s="123"/>
      <c r="K164" s="126">
        <f>H164/E164*100</f>
        <v>0</v>
      </c>
      <c r="L164" s="125">
        <f t="shared" si="51"/>
        <v>0</v>
      </c>
      <c r="M164" s="125"/>
      <c r="N164" s="125"/>
      <c r="O164" s="125"/>
      <c r="P164" s="125"/>
      <c r="Q164" s="125">
        <f t="shared" si="52"/>
        <v>0</v>
      </c>
      <c r="R164" s="125"/>
      <c r="S164" s="125"/>
      <c r="T164" s="125"/>
      <c r="U164" s="125"/>
      <c r="V164" s="126"/>
      <c r="W164" s="125">
        <f t="shared" si="53"/>
        <v>0</v>
      </c>
      <c r="X164" s="180"/>
      <c r="Y164" s="43"/>
    </row>
    <row r="165" spans="1:25" s="21" customFormat="1" ht="15.75">
      <c r="A165" s="19"/>
      <c r="B165" s="22" t="s">
        <v>164</v>
      </c>
      <c r="C165" s="22" t="s">
        <v>217</v>
      </c>
      <c r="D165" s="23" t="s">
        <v>165</v>
      </c>
      <c r="E165" s="125">
        <v>35000</v>
      </c>
      <c r="F165" s="123"/>
      <c r="G165" s="123"/>
      <c r="H165" s="125">
        <v>34000</v>
      </c>
      <c r="I165" s="123"/>
      <c r="J165" s="123"/>
      <c r="K165" s="126">
        <f>H165/E165*100</f>
        <v>97.14285714285714</v>
      </c>
      <c r="L165" s="125">
        <f t="shared" si="51"/>
        <v>0</v>
      </c>
      <c r="M165" s="125"/>
      <c r="N165" s="125"/>
      <c r="O165" s="125"/>
      <c r="P165" s="125"/>
      <c r="Q165" s="125">
        <f t="shared" si="52"/>
        <v>0</v>
      </c>
      <c r="R165" s="125"/>
      <c r="S165" s="125"/>
      <c r="T165" s="125"/>
      <c r="U165" s="125"/>
      <c r="V165" s="126"/>
      <c r="W165" s="125">
        <f t="shared" si="53"/>
        <v>34000</v>
      </c>
      <c r="X165" s="180"/>
      <c r="Y165" s="43"/>
    </row>
    <row r="166" spans="1:25" s="21" customFormat="1" ht="60">
      <c r="A166" s="19"/>
      <c r="B166" s="22" t="s">
        <v>47</v>
      </c>
      <c r="C166" s="22" t="s">
        <v>188</v>
      </c>
      <c r="D166" s="23" t="s">
        <v>48</v>
      </c>
      <c r="E166" s="123"/>
      <c r="F166" s="123"/>
      <c r="G166" s="123"/>
      <c r="H166" s="123"/>
      <c r="I166" s="123"/>
      <c r="J166" s="123"/>
      <c r="K166" s="126"/>
      <c r="L166" s="125">
        <f t="shared" si="51"/>
        <v>12000000</v>
      </c>
      <c r="M166" s="125"/>
      <c r="N166" s="125"/>
      <c r="O166" s="125"/>
      <c r="P166" s="125">
        <f>6750000+5250000</f>
        <v>12000000</v>
      </c>
      <c r="Q166" s="125">
        <f t="shared" si="52"/>
        <v>12000000</v>
      </c>
      <c r="R166" s="125"/>
      <c r="S166" s="125"/>
      <c r="T166" s="125"/>
      <c r="U166" s="125">
        <v>12000000</v>
      </c>
      <c r="V166" s="126">
        <f t="shared" si="33"/>
        <v>100</v>
      </c>
      <c r="W166" s="125">
        <f t="shared" si="53"/>
        <v>12000000</v>
      </c>
      <c r="X166" s="180"/>
      <c r="Y166" s="43"/>
    </row>
    <row r="167" spans="1:25" s="21" customFormat="1" ht="30">
      <c r="A167" s="19"/>
      <c r="B167" s="22" t="s">
        <v>168</v>
      </c>
      <c r="C167" s="22" t="s">
        <v>219</v>
      </c>
      <c r="D167" s="23" t="s">
        <v>169</v>
      </c>
      <c r="E167" s="123"/>
      <c r="F167" s="123"/>
      <c r="G167" s="123"/>
      <c r="H167" s="123"/>
      <c r="I167" s="123"/>
      <c r="J167" s="123"/>
      <c r="K167" s="126"/>
      <c r="L167" s="125">
        <f t="shared" si="51"/>
        <v>606000</v>
      </c>
      <c r="M167" s="125"/>
      <c r="N167" s="125"/>
      <c r="O167" s="125"/>
      <c r="P167" s="125">
        <f>126000+480000</f>
        <v>606000</v>
      </c>
      <c r="Q167" s="125">
        <f t="shared" si="52"/>
        <v>272602</v>
      </c>
      <c r="R167" s="125"/>
      <c r="S167" s="125"/>
      <c r="T167" s="125"/>
      <c r="U167" s="125">
        <v>272602</v>
      </c>
      <c r="V167" s="126">
        <f t="shared" si="33"/>
        <v>44.98382838283828</v>
      </c>
      <c r="W167" s="125">
        <f t="shared" si="53"/>
        <v>272602</v>
      </c>
      <c r="X167" s="180"/>
      <c r="Y167" s="43"/>
    </row>
    <row r="168" spans="1:25" s="21" customFormat="1" ht="30">
      <c r="A168" s="19"/>
      <c r="B168" s="22" t="s">
        <v>331</v>
      </c>
      <c r="C168" s="22" t="s">
        <v>332</v>
      </c>
      <c r="D168" s="23" t="s">
        <v>333</v>
      </c>
      <c r="E168" s="123"/>
      <c r="F168" s="123"/>
      <c r="G168" s="123"/>
      <c r="H168" s="123"/>
      <c r="I168" s="123"/>
      <c r="J168" s="123"/>
      <c r="K168" s="126"/>
      <c r="L168" s="125">
        <f t="shared" si="51"/>
        <v>1340330</v>
      </c>
      <c r="M168" s="125"/>
      <c r="N168" s="125"/>
      <c r="O168" s="125"/>
      <c r="P168" s="125">
        <v>1340330</v>
      </c>
      <c r="Q168" s="125">
        <f t="shared" si="52"/>
        <v>0</v>
      </c>
      <c r="R168" s="125"/>
      <c r="S168" s="125"/>
      <c r="T168" s="125"/>
      <c r="U168" s="125"/>
      <c r="V168" s="126">
        <f t="shared" si="33"/>
        <v>0</v>
      </c>
      <c r="W168" s="125">
        <f t="shared" si="53"/>
        <v>0</v>
      </c>
      <c r="X168" s="180"/>
      <c r="Y168" s="43"/>
    </row>
    <row r="169" spans="1:25" s="21" customFormat="1" ht="15.75" customHeight="1">
      <c r="A169" s="19"/>
      <c r="B169" s="22" t="s">
        <v>82</v>
      </c>
      <c r="C169" s="22" t="s">
        <v>199</v>
      </c>
      <c r="D169" s="23" t="s">
        <v>83</v>
      </c>
      <c r="E169" s="123"/>
      <c r="F169" s="123"/>
      <c r="G169" s="123"/>
      <c r="H169" s="123"/>
      <c r="I169" s="123"/>
      <c r="J169" s="123"/>
      <c r="K169" s="126"/>
      <c r="L169" s="125">
        <f t="shared" si="51"/>
        <v>400000</v>
      </c>
      <c r="M169" s="125"/>
      <c r="N169" s="125"/>
      <c r="O169" s="125"/>
      <c r="P169" s="125">
        <v>400000</v>
      </c>
      <c r="Q169" s="125">
        <f t="shared" si="52"/>
        <v>389255</v>
      </c>
      <c r="R169" s="125"/>
      <c r="S169" s="125"/>
      <c r="T169" s="125"/>
      <c r="U169" s="125">
        <v>389255</v>
      </c>
      <c r="V169" s="126">
        <f t="shared" si="33"/>
        <v>97.31375</v>
      </c>
      <c r="W169" s="125">
        <f t="shared" si="53"/>
        <v>389255</v>
      </c>
      <c r="X169" s="180"/>
      <c r="Y169" s="43"/>
    </row>
    <row r="170" spans="1:25" s="21" customFormat="1" ht="15.75">
      <c r="A170" s="19"/>
      <c r="B170" s="25" t="s">
        <v>59</v>
      </c>
      <c r="C170" s="25" t="s">
        <v>192</v>
      </c>
      <c r="D170" s="23" t="s">
        <v>25</v>
      </c>
      <c r="E170" s="125">
        <v>188021</v>
      </c>
      <c r="F170" s="123"/>
      <c r="G170" s="123"/>
      <c r="H170" s="125">
        <v>188021</v>
      </c>
      <c r="I170" s="125"/>
      <c r="J170" s="125"/>
      <c r="K170" s="126">
        <f>H170/E170*100</f>
        <v>100</v>
      </c>
      <c r="L170" s="125">
        <f t="shared" si="51"/>
        <v>0</v>
      </c>
      <c r="M170" s="125"/>
      <c r="N170" s="125"/>
      <c r="O170" s="125"/>
      <c r="P170" s="125"/>
      <c r="Q170" s="125">
        <f t="shared" si="52"/>
        <v>0</v>
      </c>
      <c r="R170" s="125"/>
      <c r="S170" s="123"/>
      <c r="T170" s="123"/>
      <c r="U170" s="123"/>
      <c r="V170" s="126"/>
      <c r="W170" s="125">
        <f t="shared" si="53"/>
        <v>188021</v>
      </c>
      <c r="X170" s="180"/>
      <c r="Y170" s="43"/>
    </row>
    <row r="171" spans="1:25" s="21" customFormat="1" ht="75">
      <c r="A171" s="19"/>
      <c r="B171" s="25" t="s">
        <v>174</v>
      </c>
      <c r="C171" s="25" t="s">
        <v>208</v>
      </c>
      <c r="D171" s="23" t="s">
        <v>175</v>
      </c>
      <c r="E171" s="125">
        <v>84905</v>
      </c>
      <c r="F171" s="125"/>
      <c r="G171" s="125"/>
      <c r="H171" s="125">
        <v>50628.22</v>
      </c>
      <c r="I171" s="125"/>
      <c r="J171" s="125"/>
      <c r="K171" s="126">
        <f>H171/E171*100</f>
        <v>59.62925622754843</v>
      </c>
      <c r="L171" s="125">
        <f t="shared" si="51"/>
        <v>36027.53</v>
      </c>
      <c r="M171" s="125">
        <f>30069+10915.53-4957</f>
        <v>36027.53</v>
      </c>
      <c r="N171" s="123"/>
      <c r="O171" s="123"/>
      <c r="P171" s="123"/>
      <c r="Q171" s="125">
        <f t="shared" si="52"/>
        <v>16016.84</v>
      </c>
      <c r="R171" s="125">
        <v>16016.84</v>
      </c>
      <c r="S171" s="123"/>
      <c r="T171" s="123"/>
      <c r="U171" s="123"/>
      <c r="V171" s="126">
        <f t="shared" si="33"/>
        <v>44.45722479448355</v>
      </c>
      <c r="W171" s="125">
        <f t="shared" si="53"/>
        <v>66645.06</v>
      </c>
      <c r="X171" s="180"/>
      <c r="Y171" s="43"/>
    </row>
    <row r="172" spans="1:25" s="21" customFormat="1" ht="42.75">
      <c r="A172" s="19"/>
      <c r="B172" s="26"/>
      <c r="C172" s="26"/>
      <c r="D172" s="27" t="s">
        <v>223</v>
      </c>
      <c r="E172" s="123">
        <f aca="true" t="shared" si="54" ref="E172:J172">SUM(E173:E176)</f>
        <v>2064043.27</v>
      </c>
      <c r="F172" s="123">
        <f t="shared" si="54"/>
        <v>1517352.59</v>
      </c>
      <c r="G172" s="123">
        <f t="shared" si="54"/>
        <v>84319</v>
      </c>
      <c r="H172" s="123">
        <f t="shared" si="54"/>
        <v>1906569.42</v>
      </c>
      <c r="I172" s="123">
        <f t="shared" si="54"/>
        <v>1456816.57</v>
      </c>
      <c r="J172" s="123">
        <f t="shared" si="54"/>
        <v>81979.83</v>
      </c>
      <c r="K172" s="124">
        <f>H172/E172*100</f>
        <v>92.37061294746984</v>
      </c>
      <c r="L172" s="123">
        <f aca="true" t="shared" si="55" ref="L172:U172">SUM(L173:L176)</f>
        <v>278600</v>
      </c>
      <c r="M172" s="123">
        <f t="shared" si="55"/>
        <v>108255</v>
      </c>
      <c r="N172" s="123">
        <f t="shared" si="55"/>
        <v>0</v>
      </c>
      <c r="O172" s="123">
        <f t="shared" si="55"/>
        <v>0</v>
      </c>
      <c r="P172" s="123">
        <f t="shared" si="55"/>
        <v>170345</v>
      </c>
      <c r="Q172" s="123">
        <f t="shared" si="55"/>
        <v>101392.42</v>
      </c>
      <c r="R172" s="123">
        <f t="shared" si="55"/>
        <v>64392.42</v>
      </c>
      <c r="S172" s="123">
        <f t="shared" si="55"/>
        <v>0</v>
      </c>
      <c r="T172" s="123">
        <f t="shared" si="55"/>
        <v>0</v>
      </c>
      <c r="U172" s="123">
        <f t="shared" si="55"/>
        <v>37000</v>
      </c>
      <c r="V172" s="124">
        <f t="shared" si="33"/>
        <v>36.393546302943285</v>
      </c>
      <c r="W172" s="123">
        <f>SUM(W173:W176)</f>
        <v>2007961.8399999999</v>
      </c>
      <c r="X172" s="180"/>
      <c r="Y172" s="43"/>
    </row>
    <row r="173" spans="1:25" s="21" customFormat="1" ht="15.75">
      <c r="A173" s="19"/>
      <c r="B173" s="22" t="s">
        <v>11</v>
      </c>
      <c r="C173" s="22" t="s">
        <v>9</v>
      </c>
      <c r="D173" s="23" t="s">
        <v>15</v>
      </c>
      <c r="E173" s="125">
        <v>2030193.27</v>
      </c>
      <c r="F173" s="125">
        <v>1517352.59</v>
      </c>
      <c r="G173" s="125">
        <f>167498-83179</f>
        <v>84319</v>
      </c>
      <c r="H173" s="125">
        <v>1891469.42</v>
      </c>
      <c r="I173" s="125">
        <v>1456816.57</v>
      </c>
      <c r="J173" s="125">
        <v>81979.83</v>
      </c>
      <c r="K173" s="126">
        <f>H173/E173*100</f>
        <v>93.16696336009429</v>
      </c>
      <c r="L173" s="125">
        <f>M173+P173</f>
        <v>30000</v>
      </c>
      <c r="M173" s="125"/>
      <c r="N173" s="125"/>
      <c r="O173" s="125"/>
      <c r="P173" s="125">
        <f>250000-220000</f>
        <v>30000</v>
      </c>
      <c r="Q173" s="125">
        <f>R173+U173</f>
        <v>30000</v>
      </c>
      <c r="R173" s="125"/>
      <c r="S173" s="125"/>
      <c r="T173" s="125"/>
      <c r="U173" s="125">
        <v>30000</v>
      </c>
      <c r="V173" s="126">
        <f t="shared" si="33"/>
        <v>100</v>
      </c>
      <c r="W173" s="125">
        <f>H173+Q173</f>
        <v>1921469.42</v>
      </c>
      <c r="X173" s="180"/>
      <c r="Y173" s="43"/>
    </row>
    <row r="174" spans="1:25" s="21" customFormat="1" ht="15.75">
      <c r="A174" s="19"/>
      <c r="B174" s="22" t="s">
        <v>164</v>
      </c>
      <c r="C174" s="22" t="s">
        <v>217</v>
      </c>
      <c r="D174" s="23" t="s">
        <v>165</v>
      </c>
      <c r="E174" s="123"/>
      <c r="F174" s="123"/>
      <c r="G174" s="123"/>
      <c r="H174" s="123"/>
      <c r="I174" s="123"/>
      <c r="J174" s="123"/>
      <c r="K174" s="124"/>
      <c r="L174" s="125">
        <f>M174+P174</f>
        <v>7000</v>
      </c>
      <c r="M174" s="125"/>
      <c r="N174" s="125"/>
      <c r="O174" s="125"/>
      <c r="P174" s="125">
        <f>148000-141000</f>
        <v>7000</v>
      </c>
      <c r="Q174" s="125">
        <f aca="true" t="shared" si="56" ref="Q174:Q182">R174+U174</f>
        <v>7000</v>
      </c>
      <c r="R174" s="125"/>
      <c r="S174" s="125"/>
      <c r="T174" s="125"/>
      <c r="U174" s="125">
        <v>7000</v>
      </c>
      <c r="V174" s="126">
        <f t="shared" si="33"/>
        <v>100</v>
      </c>
      <c r="W174" s="125">
        <f aca="true" t="shared" si="57" ref="W174:W182">H174+Q174</f>
        <v>7000</v>
      </c>
      <c r="X174" s="180"/>
      <c r="Y174" s="43"/>
    </row>
    <row r="175" spans="1:25" s="21" customFormat="1" ht="60">
      <c r="A175" s="19"/>
      <c r="B175" s="22" t="s">
        <v>57</v>
      </c>
      <c r="C175" s="22" t="s">
        <v>192</v>
      </c>
      <c r="D175" s="23" t="s">
        <v>58</v>
      </c>
      <c r="E175" s="123"/>
      <c r="F175" s="123"/>
      <c r="G175" s="123"/>
      <c r="H175" s="123"/>
      <c r="I175" s="123"/>
      <c r="J175" s="123"/>
      <c r="K175" s="124"/>
      <c r="L175" s="125">
        <f>M175+P175</f>
        <v>241600</v>
      </c>
      <c r="M175" s="125">
        <f>725000-309500-307245</f>
        <v>108255</v>
      </c>
      <c r="N175" s="123"/>
      <c r="O175" s="123"/>
      <c r="P175" s="125">
        <f>309500+199000-199000-176155</f>
        <v>133345</v>
      </c>
      <c r="Q175" s="125">
        <f t="shared" si="56"/>
        <v>64392.42</v>
      </c>
      <c r="R175" s="125">
        <v>64392.42</v>
      </c>
      <c r="S175" s="125"/>
      <c r="T175" s="125"/>
      <c r="U175" s="125"/>
      <c r="V175" s="126">
        <f t="shared" si="33"/>
        <v>26.652491721854304</v>
      </c>
      <c r="W175" s="125">
        <f t="shared" si="57"/>
        <v>64392.42</v>
      </c>
      <c r="X175" s="180"/>
      <c r="Y175" s="43"/>
    </row>
    <row r="176" spans="1:25" s="21" customFormat="1" ht="15.75">
      <c r="A176" s="19"/>
      <c r="B176" s="22" t="s">
        <v>59</v>
      </c>
      <c r="C176" s="22" t="s">
        <v>192</v>
      </c>
      <c r="D176" s="23" t="s">
        <v>25</v>
      </c>
      <c r="E176" s="125">
        <f>170000+15100-151250</f>
        <v>33850</v>
      </c>
      <c r="F176" s="123"/>
      <c r="G176" s="123"/>
      <c r="H176" s="125">
        <v>15100</v>
      </c>
      <c r="I176" s="125"/>
      <c r="J176" s="125"/>
      <c r="K176" s="126">
        <f>H176/E176*100</f>
        <v>44.608567208271786</v>
      </c>
      <c r="L176" s="125">
        <f>M176+P176</f>
        <v>0</v>
      </c>
      <c r="M176" s="123"/>
      <c r="N176" s="123"/>
      <c r="O176" s="123"/>
      <c r="P176" s="123"/>
      <c r="Q176" s="125">
        <f t="shared" si="56"/>
        <v>0</v>
      </c>
      <c r="R176" s="123"/>
      <c r="S176" s="123"/>
      <c r="T176" s="123"/>
      <c r="U176" s="123"/>
      <c r="V176" s="126"/>
      <c r="W176" s="125">
        <f t="shared" si="57"/>
        <v>15100</v>
      </c>
      <c r="X176" s="180"/>
      <c r="Y176" s="43"/>
    </row>
    <row r="177" spans="1:25" s="21" customFormat="1" ht="42.75">
      <c r="A177" s="19"/>
      <c r="B177" s="26"/>
      <c r="C177" s="26"/>
      <c r="D177" s="27" t="s">
        <v>334</v>
      </c>
      <c r="E177" s="123">
        <f>E178+E179+E180+E181+E182</f>
        <v>1278258.51</v>
      </c>
      <c r="F177" s="123">
        <f>F178+F179+F180+F181+F182</f>
        <v>789894.48</v>
      </c>
      <c r="G177" s="123">
        <f>G178+G179+G180+G181+G182</f>
        <v>41590</v>
      </c>
      <c r="H177" s="123">
        <f>SUM(H178:H182)</f>
        <v>436206.54</v>
      </c>
      <c r="I177" s="123">
        <f>SUM(I178:I182)</f>
        <v>328569.94</v>
      </c>
      <c r="J177" s="123">
        <f>SUM(J178:J182)</f>
        <v>1869.11</v>
      </c>
      <c r="K177" s="124">
        <f>H177/E177*100</f>
        <v>34.125064420654624</v>
      </c>
      <c r="L177" s="123">
        <f aca="true" t="shared" si="58" ref="L177:U177">L178+L179+L180+L181+L182</f>
        <v>621900</v>
      </c>
      <c r="M177" s="123">
        <f t="shared" si="58"/>
        <v>307245</v>
      </c>
      <c r="N177" s="123">
        <f t="shared" si="58"/>
        <v>0</v>
      </c>
      <c r="O177" s="123">
        <f t="shared" si="58"/>
        <v>0</v>
      </c>
      <c r="P177" s="123">
        <f t="shared" si="58"/>
        <v>314655</v>
      </c>
      <c r="Q177" s="123">
        <f t="shared" si="58"/>
        <v>26000</v>
      </c>
      <c r="R177" s="123">
        <f t="shared" si="58"/>
        <v>0</v>
      </c>
      <c r="S177" s="123">
        <f t="shared" si="58"/>
        <v>0</v>
      </c>
      <c r="T177" s="123">
        <f t="shared" si="58"/>
        <v>0</v>
      </c>
      <c r="U177" s="123">
        <f t="shared" si="58"/>
        <v>26000</v>
      </c>
      <c r="V177" s="124">
        <f t="shared" si="33"/>
        <v>4.180736452805918</v>
      </c>
      <c r="W177" s="123">
        <f>W178+W179+W180+W181+W182</f>
        <v>462206.54</v>
      </c>
      <c r="X177" s="180"/>
      <c r="Y177" s="43"/>
    </row>
    <row r="178" spans="1:25" s="21" customFormat="1" ht="15.75">
      <c r="A178" s="19"/>
      <c r="B178" s="22" t="s">
        <v>11</v>
      </c>
      <c r="C178" s="22" t="s">
        <v>9</v>
      </c>
      <c r="D178" s="23" t="s">
        <v>15</v>
      </c>
      <c r="E178" s="125">
        <v>1127008.51</v>
      </c>
      <c r="F178" s="125">
        <v>789894.48</v>
      </c>
      <c r="G178" s="125">
        <v>41590</v>
      </c>
      <c r="H178" s="125">
        <v>436206.54</v>
      </c>
      <c r="I178" s="125">
        <v>328569.94</v>
      </c>
      <c r="J178" s="125">
        <v>1869.11</v>
      </c>
      <c r="K178" s="126">
        <f>H178/E178*100</f>
        <v>38.704813329226766</v>
      </c>
      <c r="L178" s="125">
        <f>M178+P178</f>
        <v>0</v>
      </c>
      <c r="M178" s="125"/>
      <c r="N178" s="125"/>
      <c r="O178" s="125"/>
      <c r="P178" s="125"/>
      <c r="Q178" s="125">
        <f t="shared" si="56"/>
        <v>0</v>
      </c>
      <c r="R178" s="123"/>
      <c r="S178" s="123"/>
      <c r="T178" s="123"/>
      <c r="U178" s="123"/>
      <c r="V178" s="126"/>
      <c r="W178" s="125">
        <f t="shared" si="57"/>
        <v>436206.54</v>
      </c>
      <c r="X178" s="180"/>
      <c r="Y178" s="43"/>
    </row>
    <row r="179" spans="1:25" s="21" customFormat="1" ht="60">
      <c r="A179" s="19"/>
      <c r="B179" s="22" t="s">
        <v>47</v>
      </c>
      <c r="C179" s="22" t="s">
        <v>188</v>
      </c>
      <c r="D179" s="23" t="s">
        <v>48</v>
      </c>
      <c r="E179" s="123"/>
      <c r="F179" s="123"/>
      <c r="G179" s="123"/>
      <c r="H179" s="125"/>
      <c r="I179" s="125"/>
      <c r="J179" s="125"/>
      <c r="K179" s="126"/>
      <c r="L179" s="125">
        <f>M179+P179</f>
        <v>39000</v>
      </c>
      <c r="M179" s="125"/>
      <c r="N179" s="125"/>
      <c r="O179" s="125"/>
      <c r="P179" s="125">
        <v>39000</v>
      </c>
      <c r="Q179" s="125">
        <f t="shared" si="56"/>
        <v>26000</v>
      </c>
      <c r="R179" s="123"/>
      <c r="S179" s="123"/>
      <c r="T179" s="123"/>
      <c r="U179" s="125">
        <v>26000</v>
      </c>
      <c r="V179" s="126">
        <f t="shared" si="33"/>
        <v>66.66666666666666</v>
      </c>
      <c r="W179" s="125">
        <f t="shared" si="57"/>
        <v>26000</v>
      </c>
      <c r="X179" s="180"/>
      <c r="Y179" s="43"/>
    </row>
    <row r="180" spans="1:25" s="21" customFormat="1" ht="60">
      <c r="A180" s="19"/>
      <c r="B180" s="22" t="s">
        <v>57</v>
      </c>
      <c r="C180" s="22" t="s">
        <v>192</v>
      </c>
      <c r="D180" s="23" t="s">
        <v>58</v>
      </c>
      <c r="E180" s="123"/>
      <c r="F180" s="123"/>
      <c r="G180" s="123"/>
      <c r="H180" s="125"/>
      <c r="I180" s="125"/>
      <c r="J180" s="125"/>
      <c r="K180" s="126"/>
      <c r="L180" s="125">
        <f>M180+P180</f>
        <v>483400</v>
      </c>
      <c r="M180" s="125">
        <v>307245</v>
      </c>
      <c r="N180" s="123"/>
      <c r="O180" s="123"/>
      <c r="P180" s="125">
        <v>176155</v>
      </c>
      <c r="Q180" s="125">
        <f t="shared" si="56"/>
        <v>0</v>
      </c>
      <c r="R180" s="123"/>
      <c r="S180" s="123"/>
      <c r="T180" s="123"/>
      <c r="U180" s="123"/>
      <c r="V180" s="126">
        <f t="shared" si="33"/>
        <v>0</v>
      </c>
      <c r="W180" s="125">
        <f t="shared" si="57"/>
        <v>0</v>
      </c>
      <c r="X180" s="178" t="s">
        <v>353</v>
      </c>
      <c r="Y180" s="43"/>
    </row>
    <row r="181" spans="1:25" s="21" customFormat="1" ht="15.75">
      <c r="A181" s="19"/>
      <c r="B181" s="22" t="s">
        <v>59</v>
      </c>
      <c r="C181" s="22" t="s">
        <v>192</v>
      </c>
      <c r="D181" s="23" t="s">
        <v>25</v>
      </c>
      <c r="E181" s="125">
        <v>151250</v>
      </c>
      <c r="F181" s="123"/>
      <c r="G181" s="123"/>
      <c r="H181" s="125"/>
      <c r="I181" s="125"/>
      <c r="J181" s="125"/>
      <c r="K181" s="126">
        <f>H181/E181*100</f>
        <v>0</v>
      </c>
      <c r="L181" s="125">
        <f>M181+P181</f>
        <v>0</v>
      </c>
      <c r="M181" s="123"/>
      <c r="N181" s="123"/>
      <c r="O181" s="123"/>
      <c r="P181" s="123"/>
      <c r="Q181" s="125">
        <f t="shared" si="56"/>
        <v>0</v>
      </c>
      <c r="R181" s="123"/>
      <c r="S181" s="123"/>
      <c r="T181" s="123"/>
      <c r="U181" s="123"/>
      <c r="V181" s="126"/>
      <c r="W181" s="125">
        <f t="shared" si="57"/>
        <v>0</v>
      </c>
      <c r="X181" s="178"/>
      <c r="Y181" s="43"/>
    </row>
    <row r="182" spans="1:25" s="21" customFormat="1" ht="15.75">
      <c r="A182" s="19"/>
      <c r="B182" s="22" t="s">
        <v>178</v>
      </c>
      <c r="C182" s="22" t="s">
        <v>224</v>
      </c>
      <c r="D182" s="32" t="s">
        <v>179</v>
      </c>
      <c r="E182" s="125"/>
      <c r="F182" s="123"/>
      <c r="G182" s="123"/>
      <c r="H182" s="125"/>
      <c r="I182" s="125"/>
      <c r="J182" s="125"/>
      <c r="K182" s="126"/>
      <c r="L182" s="125">
        <f>M182+P182</f>
        <v>99500</v>
      </c>
      <c r="M182" s="123"/>
      <c r="N182" s="123"/>
      <c r="O182" s="123"/>
      <c r="P182" s="125">
        <v>99500</v>
      </c>
      <c r="Q182" s="125">
        <f t="shared" si="56"/>
        <v>0</v>
      </c>
      <c r="R182" s="123"/>
      <c r="S182" s="123"/>
      <c r="T182" s="123"/>
      <c r="U182" s="123"/>
      <c r="V182" s="126">
        <f t="shared" si="33"/>
        <v>0</v>
      </c>
      <c r="W182" s="125">
        <f t="shared" si="57"/>
        <v>0</v>
      </c>
      <c r="X182" s="178"/>
      <c r="Y182" s="43"/>
    </row>
    <row r="183" spans="1:25" s="21" customFormat="1" ht="42.75">
      <c r="A183" s="19"/>
      <c r="B183" s="22"/>
      <c r="C183" s="35"/>
      <c r="D183" s="27" t="s">
        <v>225</v>
      </c>
      <c r="E183" s="123">
        <f aca="true" t="shared" si="59" ref="E183:J183">E184+E186+E185</f>
        <v>2363550</v>
      </c>
      <c r="F183" s="123">
        <f t="shared" si="59"/>
        <v>1192900</v>
      </c>
      <c r="G183" s="123">
        <f t="shared" si="59"/>
        <v>83538</v>
      </c>
      <c r="H183" s="123">
        <f t="shared" si="59"/>
        <v>1391904.83</v>
      </c>
      <c r="I183" s="123">
        <f t="shared" si="59"/>
        <v>847347.44</v>
      </c>
      <c r="J183" s="123">
        <f t="shared" si="59"/>
        <v>49847.52</v>
      </c>
      <c r="K183" s="124">
        <f aca="true" t="shared" si="60" ref="K183:K189">H183/E183*100</f>
        <v>58.8904330350532</v>
      </c>
      <c r="L183" s="123">
        <f>L184+L186+L185</f>
        <v>30000</v>
      </c>
      <c r="M183" s="123">
        <f aca="true" t="shared" si="61" ref="M183:U183">M184+M186+M185</f>
        <v>0</v>
      </c>
      <c r="N183" s="123">
        <f t="shared" si="61"/>
        <v>0</v>
      </c>
      <c r="O183" s="123">
        <f t="shared" si="61"/>
        <v>0</v>
      </c>
      <c r="P183" s="123">
        <f t="shared" si="61"/>
        <v>30000</v>
      </c>
      <c r="Q183" s="123">
        <f t="shared" si="61"/>
        <v>29955.2</v>
      </c>
      <c r="R183" s="123">
        <f t="shared" si="61"/>
        <v>0</v>
      </c>
      <c r="S183" s="123">
        <f t="shared" si="61"/>
        <v>0</v>
      </c>
      <c r="T183" s="123">
        <f t="shared" si="61"/>
        <v>0</v>
      </c>
      <c r="U183" s="123">
        <f t="shared" si="61"/>
        <v>29955.2</v>
      </c>
      <c r="V183" s="124">
        <f>Q183/L183*100</f>
        <v>99.85066666666667</v>
      </c>
      <c r="W183" s="123">
        <f>W184+W186+W185</f>
        <v>1421860.03</v>
      </c>
      <c r="X183" s="178"/>
      <c r="Y183" s="43"/>
    </row>
    <row r="184" spans="1:25" s="21" customFormat="1" ht="15.75">
      <c r="A184" s="19"/>
      <c r="B184" s="22" t="s">
        <v>11</v>
      </c>
      <c r="C184" s="22" t="s">
        <v>9</v>
      </c>
      <c r="D184" s="23" t="s">
        <v>15</v>
      </c>
      <c r="E184" s="125">
        <v>1648470</v>
      </c>
      <c r="F184" s="125">
        <v>1192900</v>
      </c>
      <c r="G184" s="125">
        <v>83538</v>
      </c>
      <c r="H184" s="125">
        <v>1162399.07</v>
      </c>
      <c r="I184" s="125">
        <v>847347.44</v>
      </c>
      <c r="J184" s="125">
        <v>49847.52</v>
      </c>
      <c r="K184" s="126">
        <f t="shared" si="60"/>
        <v>70.5138140214866</v>
      </c>
      <c r="L184" s="125">
        <f>M184+P184</f>
        <v>30000</v>
      </c>
      <c r="M184" s="125"/>
      <c r="N184" s="125"/>
      <c r="O184" s="125"/>
      <c r="P184" s="125">
        <f>30000</f>
        <v>30000</v>
      </c>
      <c r="Q184" s="125">
        <f>R184+U184</f>
        <v>29955.2</v>
      </c>
      <c r="R184" s="125"/>
      <c r="S184" s="125"/>
      <c r="T184" s="125"/>
      <c r="U184" s="125">
        <v>29955.2</v>
      </c>
      <c r="V184" s="126">
        <f t="shared" si="33"/>
        <v>99.85066666666667</v>
      </c>
      <c r="W184" s="125">
        <f>H184+Q184</f>
        <v>1192354.27</v>
      </c>
      <c r="X184" s="178"/>
      <c r="Y184" s="43"/>
    </row>
    <row r="185" spans="1:25" s="21" customFormat="1" ht="15.75">
      <c r="A185" s="19"/>
      <c r="B185" s="22" t="s">
        <v>28</v>
      </c>
      <c r="C185" s="22" t="s">
        <v>183</v>
      </c>
      <c r="D185" s="23" t="s">
        <v>29</v>
      </c>
      <c r="E185" s="125">
        <v>365080</v>
      </c>
      <c r="F185" s="125"/>
      <c r="G185" s="125"/>
      <c r="H185" s="125"/>
      <c r="I185" s="125"/>
      <c r="J185" s="125"/>
      <c r="K185" s="126">
        <f t="shared" si="60"/>
        <v>0</v>
      </c>
      <c r="L185" s="125">
        <f>M185+P185</f>
        <v>0</v>
      </c>
      <c r="M185" s="125"/>
      <c r="N185" s="125"/>
      <c r="O185" s="125"/>
      <c r="P185" s="125"/>
      <c r="Q185" s="125"/>
      <c r="R185" s="125"/>
      <c r="S185" s="125"/>
      <c r="T185" s="125"/>
      <c r="U185" s="125"/>
      <c r="V185" s="126"/>
      <c r="W185" s="125">
        <f>H185+Q185</f>
        <v>0</v>
      </c>
      <c r="X185" s="178"/>
      <c r="Y185" s="43"/>
    </row>
    <row r="186" spans="1:25" s="21" customFormat="1" ht="15.75">
      <c r="A186" s="19"/>
      <c r="B186" s="22" t="s">
        <v>59</v>
      </c>
      <c r="C186" s="22" t="s">
        <v>192</v>
      </c>
      <c r="D186" s="23" t="s">
        <v>25</v>
      </c>
      <c r="E186" s="125">
        <v>350000</v>
      </c>
      <c r="F186" s="123"/>
      <c r="G186" s="123"/>
      <c r="H186" s="125">
        <v>229505.76</v>
      </c>
      <c r="I186" s="125"/>
      <c r="J186" s="125"/>
      <c r="K186" s="126">
        <f t="shared" si="60"/>
        <v>65.57307428571428</v>
      </c>
      <c r="L186" s="125">
        <f>M186+P186</f>
        <v>0</v>
      </c>
      <c r="M186" s="123"/>
      <c r="N186" s="123"/>
      <c r="O186" s="123"/>
      <c r="P186" s="123"/>
      <c r="Q186" s="125">
        <f>R186+U186</f>
        <v>0</v>
      </c>
      <c r="R186" s="123"/>
      <c r="S186" s="123"/>
      <c r="T186" s="123"/>
      <c r="U186" s="123"/>
      <c r="V186" s="126"/>
      <c r="W186" s="125">
        <f>H186+Q186</f>
        <v>229505.76</v>
      </c>
      <c r="X186" s="178"/>
      <c r="Y186" s="43"/>
    </row>
    <row r="187" spans="1:25" s="21" customFormat="1" ht="42.75">
      <c r="A187" s="19"/>
      <c r="B187" s="26"/>
      <c r="C187" s="26"/>
      <c r="D187" s="27" t="s">
        <v>337</v>
      </c>
      <c r="E187" s="123">
        <f aca="true" t="shared" si="62" ref="E187:J187">SUM(E188:E190)</f>
        <v>5859784.85</v>
      </c>
      <c r="F187" s="123">
        <f t="shared" si="62"/>
        <v>4243720</v>
      </c>
      <c r="G187" s="123">
        <f t="shared" si="62"/>
        <v>191695</v>
      </c>
      <c r="H187" s="123">
        <f t="shared" si="62"/>
        <v>4370622.2</v>
      </c>
      <c r="I187" s="123">
        <f t="shared" si="62"/>
        <v>3280348.8</v>
      </c>
      <c r="J187" s="123">
        <f t="shared" si="62"/>
        <v>116427.36</v>
      </c>
      <c r="K187" s="126">
        <f t="shared" si="60"/>
        <v>74.58673504028054</v>
      </c>
      <c r="L187" s="123">
        <f aca="true" t="shared" si="63" ref="L187:U187">SUM(L188:L190)</f>
        <v>75070</v>
      </c>
      <c r="M187" s="123">
        <f t="shared" si="63"/>
        <v>18000</v>
      </c>
      <c r="N187" s="123">
        <f t="shared" si="63"/>
        <v>0</v>
      </c>
      <c r="O187" s="123">
        <f t="shared" si="63"/>
        <v>0</v>
      </c>
      <c r="P187" s="123">
        <f t="shared" si="63"/>
        <v>57070</v>
      </c>
      <c r="Q187" s="123">
        <f t="shared" si="63"/>
        <v>57047</v>
      </c>
      <c r="R187" s="123">
        <f t="shared" si="63"/>
        <v>0</v>
      </c>
      <c r="S187" s="123">
        <f t="shared" si="63"/>
        <v>0</v>
      </c>
      <c r="T187" s="123">
        <f t="shared" si="63"/>
        <v>0</v>
      </c>
      <c r="U187" s="123">
        <f t="shared" si="63"/>
        <v>57047</v>
      </c>
      <c r="V187" s="124">
        <f t="shared" si="33"/>
        <v>75.99174104169441</v>
      </c>
      <c r="W187" s="123">
        <f>SUM(W188:W190)</f>
        <v>4427669.2</v>
      </c>
      <c r="X187" s="178"/>
      <c r="Y187" s="43"/>
    </row>
    <row r="188" spans="1:25" s="21" customFormat="1" ht="15.75">
      <c r="A188" s="19"/>
      <c r="B188" s="22" t="s">
        <v>11</v>
      </c>
      <c r="C188" s="22" t="s">
        <v>9</v>
      </c>
      <c r="D188" s="23" t="s">
        <v>96</v>
      </c>
      <c r="E188" s="125">
        <v>5728901</v>
      </c>
      <c r="F188" s="125">
        <v>4243720</v>
      </c>
      <c r="G188" s="125">
        <v>191695</v>
      </c>
      <c r="H188" s="125">
        <v>4327603.03</v>
      </c>
      <c r="I188" s="125">
        <v>3280348.8</v>
      </c>
      <c r="J188" s="125">
        <v>116427.36</v>
      </c>
      <c r="K188" s="126">
        <f t="shared" si="60"/>
        <v>75.53984664772528</v>
      </c>
      <c r="L188" s="125">
        <f>M188+P188</f>
        <v>57070</v>
      </c>
      <c r="M188" s="125"/>
      <c r="N188" s="125"/>
      <c r="O188" s="125"/>
      <c r="P188" s="125">
        <f>40000+12400+4670</f>
        <v>57070</v>
      </c>
      <c r="Q188" s="125">
        <f>R188+U188</f>
        <v>57047</v>
      </c>
      <c r="R188" s="125"/>
      <c r="S188" s="125"/>
      <c r="T188" s="125"/>
      <c r="U188" s="125">
        <v>57047</v>
      </c>
      <c r="V188" s="126">
        <f aca="true" t="shared" si="64" ref="V188:V196">Q188/L188*100</f>
        <v>99.95969861573506</v>
      </c>
      <c r="W188" s="125">
        <f>H188+Q188</f>
        <v>4384650.03</v>
      </c>
      <c r="X188" s="178"/>
      <c r="Y188" s="43"/>
    </row>
    <row r="189" spans="1:25" s="21" customFormat="1" ht="15.75">
      <c r="A189" s="19"/>
      <c r="B189" s="22" t="s">
        <v>309</v>
      </c>
      <c r="C189" s="22" t="s">
        <v>310</v>
      </c>
      <c r="D189" s="23" t="s">
        <v>311</v>
      </c>
      <c r="E189" s="125">
        <f>198694.54-67810.69</f>
        <v>130883.85</v>
      </c>
      <c r="F189" s="125"/>
      <c r="G189" s="125"/>
      <c r="H189" s="125">
        <v>43019.17</v>
      </c>
      <c r="I189" s="125"/>
      <c r="J189" s="125"/>
      <c r="K189" s="126">
        <f t="shared" si="60"/>
        <v>32.86820337268502</v>
      </c>
      <c r="L189" s="125">
        <f>M189+P189</f>
        <v>0</v>
      </c>
      <c r="M189" s="125"/>
      <c r="N189" s="125"/>
      <c r="O189" s="125"/>
      <c r="P189" s="125"/>
      <c r="Q189" s="125">
        <f>R189+U189</f>
        <v>0</v>
      </c>
      <c r="R189" s="125"/>
      <c r="S189" s="125"/>
      <c r="T189" s="125"/>
      <c r="U189" s="125"/>
      <c r="V189" s="126"/>
      <c r="W189" s="125">
        <f>H189+Q189</f>
        <v>43019.17</v>
      </c>
      <c r="X189" s="178"/>
      <c r="Y189" s="43"/>
    </row>
    <row r="190" spans="1:25" s="21" customFormat="1" ht="30">
      <c r="A190" s="19"/>
      <c r="B190" s="22" t="s">
        <v>55</v>
      </c>
      <c r="C190" s="22" t="s">
        <v>191</v>
      </c>
      <c r="D190" s="23" t="s">
        <v>56</v>
      </c>
      <c r="E190" s="125"/>
      <c r="F190" s="125"/>
      <c r="G190" s="125"/>
      <c r="H190" s="125"/>
      <c r="I190" s="125"/>
      <c r="J190" s="125"/>
      <c r="K190" s="126"/>
      <c r="L190" s="125">
        <f>M190+P190</f>
        <v>18000</v>
      </c>
      <c r="M190" s="125">
        <v>18000</v>
      </c>
      <c r="N190" s="125"/>
      <c r="O190" s="125"/>
      <c r="P190" s="125"/>
      <c r="Q190" s="125">
        <f>R190+U190</f>
        <v>0</v>
      </c>
      <c r="R190" s="125"/>
      <c r="S190" s="125"/>
      <c r="T190" s="125"/>
      <c r="U190" s="125"/>
      <c r="V190" s="126">
        <f t="shared" si="64"/>
        <v>0</v>
      </c>
      <c r="W190" s="125">
        <f>H190+Q190</f>
        <v>0</v>
      </c>
      <c r="X190" s="178"/>
      <c r="Y190" s="43"/>
    </row>
    <row r="191" spans="1:25" s="21" customFormat="1" ht="71.25">
      <c r="A191" s="19"/>
      <c r="B191" s="26"/>
      <c r="C191" s="26"/>
      <c r="D191" s="27" t="s">
        <v>336</v>
      </c>
      <c r="E191" s="123">
        <f aca="true" t="shared" si="65" ref="E191:J191">SUM(E192:E195)</f>
        <v>65809991.15</v>
      </c>
      <c r="F191" s="123">
        <f t="shared" si="65"/>
        <v>0</v>
      </c>
      <c r="G191" s="123">
        <f t="shared" si="65"/>
        <v>0</v>
      </c>
      <c r="H191" s="123">
        <f t="shared" si="65"/>
        <v>42373674</v>
      </c>
      <c r="I191" s="123">
        <f t="shared" si="65"/>
        <v>0</v>
      </c>
      <c r="J191" s="123">
        <f t="shared" si="65"/>
        <v>0</v>
      </c>
      <c r="K191" s="124">
        <f aca="true" t="shared" si="66" ref="K191:K196">H191/E191*100</f>
        <v>64.38790411537687</v>
      </c>
      <c r="L191" s="123">
        <f aca="true" t="shared" si="67" ref="L191:U191">SUM(L192:L195)</f>
        <v>700000</v>
      </c>
      <c r="M191" s="123">
        <f t="shared" si="67"/>
        <v>0</v>
      </c>
      <c r="N191" s="123">
        <f t="shared" si="67"/>
        <v>0</v>
      </c>
      <c r="O191" s="123">
        <f t="shared" si="67"/>
        <v>0</v>
      </c>
      <c r="P191" s="123">
        <f t="shared" si="67"/>
        <v>700000</v>
      </c>
      <c r="Q191" s="123">
        <f t="shared" si="67"/>
        <v>700000</v>
      </c>
      <c r="R191" s="123">
        <f t="shared" si="67"/>
        <v>0</v>
      </c>
      <c r="S191" s="123">
        <f t="shared" si="67"/>
        <v>0</v>
      </c>
      <c r="T191" s="123">
        <f t="shared" si="67"/>
        <v>0</v>
      </c>
      <c r="U191" s="123">
        <f t="shared" si="67"/>
        <v>700000</v>
      </c>
      <c r="V191" s="124">
        <f t="shared" si="64"/>
        <v>100</v>
      </c>
      <c r="W191" s="123">
        <f>SUM(W192:W195)</f>
        <v>43073674</v>
      </c>
      <c r="X191" s="178"/>
      <c r="Y191" s="43"/>
    </row>
    <row r="192" spans="1:25" s="21" customFormat="1" ht="15.75">
      <c r="A192" s="19"/>
      <c r="B192" s="22" t="s">
        <v>176</v>
      </c>
      <c r="C192" s="22" t="s">
        <v>192</v>
      </c>
      <c r="D192" s="23" t="s">
        <v>177</v>
      </c>
      <c r="E192" s="125">
        <v>9068234.15</v>
      </c>
      <c r="F192" s="123"/>
      <c r="G192" s="123"/>
      <c r="H192" s="123"/>
      <c r="I192" s="123"/>
      <c r="J192" s="123"/>
      <c r="K192" s="126">
        <f t="shared" si="66"/>
        <v>0</v>
      </c>
      <c r="L192" s="125">
        <f>M192+P192</f>
        <v>0</v>
      </c>
      <c r="M192" s="123"/>
      <c r="N192" s="123"/>
      <c r="O192" s="123"/>
      <c r="P192" s="123"/>
      <c r="Q192" s="125">
        <f>R192+U192</f>
        <v>0</v>
      </c>
      <c r="R192" s="123"/>
      <c r="S192" s="123"/>
      <c r="T192" s="123"/>
      <c r="U192" s="123"/>
      <c r="V192" s="126"/>
      <c r="W192" s="125">
        <f>H192+Q192</f>
        <v>0</v>
      </c>
      <c r="X192" s="178"/>
      <c r="Y192" s="43"/>
    </row>
    <row r="193" spans="1:25" s="21" customFormat="1" ht="15.75">
      <c r="A193" s="19"/>
      <c r="B193" s="22" t="s">
        <v>227</v>
      </c>
      <c r="C193" s="22" t="s">
        <v>224</v>
      </c>
      <c r="D193" s="23" t="s">
        <v>228</v>
      </c>
      <c r="E193" s="125">
        <f>55480900+920400</f>
        <v>56401300</v>
      </c>
      <c r="F193" s="123"/>
      <c r="G193" s="123"/>
      <c r="H193" s="125">
        <v>42301000</v>
      </c>
      <c r="I193" s="125"/>
      <c r="J193" s="125"/>
      <c r="K193" s="126">
        <f t="shared" si="66"/>
        <v>75.00004432521945</v>
      </c>
      <c r="L193" s="125">
        <f>M193+P193</f>
        <v>0</v>
      </c>
      <c r="M193" s="123"/>
      <c r="N193" s="123"/>
      <c r="O193" s="123"/>
      <c r="P193" s="123"/>
      <c r="Q193" s="125">
        <f>R193+U193</f>
        <v>0</v>
      </c>
      <c r="R193" s="123"/>
      <c r="S193" s="123"/>
      <c r="T193" s="123"/>
      <c r="U193" s="123"/>
      <c r="V193" s="126"/>
      <c r="W193" s="125">
        <f>H193+Q193</f>
        <v>42301000</v>
      </c>
      <c r="X193" s="178"/>
      <c r="Y193" s="43"/>
    </row>
    <row r="194" spans="1:25" s="21" customFormat="1" ht="15.75">
      <c r="A194" s="19"/>
      <c r="B194" s="22" t="s">
        <v>229</v>
      </c>
      <c r="C194" s="22" t="s">
        <v>224</v>
      </c>
      <c r="D194" s="23" t="s">
        <v>235</v>
      </c>
      <c r="E194" s="125">
        <f>164814-22857</f>
        <v>141957</v>
      </c>
      <c r="F194" s="123"/>
      <c r="G194" s="123"/>
      <c r="H194" s="125">
        <v>64174</v>
      </c>
      <c r="I194" s="125"/>
      <c r="J194" s="125"/>
      <c r="K194" s="126">
        <f t="shared" si="66"/>
        <v>45.2066470832717</v>
      </c>
      <c r="L194" s="125">
        <f>M194+P194</f>
        <v>0</v>
      </c>
      <c r="M194" s="123"/>
      <c r="N194" s="123"/>
      <c r="O194" s="123"/>
      <c r="P194" s="123"/>
      <c r="Q194" s="125">
        <f>R194+U194</f>
        <v>0</v>
      </c>
      <c r="R194" s="123"/>
      <c r="S194" s="123"/>
      <c r="T194" s="123"/>
      <c r="U194" s="123"/>
      <c r="V194" s="126"/>
      <c r="W194" s="125">
        <f>H194+Q194</f>
        <v>64174</v>
      </c>
      <c r="X194" s="178"/>
      <c r="Y194" s="43"/>
    </row>
    <row r="195" spans="1:25" s="21" customFormat="1" ht="15.75">
      <c r="A195" s="19"/>
      <c r="B195" s="22" t="s">
        <v>178</v>
      </c>
      <c r="C195" s="22" t="s">
        <v>224</v>
      </c>
      <c r="D195" s="32" t="s">
        <v>179</v>
      </c>
      <c r="E195" s="125">
        <f>190000+8500</f>
        <v>198500</v>
      </c>
      <c r="F195" s="123"/>
      <c r="G195" s="123"/>
      <c r="H195" s="125">
        <v>8500</v>
      </c>
      <c r="I195" s="140"/>
      <c r="J195" s="125"/>
      <c r="K195" s="126">
        <f t="shared" si="66"/>
        <v>4.282115869017632</v>
      </c>
      <c r="L195" s="125">
        <f>M195+P195</f>
        <v>700000</v>
      </c>
      <c r="M195" s="123"/>
      <c r="N195" s="123"/>
      <c r="O195" s="123"/>
      <c r="P195" s="125">
        <f>500000+200000</f>
        <v>700000</v>
      </c>
      <c r="Q195" s="125">
        <f>R195+U195</f>
        <v>700000</v>
      </c>
      <c r="R195" s="125"/>
      <c r="S195" s="125"/>
      <c r="T195" s="125"/>
      <c r="U195" s="125">
        <v>700000</v>
      </c>
      <c r="V195" s="126">
        <f t="shared" si="64"/>
        <v>100</v>
      </c>
      <c r="W195" s="125">
        <f>H195+Q195</f>
        <v>708500</v>
      </c>
      <c r="X195" s="178"/>
      <c r="Y195" s="43"/>
    </row>
    <row r="196" spans="1:25" s="21" customFormat="1" ht="15">
      <c r="A196" s="19"/>
      <c r="B196" s="26"/>
      <c r="C196" s="26"/>
      <c r="D196" s="27" t="s">
        <v>180</v>
      </c>
      <c r="E196" s="34">
        <f aca="true" t="shared" si="68" ref="E196:J196">E13+E45+E63+E73+E117+E120+E126+E148+E152+E158+E172+E177+E156+E183+E187+E191</f>
        <v>1677948369.74</v>
      </c>
      <c r="F196" s="34">
        <f t="shared" si="68"/>
        <v>456219649.86</v>
      </c>
      <c r="G196" s="34">
        <f t="shared" si="68"/>
        <v>92371235.78999999</v>
      </c>
      <c r="H196" s="34">
        <f t="shared" si="68"/>
        <v>1165560716.68</v>
      </c>
      <c r="I196" s="34">
        <f t="shared" si="68"/>
        <v>336871965.96999997</v>
      </c>
      <c r="J196" s="34">
        <f t="shared" si="68"/>
        <v>57429290.42</v>
      </c>
      <c r="K196" s="74">
        <f t="shared" si="66"/>
        <v>69.46344343483017</v>
      </c>
      <c r="L196" s="34">
        <f aca="true" t="shared" si="69" ref="L196:U196">L13+L45+L63+L73+L117+L120+L126+L148+L152+L158+L172+L177+L156+L183+L187+L191</f>
        <v>526718456.0500001</v>
      </c>
      <c r="M196" s="34">
        <f t="shared" si="69"/>
        <v>53996894</v>
      </c>
      <c r="N196" s="34">
        <f t="shared" si="69"/>
        <v>11409440</v>
      </c>
      <c r="O196" s="34">
        <f t="shared" si="69"/>
        <v>2168292</v>
      </c>
      <c r="P196" s="34">
        <f t="shared" si="69"/>
        <v>472721562.05</v>
      </c>
      <c r="Q196" s="34">
        <f t="shared" si="69"/>
        <v>254167286.49999997</v>
      </c>
      <c r="R196" s="34">
        <f t="shared" si="69"/>
        <v>34339092.28</v>
      </c>
      <c r="S196" s="34">
        <f t="shared" si="69"/>
        <v>7870376.999999999</v>
      </c>
      <c r="T196" s="34">
        <f t="shared" si="69"/>
        <v>1229122.76</v>
      </c>
      <c r="U196" s="34">
        <f t="shared" si="69"/>
        <v>219828194.22</v>
      </c>
      <c r="V196" s="74">
        <f t="shared" si="64"/>
        <v>48.25486625360865</v>
      </c>
      <c r="W196" s="34">
        <f>W13+W45+W63+W73+W117+W120+W126+W148+W152+W158+W172+W177+W156+W183+W187+W191</f>
        <v>1419728003.1799998</v>
      </c>
      <c r="X196" s="178"/>
      <c r="Y196" s="43"/>
    </row>
    <row r="197" spans="1:25" s="21" customFormat="1" ht="15">
      <c r="A197" s="19"/>
      <c r="B197" s="141"/>
      <c r="C197" s="141"/>
      <c r="D197" s="142"/>
      <c r="E197" s="143"/>
      <c r="F197" s="143"/>
      <c r="G197" s="143"/>
      <c r="H197" s="143"/>
      <c r="I197" s="143"/>
      <c r="J197" s="143"/>
      <c r="K197" s="144"/>
      <c r="L197" s="143"/>
      <c r="M197" s="143"/>
      <c r="N197" s="143"/>
      <c r="O197" s="143"/>
      <c r="P197" s="143"/>
      <c r="Q197" s="143"/>
      <c r="R197" s="143"/>
      <c r="S197" s="143"/>
      <c r="T197" s="143"/>
      <c r="U197" s="143"/>
      <c r="V197" s="144"/>
      <c r="W197" s="143"/>
      <c r="X197" s="178"/>
      <c r="Y197" s="43"/>
    </row>
    <row r="198" spans="1:25" s="21" customFormat="1" ht="22.5" customHeight="1">
      <c r="A198" s="19"/>
      <c r="B198" s="141"/>
      <c r="C198" s="141"/>
      <c r="D198" s="142"/>
      <c r="E198" s="143"/>
      <c r="F198" s="143"/>
      <c r="G198" s="143"/>
      <c r="H198" s="143"/>
      <c r="I198" s="143"/>
      <c r="J198" s="143"/>
      <c r="K198" s="144"/>
      <c r="L198" s="143"/>
      <c r="M198" s="143"/>
      <c r="N198" s="143"/>
      <c r="O198" s="143"/>
      <c r="P198" s="143"/>
      <c r="Q198" s="143"/>
      <c r="R198" s="143"/>
      <c r="S198" s="143"/>
      <c r="T198" s="143"/>
      <c r="U198" s="143"/>
      <c r="V198" s="144"/>
      <c r="W198" s="143"/>
      <c r="X198" s="178"/>
      <c r="Y198" s="43"/>
    </row>
    <row r="199" spans="1:25" s="21" customFormat="1" ht="21.75" customHeight="1">
      <c r="A199" s="19"/>
      <c r="B199" s="141"/>
      <c r="C199" s="141"/>
      <c r="D199" s="142"/>
      <c r="E199" s="143"/>
      <c r="F199" s="143"/>
      <c r="G199" s="143"/>
      <c r="H199" s="143"/>
      <c r="I199" s="143"/>
      <c r="J199" s="143"/>
      <c r="K199" s="144"/>
      <c r="L199" s="143"/>
      <c r="M199" s="143"/>
      <c r="N199" s="143"/>
      <c r="O199" s="143"/>
      <c r="P199" s="143"/>
      <c r="Q199" s="143"/>
      <c r="R199" s="143"/>
      <c r="S199" s="143"/>
      <c r="T199" s="143"/>
      <c r="U199" s="143"/>
      <c r="V199" s="144"/>
      <c r="W199" s="143"/>
      <c r="X199" s="178"/>
      <c r="Y199" s="43"/>
    </row>
    <row r="200" spans="1:24" ht="24" customHeight="1">
      <c r="A200" s="13"/>
      <c r="B200" s="13"/>
      <c r="C200" s="13"/>
      <c r="D200" s="13"/>
      <c r="E200" s="131"/>
      <c r="F200" s="131"/>
      <c r="G200" s="131"/>
      <c r="H200" s="108"/>
      <c r="I200" s="108"/>
      <c r="K200" s="132"/>
      <c r="L200" s="131"/>
      <c r="M200" s="131"/>
      <c r="N200" s="131"/>
      <c r="O200" s="131"/>
      <c r="P200" s="131"/>
      <c r="Q200" s="108"/>
      <c r="R200" s="108"/>
      <c r="S200" s="108"/>
      <c r="T200" s="108"/>
      <c r="U200" s="108"/>
      <c r="V200" s="132"/>
      <c r="W200" s="131"/>
      <c r="X200" s="178"/>
    </row>
    <row r="201" spans="5:24" ht="23.25" customHeight="1">
      <c r="E201" s="131"/>
      <c r="F201" s="131"/>
      <c r="G201" s="131"/>
      <c r="H201" s="108"/>
      <c r="I201" s="108"/>
      <c r="K201" s="132"/>
      <c r="L201" s="131"/>
      <c r="M201" s="131"/>
      <c r="N201" s="131"/>
      <c r="O201" s="131"/>
      <c r="P201" s="131"/>
      <c r="Q201" s="108"/>
      <c r="R201" s="108"/>
      <c r="S201" s="108"/>
      <c r="T201" s="108"/>
      <c r="U201" s="108"/>
      <c r="V201" s="132"/>
      <c r="W201" s="131"/>
      <c r="X201" s="178"/>
    </row>
    <row r="202" spans="5:24" ht="18" customHeight="1">
      <c r="E202" s="131"/>
      <c r="F202" s="131"/>
      <c r="G202" s="131"/>
      <c r="H202" s="131"/>
      <c r="I202" s="131"/>
      <c r="J202" s="131"/>
      <c r="K202" s="132"/>
      <c r="L202" s="131"/>
      <c r="M202" s="131"/>
      <c r="N202" s="131"/>
      <c r="O202" s="131"/>
      <c r="P202" s="131"/>
      <c r="Q202" s="108"/>
      <c r="R202" s="108"/>
      <c r="S202" s="108"/>
      <c r="T202" s="108"/>
      <c r="U202" s="108"/>
      <c r="V202" s="132"/>
      <c r="W202" s="131"/>
      <c r="X202" s="178"/>
    </row>
    <row r="203" spans="1:24" s="10" customFormat="1" ht="27.75" customHeight="1">
      <c r="A203" s="8"/>
      <c r="B203" s="160" t="s">
        <v>343</v>
      </c>
      <c r="C203" s="160"/>
      <c r="D203" s="160"/>
      <c r="E203" s="160"/>
      <c r="F203" s="160"/>
      <c r="G203" s="160"/>
      <c r="H203" s="160"/>
      <c r="I203" s="160"/>
      <c r="J203" s="59"/>
      <c r="K203" s="66"/>
      <c r="L203" s="145"/>
      <c r="M203" s="145"/>
      <c r="N203" s="145"/>
      <c r="O203" s="181" t="s">
        <v>345</v>
      </c>
      <c r="P203" s="181"/>
      <c r="Q203" s="181"/>
      <c r="R203" s="181"/>
      <c r="S203" s="181"/>
      <c r="T203" s="181"/>
      <c r="U203" s="181"/>
      <c r="V203" s="181"/>
      <c r="W203" s="181"/>
      <c r="X203" s="178"/>
    </row>
    <row r="204" spans="1:24" s="10" customFormat="1" ht="23.25">
      <c r="A204" s="8"/>
      <c r="B204" s="160"/>
      <c r="C204" s="160"/>
      <c r="D204" s="9"/>
      <c r="E204" s="102"/>
      <c r="F204" s="102"/>
      <c r="G204" s="102"/>
      <c r="H204" s="102"/>
      <c r="I204" s="102"/>
      <c r="J204" s="103"/>
      <c r="K204" s="133"/>
      <c r="L204" s="102"/>
      <c r="M204" s="102"/>
      <c r="N204" s="206"/>
      <c r="O204" s="206"/>
      <c r="P204" s="206"/>
      <c r="Q204" s="135"/>
      <c r="R204" s="135"/>
      <c r="S204" s="135"/>
      <c r="T204" s="135"/>
      <c r="U204" s="135"/>
      <c r="V204" s="134"/>
      <c r="W204" s="106"/>
      <c r="X204" s="178"/>
    </row>
    <row r="205" spans="1:24" s="41" customFormat="1" ht="21.75" customHeight="1">
      <c r="A205" s="40"/>
      <c r="B205" s="10"/>
      <c r="C205" s="58"/>
      <c r="D205" s="58"/>
      <c r="E205" s="136"/>
      <c r="F205" s="136"/>
      <c r="G205" s="136"/>
      <c r="H205" s="137"/>
      <c r="I205" s="137"/>
      <c r="J205" s="138"/>
      <c r="K205" s="139"/>
      <c r="L205" s="136"/>
      <c r="M205" s="136"/>
      <c r="N205" s="136"/>
      <c r="O205" s="136"/>
      <c r="P205" s="106"/>
      <c r="Q205" s="107"/>
      <c r="R205" s="107"/>
      <c r="S205" s="107"/>
      <c r="T205" s="107"/>
      <c r="U205" s="107"/>
      <c r="V205" s="106"/>
      <c r="W205" s="106"/>
      <c r="X205" s="178"/>
    </row>
    <row r="206" ht="15.75">
      <c r="K206" s="132"/>
    </row>
  </sheetData>
  <sheetProtection/>
  <mergeCells count="69">
    <mergeCell ref="B204:C204"/>
    <mergeCell ref="N204:P204"/>
    <mergeCell ref="D79:D80"/>
    <mergeCell ref="K8:K12"/>
    <mergeCell ref="H10:H12"/>
    <mergeCell ref="I10:J10"/>
    <mergeCell ref="D8:D12"/>
    <mergeCell ref="O11:O12"/>
    <mergeCell ref="E9:G9"/>
    <mergeCell ref="J11:J12"/>
    <mergeCell ref="L10:L12"/>
    <mergeCell ref="H9:J9"/>
    <mergeCell ref="E8:J8"/>
    <mergeCell ref="F11:F12"/>
    <mergeCell ref="E10:E12"/>
    <mergeCell ref="F10:G10"/>
    <mergeCell ref="W79:W82"/>
    <mergeCell ref="R10:R12"/>
    <mergeCell ref="S10:T10"/>
    <mergeCell ref="N10:O10"/>
    <mergeCell ref="U10:U12"/>
    <mergeCell ref="S11:S12"/>
    <mergeCell ref="T11:T12"/>
    <mergeCell ref="N11:N12"/>
    <mergeCell ref="C8:C12"/>
    <mergeCell ref="P10:P12"/>
    <mergeCell ref="W8:W12"/>
    <mergeCell ref="Q10:Q12"/>
    <mergeCell ref="L9:P9"/>
    <mergeCell ref="Q9:U9"/>
    <mergeCell ref="V8:V12"/>
    <mergeCell ref="M10:M12"/>
    <mergeCell ref="G11:G12"/>
    <mergeCell ref="I11:I12"/>
    <mergeCell ref="B79:B82"/>
    <mergeCell ref="C79:C82"/>
    <mergeCell ref="E79:E82"/>
    <mergeCell ref="F79:F82"/>
    <mergeCell ref="R3:W3"/>
    <mergeCell ref="R1:W1"/>
    <mergeCell ref="R2:W2"/>
    <mergeCell ref="L8:U8"/>
    <mergeCell ref="B6:W6"/>
    <mergeCell ref="B8:B12"/>
    <mergeCell ref="T79:T82"/>
    <mergeCell ref="U79:U82"/>
    <mergeCell ref="G79:G82"/>
    <mergeCell ref="K79:K82"/>
    <mergeCell ref="L79:L82"/>
    <mergeCell ref="M79:M82"/>
    <mergeCell ref="H79:H82"/>
    <mergeCell ref="B203:I203"/>
    <mergeCell ref="O203:W203"/>
    <mergeCell ref="Y79:Y82"/>
    <mergeCell ref="N79:N82"/>
    <mergeCell ref="O79:O82"/>
    <mergeCell ref="P79:P82"/>
    <mergeCell ref="V79:V82"/>
    <mergeCell ref="Q79:Q82"/>
    <mergeCell ref="R79:R82"/>
    <mergeCell ref="S79:S82"/>
    <mergeCell ref="X180:X205"/>
    <mergeCell ref="X1:X38"/>
    <mergeCell ref="X39:X69"/>
    <mergeCell ref="X70:X78"/>
    <mergeCell ref="X79:X87"/>
    <mergeCell ref="X88:X110"/>
    <mergeCell ref="X111:X144"/>
    <mergeCell ref="X145:X179"/>
  </mergeCells>
  <printOptions horizontalCentered="1"/>
  <pageMargins left="0.2" right="0.2" top="1.03" bottom="0.4330708661417323" header="0.35433070866141736" footer="0.2362204724409449"/>
  <pageSetup fitToHeight="8" horizontalDpi="300" verticalDpi="300" orientation="landscape" paperSize="9" scale="37" r:id="rId1"/>
  <headerFooter alignWithMargins="0">
    <oddHeader>&amp;R&amp;12Продовження додатку 3</oddHeader>
  </headerFooter>
  <rowBreaks count="1" manualBreakCount="1">
    <brk id="78" min="1"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Шуліпа Ольга Василівна</cp:lastModifiedBy>
  <cp:lastPrinted>2016-11-16T10:00:34Z</cp:lastPrinted>
  <dcterms:created xsi:type="dcterms:W3CDTF">2014-01-17T10:52:16Z</dcterms:created>
  <dcterms:modified xsi:type="dcterms:W3CDTF">2016-11-23T08:15:16Z</dcterms:modified>
  <cp:category/>
  <cp:version/>
  <cp:contentType/>
  <cp:contentStatus/>
</cp:coreProperties>
</file>