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65" windowWidth="12885" windowHeight="10320" activeTab="0"/>
  </bookViews>
  <sheets>
    <sheet name="дод.6" sheetId="1" r:id="rId1"/>
  </sheets>
  <definedNames>
    <definedName name="_xlfn.AGGREGATE" hidden="1">#NAME?</definedName>
    <definedName name="_xlnm.Print_Titles" localSheetId="0">'дод.6'!$10:$10</definedName>
    <definedName name="_xlnm.Print_Area" localSheetId="0">'дод.6'!$B$1:$H$183</definedName>
  </definedNames>
  <calcPr fullCalcOnLoad="1"/>
</workbook>
</file>

<file path=xl/sharedStrings.xml><?xml version="1.0" encoding="utf-8"?>
<sst xmlns="http://schemas.openxmlformats.org/spreadsheetml/2006/main" count="552" uniqueCount="264">
  <si>
    <t>Загальний фонд</t>
  </si>
  <si>
    <t>Спеціальний фонд</t>
  </si>
  <si>
    <t>0111</t>
  </si>
  <si>
    <t>010116</t>
  </si>
  <si>
    <t xml:space="preserve">Всього </t>
  </si>
  <si>
    <t>Разом загальний та спеціальний фонди</t>
  </si>
  <si>
    <t>1060</t>
  </si>
  <si>
    <t>150101</t>
  </si>
  <si>
    <t>0490</t>
  </si>
  <si>
    <t>180404</t>
  </si>
  <si>
    <t>0411</t>
  </si>
  <si>
    <t>Код тимчасової класифікації видатків та кредитування місцевого бюджету</t>
  </si>
  <si>
    <t>Органи місцевого самоврядування</t>
  </si>
  <si>
    <t>090412</t>
  </si>
  <si>
    <t>Інші видатки на соціальний захист населення</t>
  </si>
  <si>
    <t>1090</t>
  </si>
  <si>
    <t>091102</t>
  </si>
  <si>
    <t xml:space="preserve">Програми і заходи центрів соціальних служб для сім'ї, дітей та молоді </t>
  </si>
  <si>
    <t>1040</t>
  </si>
  <si>
    <t>Програма   захисту  населення   і    території    м.  Суми    від  надзвичайних   ситуацій  техногенного та природного характеру на 2014-2018 роки</t>
  </si>
  <si>
    <t>Соціальні програми і заходи державних органів у справах молоді</t>
  </si>
  <si>
    <t>091103</t>
  </si>
  <si>
    <t>091106</t>
  </si>
  <si>
    <t>Інші видатки</t>
  </si>
  <si>
    <t>091108</t>
  </si>
  <si>
    <t>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</si>
  <si>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100203</t>
  </si>
  <si>
    <t xml:space="preserve">Благоустрій міст, сіл, селищ </t>
  </si>
  <si>
    <t>0620</t>
  </si>
  <si>
    <t>Інші культурно-освітні заклади та заходи</t>
  </si>
  <si>
    <t>110502</t>
  </si>
  <si>
    <t>0829</t>
  </si>
  <si>
    <t>130102</t>
  </si>
  <si>
    <t>Проведення навчально-тренувальних зборів і змагань</t>
  </si>
  <si>
    <t>0810</t>
  </si>
  <si>
    <t>130106</t>
  </si>
  <si>
    <t>Проведення навчально-тренувальних зборів і змагань з неолімпійських видів спорту</t>
  </si>
  <si>
    <t>Утримання  та  навчально - тренувальна  робота дитячо-юнацьких спортивних шкіл</t>
  </si>
  <si>
    <t>130107</t>
  </si>
  <si>
    <t>130112</t>
  </si>
  <si>
    <t>130115</t>
  </si>
  <si>
    <t>Центри «Спорт для всіх» та заходи з фізичної культури</t>
  </si>
  <si>
    <t>Утримання та навчально-тренувальна робота дитячо-юнацьких спортивних шкіл (які підпорядковані громадським організаціям фізкультурно-спортивної спрямованості)</t>
  </si>
  <si>
    <t>130203</t>
  </si>
  <si>
    <t xml:space="preserve">Інші заходи у сфері електротранспорту </t>
  </si>
  <si>
    <t>0455</t>
  </si>
  <si>
    <t>170603</t>
  </si>
  <si>
    <t>Підтримка малого і середнього підприємництва</t>
  </si>
  <si>
    <t>180409</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</si>
  <si>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</si>
  <si>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180410</t>
  </si>
  <si>
    <t>Інші заходи, пов'язані з економічною діяльністю</t>
  </si>
  <si>
    <t>Заходи у сфері захисту населення і територій від надзвичайних ситуацій техногенного та природного характеу</t>
  </si>
  <si>
    <t>210106</t>
  </si>
  <si>
    <t>0220</t>
  </si>
  <si>
    <t>0540</t>
  </si>
  <si>
    <t>240900</t>
  </si>
  <si>
    <t>Цільові фонди, утворені Верховною Радою Автономної Республіки Крим, органами місцевого самоврядування і місцевими органами виконавчої влади</t>
  </si>
  <si>
    <t>0133</t>
  </si>
  <si>
    <t>250404</t>
  </si>
  <si>
    <t>Програма контролю за додержанням правил благоустрою, торгівлі та станом довкілля на території міста Суми на 2014-2016 роки</t>
  </si>
  <si>
    <t>Комплексна цільова програма реформування і розвитку житлово-комунального господарства міста Суми на 2015-2017 роки</t>
  </si>
  <si>
    <t>03 Виконавчий комітет Сумської міської ради</t>
  </si>
  <si>
    <t>10 Управління  освіти і науки Сумської міської ради</t>
  </si>
  <si>
    <t>070101</t>
  </si>
  <si>
    <t>0910</t>
  </si>
  <si>
    <t>Дошкільні заклади освіти</t>
  </si>
  <si>
    <t>070201</t>
  </si>
  <si>
    <t xml:space="preserve">Загальноосвітні школи ( в т.ч. школа - дитячий заклад, інтернат при школі), ліцеї, гімназії,  колегіуми </t>
  </si>
  <si>
    <t>0921</t>
  </si>
  <si>
    <t>070807</t>
  </si>
  <si>
    <t>0990</t>
  </si>
  <si>
    <t>Збереження природно-заповідного фонду</t>
  </si>
  <si>
    <t>0520</t>
  </si>
  <si>
    <t xml:space="preserve">14 Відділ охорони здоров’я Сумської міської ради  </t>
  </si>
  <si>
    <t>080101</t>
  </si>
  <si>
    <t>Лікарні</t>
  </si>
  <si>
    <t>080203</t>
  </si>
  <si>
    <t>Перинатальні центри, пологові будинки</t>
  </si>
  <si>
    <t>080500</t>
  </si>
  <si>
    <t>Загальні і спеціалізовані стоматологічні поліклініки</t>
  </si>
  <si>
    <t>080800</t>
  </si>
  <si>
    <t>Центри первинної медичної (медико-санітарної) допомоги</t>
  </si>
  <si>
    <t>0731</t>
  </si>
  <si>
    <t>0733</t>
  </si>
  <si>
    <t>0722</t>
  </si>
  <si>
    <t>0726</t>
  </si>
  <si>
    <t>090212</t>
  </si>
  <si>
    <t>Пільги на медичне обслуговування громадянам, які постраждали внаслідок Чорнобильської катастрофи</t>
  </si>
  <si>
    <t>1070</t>
  </si>
  <si>
    <t>090416</t>
  </si>
  <si>
    <t>Інші видатки на соціальний захист ветеранів війни та праці</t>
  </si>
  <si>
    <t>1030</t>
  </si>
  <si>
    <t>091207</t>
  </si>
  <si>
    <t>Пільги, що надаються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</si>
  <si>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091209</t>
  </si>
  <si>
    <t>Фінансова підтримка громадських організацій інвалідів і ветеранів</t>
  </si>
  <si>
    <t>170602</t>
  </si>
  <si>
    <t>Компенсаційні виплати на пільговий проїзд електротранспортом окремим категоріям громадян</t>
  </si>
  <si>
    <t>Міська цільова Програма з реалізації Конвенції ООН про права дитини на 2013-2016 роки</t>
  </si>
  <si>
    <t>20 Служба у справах дітей Сумської міської ради</t>
  </si>
  <si>
    <t>Інші програми соціального захисту дітей</t>
  </si>
  <si>
    <t>090802</t>
  </si>
  <si>
    <t>24 Відділ культури та туризму Сумської міської ради</t>
  </si>
  <si>
    <t xml:space="preserve">Філармонії, музичні колективи і ансамблі та інші мистецькі заклади та заходи </t>
  </si>
  <si>
    <t>110103</t>
  </si>
  <si>
    <t>0822</t>
  </si>
  <si>
    <t>41 Департамент інфраструктури міста Сумської міської ради</t>
  </si>
  <si>
    <t xml:space="preserve">Програм енергозбереження та енергоефективності в бюджетній сфері м. Суми на 2014-2016 роки </t>
  </si>
  <si>
    <t>100102</t>
  </si>
  <si>
    <t>Капітальний ремонт житлового фонду місцевих органів влади</t>
  </si>
  <si>
    <t>0610</t>
  </si>
  <si>
    <t>100106</t>
  </si>
  <si>
    <t>Капітальний ремонт житлового фонду об'єднань співвласників багатоквартирних будинків</t>
  </si>
  <si>
    <t>100202</t>
  </si>
  <si>
    <t>Водопровідно-каналізаційне господарство</t>
  </si>
  <si>
    <t>160101</t>
  </si>
  <si>
    <t>Землеустрій</t>
  </si>
  <si>
    <t>0421</t>
  </si>
  <si>
    <t>180107</t>
  </si>
  <si>
    <t xml:space="preserve">Фінансування енергозберігаючих заходів </t>
  </si>
  <si>
    <t>0470</t>
  </si>
  <si>
    <t>240601</t>
  </si>
  <si>
    <t>Охорона та раціональне використання природних ресурсів</t>
  </si>
  <si>
    <t>0511</t>
  </si>
  <si>
    <t>250904</t>
  </si>
  <si>
    <t>Повернення бюджетних позичок</t>
  </si>
  <si>
    <t>45 Управління майна комунальної власності Сумської міської ради</t>
  </si>
  <si>
    <t>47 Управління капітального будівництва та дорожнього господарства Сумської міської ради</t>
  </si>
  <si>
    <t xml:space="preserve">Програма молодіжного житлового кредитування м.Суми на 2011 - 2017 роки </t>
  </si>
  <si>
    <t>Капiтальнi вкладення</t>
  </si>
  <si>
    <t>250908</t>
  </si>
  <si>
    <t>250909</t>
  </si>
  <si>
    <t>250913</t>
  </si>
  <si>
    <t>Надання пільгового довгострокового кредиту громадянам на будівництво (реконструкцію) та придбання житла</t>
  </si>
  <si>
    <t xml:space="preserve">Повернення коштів, наданих для кредитування громадян на будівництво (реконструкцію) та придбання житла </t>
  </si>
  <si>
    <t>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</si>
  <si>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48 Департамент містобудування та земельних відносин Сумської міської ради</t>
  </si>
  <si>
    <t>0180</t>
  </si>
  <si>
    <t>250380</t>
  </si>
  <si>
    <t>Інші субвенції</t>
  </si>
  <si>
    <t>50 Управління «Інспекція з благоустрою міста Суми»  Сумської міської ради</t>
  </si>
  <si>
    <t>грн.</t>
  </si>
  <si>
    <t>Найменування
згідно з типовою відомчою/тимчасовою класифікацією видатків та кредитування місцевого бюджету</t>
  </si>
  <si>
    <t>Код функціональ-ної класифікації видатків та кредитування бюджету</t>
  </si>
  <si>
    <t>Цільова (комплексна) програма підтримки малого та середнього підприємництва в м.Суми на 2013-2016 роки</t>
  </si>
  <si>
    <t>Найменування міської цільової програми</t>
  </si>
  <si>
    <t>120300</t>
  </si>
  <si>
    <t>Книговидання</t>
  </si>
  <si>
    <t>0830</t>
  </si>
  <si>
    <t>150202</t>
  </si>
  <si>
    <t>0443</t>
  </si>
  <si>
    <t>Розробка схем та проектних рішень масового застосування</t>
  </si>
  <si>
    <t>200600</t>
  </si>
  <si>
    <t>Програма зайнятості населення м. Суми на період до 2017 року</t>
  </si>
  <si>
    <t xml:space="preserve">Міська програма «Відкритий інформаційний простір м. Суми» на 2016-2018 роки </t>
  </si>
  <si>
    <t xml:space="preserve">Міська програма «Автоматизація муніципальних телекомунікаційних систем на 2016- 2018 роки в м. Суми»  </t>
  </si>
  <si>
    <t>Міська програма «Місто Суми – територія добра та милосердя на 2016 – 2018 роки»</t>
  </si>
  <si>
    <t>Міська цільова програма «Соціальні служби готові прийти на допомогу на 2016-2018 роки»</t>
  </si>
  <si>
    <t xml:space="preserve">Програма «Молодь міста Суми на 2016-2018 роки» </t>
  </si>
  <si>
    <t>Програма  «Фізична культура і спорт  міста Суми на 2016 - 2018 роки»</t>
  </si>
  <si>
    <t xml:space="preserve">Міська цільова (комплексна) Програма розвитку міського пасажирського транспорту м. Суми на 2016-2018 роки </t>
  </si>
  <si>
    <t>Комплексна програма охорони навколишнього природного середовища м. Суми на 2016-2018 роки</t>
  </si>
  <si>
    <t xml:space="preserve">Міська комплексна програма «Правопорядок» на період 2016-2018 роки </t>
  </si>
  <si>
    <t>Міська програма «Автоматизація муніципальних телекомунікаційних систем на 2016- 2018 роки в м. Суми»</t>
  </si>
  <si>
    <t>090501</t>
  </si>
  <si>
    <t>Програма економічного і соціального розвитку м. Суми на  2016 рік</t>
  </si>
  <si>
    <t>170101</t>
  </si>
  <si>
    <t>Регулювання цін на послуги місцевого автотранспорту</t>
  </si>
  <si>
    <t>0451</t>
  </si>
  <si>
    <t>Регулювання цін на послуги міського електротранспорту</t>
  </si>
  <si>
    <t>0453</t>
  </si>
  <si>
    <t>170601</t>
  </si>
  <si>
    <t xml:space="preserve">Програма  організації діяльності голів  квартальних     комітетів кварталів    приватного сектора   міста  Суми  та    фінансове    забезпечення     їх  роботи  на 2016-2018 роки  </t>
  </si>
  <si>
    <t>1050</t>
  </si>
  <si>
    <t>Організація проведення громадських робіт</t>
  </si>
  <si>
    <t xml:space="preserve">Програма економічного і соціального розвитку м. Суми на 2016 рік  </t>
  </si>
  <si>
    <t xml:space="preserve">Програма економічного і соціального розвитку м. Суми на 2016 рік </t>
  </si>
  <si>
    <t>Інші освітні програми</t>
  </si>
  <si>
    <t>110201</t>
  </si>
  <si>
    <t>0824</t>
  </si>
  <si>
    <t>Бібліотеки</t>
  </si>
  <si>
    <t>110205</t>
  </si>
  <si>
    <t>0960</t>
  </si>
  <si>
    <t>Школи естетичного виховання дітей</t>
  </si>
  <si>
    <t>Міська комплексна програма «Охорона здоров’я на 2016-2020 роки» (Підпрограма  VІІ «Розвиток матеріально-технічної бази лікувально-профілактичних закладів міста на 2016-2020 роки»)</t>
  </si>
  <si>
    <t>Міська цільова комплексна Програма розвитку культури  міста Суми на 2016 - 2018 роки (Підпрограма І «Культурно-масова робота»)</t>
  </si>
  <si>
    <t>Міська цільова комплексна Програма розвитку культури  міста Суми на 2016 - 2018 роки (Підпрограма ІV «Розвиток та модернізація існуючої мережі закладів культури міста»)</t>
  </si>
  <si>
    <t>Комплексна міська програма «Освіта м. Суми на 2016-2018 роки» (Підпрограма V «Робота з обдарованою учнівською молоддю»)</t>
  </si>
  <si>
    <t>100101</t>
  </si>
  <si>
    <t>Житлово-експлуатаційне господарство</t>
  </si>
  <si>
    <t>Комплексна міська програма «Освіта м. Суми на 2016-2018 роки» (Підпрограма 10 «Матеріально-технічне забезпечення закладів»)</t>
  </si>
  <si>
    <t>070304</t>
  </si>
  <si>
    <t>0922</t>
  </si>
  <si>
    <t>Спеціалізовані загальноосвітні школи-інтернати, школи та інші заклади освіти для дітей з вадами у фізичному чи розумовому розвитку</t>
  </si>
  <si>
    <t>070401</t>
  </si>
  <si>
    <t>Позашкільні заклади освіти, заходи із позашкільної роботи з дітьми</t>
  </si>
  <si>
    <t>070806</t>
  </si>
  <si>
    <t>Інші заклади освіти</t>
  </si>
  <si>
    <t>091204</t>
  </si>
  <si>
    <t>Територіальні центри соціального обслуговування (наданих соціальних послуг)</t>
  </si>
  <si>
    <t>1020</t>
  </si>
  <si>
    <t>091212</t>
  </si>
  <si>
    <t>Обработка інформації з нарахування та виплати допомог і компенсацій</t>
  </si>
  <si>
    <t>0512</t>
  </si>
  <si>
    <t>Утилізація відходів</t>
  </si>
  <si>
    <t>Інша діяльність у сфері охорони навколишнього природного середовища</t>
  </si>
  <si>
    <t>240604</t>
  </si>
  <si>
    <t>240605</t>
  </si>
  <si>
    <t>100208</t>
  </si>
  <si>
    <t>Видатки на впровадження засобів обліку витрат та регулювання споживання води та теплової енергії</t>
  </si>
  <si>
    <t xml:space="preserve">Комплексна цільова програма реформування і розвитку житлово-комунального господарства міста Суми на 2015-2017 роки </t>
  </si>
  <si>
    <t>170103</t>
  </si>
  <si>
    <t>Інші заходи у сфері автомобільного транспорту</t>
  </si>
  <si>
    <t>250344</t>
  </si>
  <si>
    <t>Субвенція з місцевого бюджету державному бюджету на виконання програм соціально-економічного та культурного розвитку регіонів</t>
  </si>
  <si>
    <t>250903</t>
  </si>
  <si>
    <t>Надання бюджетних позичок суб'єктам підприємницької діяльності</t>
  </si>
  <si>
    <t>Програма регулювання містобудівної діяльності</t>
  </si>
  <si>
    <t>240603</t>
  </si>
  <si>
    <t>Ліквідація іншого забруднення навколишнього
природного середовища</t>
  </si>
  <si>
    <t>0513</t>
  </si>
  <si>
    <t>100302</t>
  </si>
  <si>
    <t xml:space="preserve">Комбінати комунальних підприємств, районні виробничі об'єднання та інші підприємства, установи та організації житлово-комунального господарства </t>
  </si>
  <si>
    <t>«Програма енергозбереження та енергоефективності в бюджетній сфері м. Суми на 2014-2016 роки»</t>
  </si>
  <si>
    <t>«Міська цільова Програма з військово-патріотичного виховання молоді, сприяння організації призову громадян на строкову військову службу до Збройних Сил України та військовим формуванням, розташованим на території міста Суми, у проведенні заходів з оборони та мобілізації на 2016 рік»</t>
  </si>
  <si>
    <t xml:space="preserve">15 Департамент соціального захисту населення Сумської міської ради </t>
  </si>
  <si>
    <t>150201</t>
  </si>
  <si>
    <t>75 Департамент фінансів, економіки та інвестицій Сумської міської ради</t>
  </si>
  <si>
    <t>Збереження, розвиток, реконструкція та реставрація пам'яток історії та культур</t>
  </si>
  <si>
    <t>090203</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</si>
  <si>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</si>
  <si>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Інші 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</si>
  <si>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090209</t>
  </si>
  <si>
    <t>090214</t>
  </si>
  <si>
    <t>Пільги окремим категоріям громадян з послуг зв'язку</t>
  </si>
  <si>
    <t>170102</t>
  </si>
  <si>
    <t>Компенсаційні виплати на пільговий проїзд автомобільним транспортом окремим категоріям громадян</t>
  </si>
  <si>
    <t>48 Управління архітектури та містобудування Сумської міської ради</t>
  </si>
  <si>
    <t>76 Департамент фінансів, економіки та інвестицій Сумської міської ради (в частині міжбюджетних трансфертів, резервного фонду)</t>
  </si>
  <si>
    <t>Перелік міських цільових програм, які фінансуватимуться за рахунок коштів
міського бюджету у 2016 році</t>
  </si>
  <si>
    <t>Благоустрій міст, сіл, селищ</t>
  </si>
  <si>
    <t>45 Департамент забезпечення  ресурсних платежів Сумської міської ради</t>
  </si>
  <si>
    <t>Капітальні вкладення</t>
  </si>
  <si>
    <t>091214</t>
  </si>
  <si>
    <t>Інші установи та заклади</t>
  </si>
  <si>
    <t>Міська цільова Програму з військово-патріотичного виховання молоді, сприяння організації призову громадян на строкову військову службу до Збройних Сил України та військовим формуванням, розташованим на території міста Суми, у проведенні заходів з оборони та мобілізації на 2016 рік</t>
  </si>
  <si>
    <t>Комплексна міська програма «Освіта м. Суми на 2016-2018 роки» (Підпрограма 9 «Забезпечення безпечних і комфрртних умов для дітей та учнів навчальних закладів»)</t>
  </si>
  <si>
    <t>Комплексна міська програма «Освіта      м. Суми на 2016-2018 роки» (Підпрограма 9 «Забезпечення безпечних і комфрртних умов для дітей та учнів навчальних закладів»)</t>
  </si>
  <si>
    <t>150118</t>
  </si>
  <si>
    <t>Будівництво та придбання житла для окремих категорій населення</t>
  </si>
  <si>
    <t xml:space="preserve">Міська програма «Відкритий інформаційний простір м.Суми» на 2016-2018 роки </t>
  </si>
  <si>
    <t>Комплексна цільова Програма управління та ефективного використання майна комунальної власності  та земельних ресурсів територіальної громади міста Суми на 2016-2018 роки</t>
  </si>
  <si>
    <t>170302</t>
  </si>
  <si>
    <t xml:space="preserve"> ____________  </t>
  </si>
  <si>
    <t>Компенсаційні виплати за пільговий проїзд окремих категорій громадян на залізничному транспорті</t>
  </si>
  <si>
    <t xml:space="preserve">         Додаток 6</t>
  </si>
  <si>
    <t>до рішення виконавчого комітету</t>
  </si>
  <si>
    <t>Директор департаменту фінансів, економіки та інвестицій</t>
  </si>
  <si>
    <t>С.А. Липова</t>
  </si>
  <si>
    <t>від 20.12.2016 № 657</t>
  </si>
  <si>
    <t>070501</t>
  </si>
  <si>
    <t>Підготовка робітничих кадрів закладами професійно-технічної освіти</t>
  </si>
  <si>
    <t>0930</t>
  </si>
</sst>
</file>

<file path=xl/styles.xml><?xml version="1.0" encoding="utf-8"?>
<styleSheet xmlns="http://schemas.openxmlformats.org/spreadsheetml/2006/main">
  <numFmts count="5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 #,##0;* \-#,##0;* &quot;-&quot;;@"/>
    <numFmt numFmtId="189" formatCode="* #,##0.00;* \-#,##0.00;* &quot;-&quot;??;@"/>
    <numFmt numFmtId="190" formatCode="* _-#,##0&quot;р.&quot;;* \-#,##0&quot;р.&quot;;* _-&quot;-&quot;&quot;р.&quot;;@"/>
    <numFmt numFmtId="191" formatCode="* _-#,##0.00&quot;р.&quot;;* \-#,##0.00&quot;р.&quot;;* _-&quot;-&quot;??&quot;р.&quot;;@"/>
    <numFmt numFmtId="192" formatCode="#,##0.0"/>
    <numFmt numFmtId="193" formatCode="#,##0_ ;[Red]\-#,##0\ "/>
    <numFmt numFmtId="194" formatCode="#,##0.0_ ;[Red]\-#,##0.0\ "/>
    <numFmt numFmtId="195" formatCode="0.0"/>
    <numFmt numFmtId="196" formatCode="0.0000"/>
    <numFmt numFmtId="197" formatCode="#,##0.0000"/>
    <numFmt numFmtId="198" formatCode="00000000000"/>
    <numFmt numFmtId="199" formatCode="&quot;Так&quot;;&quot;Так&quot;;&quot;Ні&quot;"/>
    <numFmt numFmtId="200" formatCode="&quot;Істина&quot;;&quot;Істина&quot;;&quot;Хибність&quot;"/>
    <numFmt numFmtId="201" formatCode="&quot;Увімк&quot;;&quot;Увімк&quot;;&quot;Вимк&quot;"/>
    <numFmt numFmtId="202" formatCode="[$-FC19]d\ mmmm\ yyyy\ &quot;г.&quot;"/>
    <numFmt numFmtId="203" formatCode="&quot;True&quot;;&quot;True&quot;;&quot;False&quot;"/>
    <numFmt numFmtId="204" formatCode="[$¥€-2]\ ###,000_);[Red]\([$€-2]\ ###,000\)"/>
    <numFmt numFmtId="205" formatCode="&quot;Да&quot;;&quot;Да&quot;;&quot;Нет&quot;"/>
    <numFmt numFmtId="206" formatCode="&quot;Истина&quot;;&quot;Истина&quot;;&quot;Ложь&quot;"/>
    <numFmt numFmtId="207" formatCode="&quot;Вкл&quot;;&quot;Вкл&quot;;&quot;Выкл&quot;"/>
    <numFmt numFmtId="208" formatCode="[$€-2]\ ###,000_);[Red]\([$€-2]\ ###,000\)"/>
    <numFmt numFmtId="209" formatCode="#,##0.000"/>
  </numFmts>
  <fonts count="53">
    <font>
      <sz val="10"/>
      <name val="Times New Roman"/>
      <family val="0"/>
    </font>
    <font>
      <b/>
      <sz val="10"/>
      <name val="Arial"/>
      <family val="0"/>
    </font>
    <font>
      <i/>
      <sz val="10"/>
      <name val="Arial"/>
      <family val="0"/>
    </font>
    <font>
      <b/>
      <i/>
      <sz val="10"/>
      <name val="Arial"/>
      <family val="0"/>
    </font>
    <font>
      <sz val="11"/>
      <color indexed="17"/>
      <name val="Calibri"/>
      <family val="2"/>
    </font>
    <font>
      <sz val="11"/>
      <color indexed="20"/>
      <name val="Calibri"/>
      <family val="2"/>
    </font>
    <font>
      <sz val="11"/>
      <color indexed="62"/>
      <name val="Calibri"/>
      <family val="2"/>
    </font>
    <font>
      <b/>
      <sz val="11"/>
      <color indexed="63"/>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1"/>
      <color indexed="52"/>
      <name val="Calibri"/>
      <family val="2"/>
    </font>
    <font>
      <b/>
      <sz val="18"/>
      <color indexed="56"/>
      <name val="Cambria"/>
      <family val="2"/>
    </font>
    <font>
      <sz val="11"/>
      <color indexed="60"/>
      <name val="Calibri"/>
      <family val="2"/>
    </font>
    <font>
      <sz val="11"/>
      <color indexed="52"/>
      <name val="Calibri"/>
      <family val="2"/>
    </font>
    <font>
      <b/>
      <sz val="10"/>
      <name val="Times New Roman"/>
      <family val="1"/>
    </font>
    <font>
      <sz val="10"/>
      <name val="Helv"/>
      <family val="0"/>
    </font>
    <font>
      <sz val="10"/>
      <name val="Arial Cyr"/>
      <family val="0"/>
    </font>
    <font>
      <u val="single"/>
      <sz val="10"/>
      <color indexed="12"/>
      <name val="Arial"/>
      <family val="2"/>
    </font>
    <font>
      <sz val="10"/>
      <name val="Courier New"/>
      <family val="3"/>
    </font>
    <font>
      <u val="single"/>
      <sz val="10"/>
      <color indexed="36"/>
      <name val="Arial"/>
      <family val="2"/>
    </font>
    <font>
      <sz val="14"/>
      <name val="Times New Roman"/>
      <family val="1"/>
    </font>
    <font>
      <sz val="12"/>
      <name val="Times New Roman"/>
      <family val="1"/>
    </font>
    <font>
      <sz val="10"/>
      <color indexed="8"/>
      <name val="Arial"/>
      <family val="2"/>
    </font>
    <font>
      <sz val="18"/>
      <name val="Times New Roman"/>
      <family val="1"/>
    </font>
    <font>
      <b/>
      <sz val="18"/>
      <name val="Times New Roman"/>
      <family val="1"/>
    </font>
    <font>
      <b/>
      <sz val="15"/>
      <color indexed="62"/>
      <name val="Calibri"/>
      <family val="2"/>
    </font>
    <font>
      <b/>
      <sz val="13"/>
      <color indexed="62"/>
      <name val="Calibri"/>
      <family val="2"/>
    </font>
    <font>
      <b/>
      <sz val="11"/>
      <color indexed="62"/>
      <name val="Calibri"/>
      <family val="2"/>
    </font>
    <font>
      <b/>
      <sz val="18"/>
      <color indexed="62"/>
      <name val="Cambria"/>
      <family val="2"/>
    </font>
    <font>
      <b/>
      <sz val="11"/>
      <color indexed="10"/>
      <name val="Calibri"/>
      <family val="2"/>
    </font>
    <font>
      <sz val="11"/>
      <color indexed="19"/>
      <name val="Calibri"/>
      <family val="2"/>
    </font>
    <font>
      <sz val="16"/>
      <name val="Times New Roman"/>
      <family val="1"/>
    </font>
    <font>
      <sz val="22"/>
      <name val="Times New Roman"/>
      <family val="1"/>
    </font>
    <font>
      <sz val="35"/>
      <name val="Times New Roman"/>
      <family val="1"/>
    </font>
    <font>
      <b/>
      <sz val="35"/>
      <color indexed="8"/>
      <name val="Times New Roman"/>
      <family val="1"/>
    </font>
    <font>
      <sz val="35"/>
      <color indexed="8"/>
      <name val="Times New Roman"/>
      <family val="1"/>
    </font>
    <font>
      <sz val="30"/>
      <name val="Times New Roman"/>
      <family val="1"/>
    </font>
    <font>
      <b/>
      <sz val="30"/>
      <name val="Times New Roman"/>
      <family val="1"/>
    </font>
    <font>
      <b/>
      <sz val="30"/>
      <color indexed="8"/>
      <name val="Times New Roman"/>
      <family val="1"/>
    </font>
    <font>
      <sz val="40"/>
      <name val="Times New Roman"/>
      <family val="1"/>
    </font>
    <font>
      <b/>
      <sz val="40"/>
      <name val="Times New Roman"/>
      <family val="1"/>
    </font>
    <font>
      <b/>
      <sz val="40"/>
      <color indexed="8"/>
      <name val="Times New Roman"/>
      <family val="1"/>
    </font>
    <font>
      <b/>
      <sz val="35"/>
      <name val="Times New Roman"/>
      <family val="1"/>
    </font>
    <font>
      <sz val="45"/>
      <name val="Times New Roman"/>
      <family val="1"/>
    </font>
    <font>
      <sz val="50"/>
      <name val="Times New Roman"/>
      <family val="1"/>
    </font>
    <font>
      <b/>
      <sz val="50"/>
      <name val="Times New Roman"/>
      <family val="1"/>
    </font>
    <font>
      <b/>
      <sz val="50"/>
      <color indexed="8"/>
      <name val="Times New Roman"/>
      <family val="1"/>
    </font>
    <font>
      <sz val="52"/>
      <name val="Times New Roman"/>
      <family val="1"/>
    </font>
    <font>
      <b/>
      <sz val="55"/>
      <name val="Times New Roman"/>
      <family val="1"/>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11"/>
        <bgColor indexed="64"/>
      </patternFill>
    </fill>
    <fill>
      <patternFill patternType="solid">
        <fgColor indexed="51"/>
        <bgColor indexed="64"/>
      </patternFill>
    </fill>
    <fill>
      <patternFill patternType="solid">
        <fgColor indexed="4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6"/>
        <bgColor indexed="64"/>
      </patternFill>
    </fill>
    <fill>
      <patternFill patternType="solid">
        <fgColor indexed="54"/>
        <bgColor indexed="64"/>
      </patternFill>
    </fill>
    <fill>
      <patternFill patternType="solid">
        <fgColor indexed="22"/>
        <bgColor indexed="64"/>
      </patternFill>
    </fill>
    <fill>
      <patternFill patternType="solid">
        <fgColor indexed="55"/>
        <bgColor indexed="64"/>
      </patternFill>
    </fill>
    <fill>
      <patternFill patternType="solid">
        <fgColor indexed="9"/>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color indexed="63"/>
      </left>
      <right>
        <color indexed="63"/>
      </right>
      <top style="thin">
        <color indexed="56"/>
      </top>
      <bottom style="double">
        <color indexed="56"/>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color indexed="63"/>
      </right>
      <top>
        <color indexed="63"/>
      </top>
      <bottom>
        <color indexed="63"/>
      </bottom>
    </border>
    <border>
      <left style="thin"/>
      <right style="thin"/>
      <top style="thin"/>
      <bottom style="thin"/>
    </border>
    <border>
      <left style="thin"/>
      <right style="thin"/>
      <top style="thin"/>
      <bottom>
        <color indexed="63"/>
      </bottom>
    </border>
    <border>
      <left>
        <color indexed="63"/>
      </left>
      <right>
        <color indexed="63"/>
      </right>
      <top>
        <color indexed="63"/>
      </top>
      <bottom style="thin"/>
    </border>
    <border>
      <left style="thin"/>
      <right style="thin"/>
      <top>
        <color indexed="63"/>
      </top>
      <bottom>
        <color indexed="63"/>
      </bottom>
    </border>
    <border>
      <left style="thin"/>
      <right style="thin"/>
      <top>
        <color indexed="63"/>
      </top>
      <bottom style="thin"/>
    </border>
  </borders>
  <cellStyleXfs count="1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7" borderId="0" applyNumberFormat="0" applyBorder="0" applyAlignment="0" applyProtection="0"/>
    <xf numFmtId="0" fontId="13" fillId="6" borderId="0" applyNumberFormat="0" applyBorder="0" applyAlignment="0" applyProtection="0"/>
    <xf numFmtId="0" fontId="13" fillId="10"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1" borderId="0" applyNumberFormat="0" applyBorder="0" applyAlignment="0" applyProtection="0"/>
    <xf numFmtId="0" fontId="13" fillId="5" borderId="0" applyNumberFormat="0" applyBorder="0" applyAlignment="0" applyProtection="0"/>
    <xf numFmtId="0" fontId="13" fillId="8" borderId="0" applyNumberFormat="0" applyBorder="0" applyAlignment="0" applyProtection="0"/>
    <xf numFmtId="0" fontId="13" fillId="12" borderId="0" applyNumberFormat="0" applyBorder="0" applyAlignment="0" applyProtection="0"/>
    <xf numFmtId="0" fontId="13" fillId="6" borderId="0" applyNumberFormat="0" applyBorder="0" applyAlignment="0" applyProtection="0"/>
    <xf numFmtId="0" fontId="13" fillId="9" borderId="0" applyNumberFormat="0" applyBorder="0" applyAlignment="0" applyProtection="0"/>
    <xf numFmtId="0" fontId="13" fillId="13" borderId="0" applyNumberFormat="0" applyBorder="0" applyAlignment="0" applyProtection="0"/>
    <xf numFmtId="0" fontId="13" fillId="3" borderId="0" applyNumberFormat="0" applyBorder="0" applyAlignment="0" applyProtection="0"/>
    <xf numFmtId="0" fontId="13" fillId="6" borderId="0" applyNumberFormat="0" applyBorder="0" applyAlignment="0" applyProtection="0"/>
    <xf numFmtId="0" fontId="13" fillId="10" borderId="0" applyNumberFormat="0" applyBorder="0" applyAlignment="0" applyProtection="0"/>
    <xf numFmtId="0" fontId="12" fillId="14" borderId="0" applyNumberFormat="0" applyBorder="0" applyAlignment="0" applyProtection="0"/>
    <xf numFmtId="0" fontId="12" fillId="9" borderId="0" applyNumberFormat="0" applyBorder="0" applyAlignment="0" applyProtection="0"/>
    <xf numFmtId="0" fontId="12" fillId="11"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6" borderId="0" applyNumberFormat="0" applyBorder="0" applyAlignment="0" applyProtection="0"/>
    <xf numFmtId="0" fontId="12" fillId="18" borderId="0" applyNumberFormat="0" applyBorder="0" applyAlignment="0" applyProtection="0"/>
    <xf numFmtId="0" fontId="12" fillId="12" borderId="0" applyNumberFormat="0" applyBorder="0" applyAlignment="0" applyProtection="0"/>
    <xf numFmtId="0" fontId="12" fillId="3" borderId="0" applyNumberFormat="0" applyBorder="0" applyAlignment="0" applyProtection="0"/>
    <xf numFmtId="0" fontId="12" fillId="6" borderId="0" applyNumberFormat="0" applyBorder="0" applyAlignment="0" applyProtection="0"/>
    <xf numFmtId="0" fontId="12" fillId="9" borderId="0" applyNumberFormat="0" applyBorder="0" applyAlignment="0" applyProtection="0"/>
    <xf numFmtId="0" fontId="20" fillId="0" borderId="0">
      <alignment/>
      <protection/>
    </xf>
    <xf numFmtId="0" fontId="12" fillId="19" borderId="0" applyNumberFormat="0" applyBorder="0" applyAlignment="0" applyProtection="0"/>
    <xf numFmtId="0" fontId="12" fillId="20" borderId="0" applyNumberFormat="0" applyBorder="0" applyAlignment="0" applyProtection="0"/>
    <xf numFmtId="0" fontId="12" fillId="21"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8" borderId="0" applyNumberFormat="0" applyBorder="0" applyAlignment="0" applyProtection="0"/>
    <xf numFmtId="0" fontId="12" fillId="22" borderId="0" applyNumberFormat="0" applyBorder="0" applyAlignment="0" applyProtection="0"/>
    <xf numFmtId="0" fontId="12" fillId="18" borderId="0" applyNumberFormat="0" applyBorder="0" applyAlignment="0" applyProtection="0"/>
    <xf numFmtId="0" fontId="12" fillId="12" borderId="0" applyNumberFormat="0" applyBorder="0" applyAlignment="0" applyProtection="0"/>
    <xf numFmtId="0" fontId="12" fillId="23" borderId="0" applyNumberFormat="0" applyBorder="0" applyAlignment="0" applyProtection="0"/>
    <xf numFmtId="0" fontId="12" fillId="16" borderId="0" applyNumberFormat="0" applyBorder="0" applyAlignment="0" applyProtection="0"/>
    <xf numFmtId="0" fontId="12" fillId="20" borderId="0" applyNumberFormat="0" applyBorder="0" applyAlignment="0" applyProtection="0"/>
    <xf numFmtId="0" fontId="6" fillId="13" borderId="1" applyNumberFormat="0" applyAlignment="0" applyProtection="0"/>
    <xf numFmtId="0" fontId="6" fillId="7" borderId="1" applyNumberFormat="0" applyAlignment="0" applyProtection="0"/>
    <xf numFmtId="0" fontId="7" fillId="24" borderId="2" applyNumberFormat="0" applyAlignment="0" applyProtection="0"/>
    <xf numFmtId="0" fontId="14" fillId="24" borderId="1" applyNumberFormat="0" applyAlignment="0" applyProtection="0"/>
    <xf numFmtId="0" fontId="21" fillId="0" borderId="0" applyNumberFormat="0" applyFill="0" applyBorder="0" applyAlignment="0" applyProtection="0"/>
    <xf numFmtId="189" fontId="1" fillId="0" borderId="0" applyFont="0" applyFill="0" applyBorder="0" applyAlignment="0" applyProtection="0"/>
    <xf numFmtId="188" fontId="1" fillId="0" borderId="0" applyFont="0" applyFill="0" applyBorder="0" applyAlignment="0" applyProtection="0"/>
    <xf numFmtId="0" fontId="4" fillId="6"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0" fillId="0" borderId="0">
      <alignment/>
      <protection/>
    </xf>
    <xf numFmtId="0" fontId="22" fillId="0" borderId="0">
      <alignment/>
      <protection/>
    </xf>
    <xf numFmtId="0" fontId="20" fillId="0" borderId="0">
      <alignment/>
      <protection/>
    </xf>
    <xf numFmtId="0" fontId="20"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6" fillId="0" borderId="0">
      <alignment vertical="top"/>
      <protection/>
    </xf>
    <xf numFmtId="0" fontId="8" fillId="0" borderId="6" applyNumberFormat="0" applyFill="0" applyAlignment="0" applyProtection="0"/>
    <xf numFmtId="0" fontId="11" fillId="0" borderId="7" applyNumberFormat="0" applyFill="0" applyAlignment="0" applyProtection="0"/>
    <xf numFmtId="0" fontId="9" fillId="25" borderId="8" applyNumberFormat="0" applyAlignment="0" applyProtection="0"/>
    <xf numFmtId="0" fontId="9" fillId="25" borderId="8" applyNumberFormat="0" applyAlignment="0" applyProtection="0"/>
    <xf numFmtId="0" fontId="32" fillId="0" borderId="0" applyNumberFormat="0" applyFill="0" applyBorder="0" applyAlignment="0" applyProtection="0"/>
    <xf numFmtId="0" fontId="15" fillId="0" borderId="0" applyNumberFormat="0" applyFill="0" applyBorder="0" applyAlignment="0" applyProtection="0"/>
    <xf numFmtId="0" fontId="16" fillId="13" borderId="0" applyNumberFormat="0" applyBorder="0" applyAlignment="0" applyProtection="0"/>
    <xf numFmtId="0" fontId="33" fillId="26" borderId="1" applyNumberFormat="0" applyAlignment="0" applyProtection="0"/>
    <xf numFmtId="0" fontId="20" fillId="0" borderId="0">
      <alignment/>
      <protection/>
    </xf>
    <xf numFmtId="0" fontId="23" fillId="0" borderId="0" applyNumberFormat="0" applyFill="0" applyBorder="0" applyAlignment="0" applyProtection="0"/>
    <xf numFmtId="0" fontId="11" fillId="0" borderId="9" applyNumberFormat="0" applyFill="0" applyAlignment="0" applyProtection="0"/>
    <xf numFmtId="0" fontId="5" fillId="3" borderId="0" applyNumberFormat="0" applyBorder="0" applyAlignment="0" applyProtection="0"/>
    <xf numFmtId="0" fontId="5" fillId="5" borderId="0" applyNumberFormat="0" applyBorder="0" applyAlignment="0" applyProtection="0"/>
    <xf numFmtId="0" fontId="10" fillId="0" borderId="0" applyNumberFormat="0" applyFill="0" applyBorder="0" applyAlignment="0" applyProtection="0"/>
    <xf numFmtId="0" fontId="13" fillId="10" borderId="10" applyNumberFormat="0" applyFont="0" applyAlignment="0" applyProtection="0"/>
    <xf numFmtId="0" fontId="0" fillId="10" borderId="10" applyNumberFormat="0" applyFont="0" applyAlignment="0" applyProtection="0"/>
    <xf numFmtId="191" fontId="1" fillId="0" borderId="0" applyFont="0" applyFill="0" applyBorder="0" applyAlignment="0" applyProtection="0"/>
    <xf numFmtId="0" fontId="7" fillId="26" borderId="2" applyNumberFormat="0" applyAlignment="0" applyProtection="0"/>
    <xf numFmtId="0" fontId="17" fillId="0" borderId="11" applyNumberFormat="0" applyFill="0" applyAlignment="0" applyProtection="0"/>
    <xf numFmtId="0" fontId="34" fillId="13" borderId="0" applyNumberFormat="0" applyBorder="0" applyAlignment="0" applyProtection="0"/>
    <xf numFmtId="0" fontId="19" fillId="0" borderId="0">
      <alignment/>
      <protection/>
    </xf>
    <xf numFmtId="0" fontId="8" fillId="0" borderId="0" applyNumberFormat="0" applyFill="0" applyBorder="0" applyAlignment="0" applyProtection="0"/>
    <xf numFmtId="0" fontId="10" fillId="0" borderId="0" applyNumberFormat="0" applyFill="0" applyBorder="0" applyAlignment="0" applyProtection="0"/>
    <xf numFmtId="0" fontId="8" fillId="0" borderId="0" applyNumberFormat="0" applyFill="0" applyBorder="0" applyAlignment="0" applyProtection="0"/>
    <xf numFmtId="190" fontId="1" fillId="0" borderId="0" applyFont="0" applyFill="0" applyBorder="0" applyAlignment="0" applyProtection="0"/>
    <xf numFmtId="9" fontId="1" fillId="0" borderId="0" applyFont="0" applyFill="0" applyBorder="0" applyAlignment="0" applyProtection="0"/>
    <xf numFmtId="0" fontId="4" fillId="4" borderId="0" applyNumberFormat="0" applyBorder="0" applyAlignment="0" applyProtection="0"/>
  </cellStyleXfs>
  <cellXfs count="145">
    <xf numFmtId="0" fontId="0" fillId="0" borderId="0" xfId="0" applyAlignment="1">
      <alignment/>
    </xf>
    <xf numFmtId="0" fontId="0" fillId="0" borderId="0" xfId="0" applyNumberFormat="1" applyFont="1" applyFill="1" applyAlignment="1" applyProtection="1">
      <alignment/>
      <protection/>
    </xf>
    <xf numFmtId="0" fontId="0" fillId="0" borderId="0" xfId="0" applyFont="1" applyFill="1" applyAlignment="1">
      <alignment/>
    </xf>
    <xf numFmtId="0" fontId="0" fillId="0" borderId="0" xfId="0" applyNumberFormat="1" applyFont="1" applyFill="1" applyAlignment="1" applyProtection="1">
      <alignment/>
      <protection/>
    </xf>
    <xf numFmtId="0" fontId="0" fillId="0" borderId="0" xfId="0" applyNumberFormat="1" applyFont="1" applyFill="1" applyAlignment="1" applyProtection="1">
      <alignment vertical="center"/>
      <protection/>
    </xf>
    <xf numFmtId="0" fontId="0" fillId="0" borderId="0" xfId="0" applyFont="1" applyFill="1" applyAlignment="1">
      <alignment vertical="center"/>
    </xf>
    <xf numFmtId="0" fontId="25" fillId="0" borderId="0" xfId="0" applyNumberFormat="1" applyFont="1" applyFill="1" applyAlignment="1" applyProtection="1">
      <alignment/>
      <protection/>
    </xf>
    <xf numFmtId="0" fontId="25" fillId="0" borderId="0" xfId="0" applyFont="1" applyFill="1" applyAlignment="1">
      <alignment/>
    </xf>
    <xf numFmtId="0" fontId="0" fillId="0" borderId="0" xfId="0" applyNumberFormat="1" applyFont="1" applyFill="1" applyBorder="1" applyAlignment="1" applyProtection="1">
      <alignment/>
      <protection/>
    </xf>
    <xf numFmtId="0" fontId="18" fillId="0" borderId="0" xfId="0" applyNumberFormat="1" applyFont="1" applyFill="1" applyAlignment="1" applyProtection="1">
      <alignment/>
      <protection/>
    </xf>
    <xf numFmtId="0" fontId="18" fillId="0" borderId="0" xfId="0" applyFont="1" applyFill="1" applyAlignment="1">
      <alignment/>
    </xf>
    <xf numFmtId="0" fontId="27" fillId="0" borderId="0" xfId="0" applyFont="1" applyFill="1" applyAlignment="1">
      <alignment vertical="center"/>
    </xf>
    <xf numFmtId="0" fontId="27" fillId="0" borderId="0" xfId="0" applyFont="1" applyFill="1" applyAlignment="1">
      <alignment vertical="center" wrapText="1"/>
    </xf>
    <xf numFmtId="0" fontId="0" fillId="0" borderId="0" xfId="0" applyFont="1" applyFill="1" applyAlignment="1">
      <alignment/>
    </xf>
    <xf numFmtId="0" fontId="35" fillId="0" borderId="0" xfId="0" applyFont="1" applyFill="1" applyAlignment="1">
      <alignment/>
    </xf>
    <xf numFmtId="0" fontId="27" fillId="0" borderId="0" xfId="0" applyNumberFormat="1" applyFont="1" applyFill="1" applyAlignment="1" applyProtection="1">
      <alignment/>
      <protection/>
    </xf>
    <xf numFmtId="3" fontId="27" fillId="0" borderId="0" xfId="0" applyNumberFormat="1" applyFont="1" applyFill="1" applyBorder="1" applyAlignment="1">
      <alignment horizontal="center" vertical="center" wrapText="1"/>
    </xf>
    <xf numFmtId="0" fontId="27" fillId="0" borderId="0" xfId="0" applyFont="1" applyFill="1" applyAlignment="1">
      <alignment/>
    </xf>
    <xf numFmtId="4" fontId="27" fillId="0" borderId="0" xfId="0" applyNumberFormat="1" applyFont="1" applyFill="1" applyAlignment="1">
      <alignment/>
    </xf>
    <xf numFmtId="3" fontId="28" fillId="0" borderId="0" xfId="0" applyNumberFormat="1" applyFont="1" applyFill="1" applyBorder="1" applyAlignment="1">
      <alignment horizontal="center" vertical="center" wrapText="1"/>
    </xf>
    <xf numFmtId="0" fontId="27" fillId="0" borderId="0" xfId="0" applyNumberFormat="1" applyFont="1" applyFill="1" applyAlignment="1" applyProtection="1">
      <alignment/>
      <protection/>
    </xf>
    <xf numFmtId="3" fontId="28" fillId="0" borderId="0" xfId="0" applyNumberFormat="1" applyFont="1" applyFill="1" applyBorder="1" applyAlignment="1">
      <alignment horizontal="center" vertical="center" wrapText="1"/>
    </xf>
    <xf numFmtId="3" fontId="36" fillId="0" borderId="0" xfId="0" applyNumberFormat="1" applyFont="1" applyFill="1" applyBorder="1" applyAlignment="1">
      <alignment wrapText="1"/>
    </xf>
    <xf numFmtId="0" fontId="27" fillId="0" borderId="0" xfId="0" applyNumberFormat="1" applyFont="1" applyFill="1" applyAlignment="1" applyProtection="1">
      <alignment horizontal="center"/>
      <protection/>
    </xf>
    <xf numFmtId="0" fontId="27" fillId="0" borderId="0" xfId="0" applyFont="1" applyFill="1" applyAlignment="1">
      <alignment/>
    </xf>
    <xf numFmtId="0" fontId="24" fillId="0" borderId="12" xfId="0" applyFont="1" applyFill="1" applyBorder="1" applyAlignment="1">
      <alignment vertical="center" textRotation="180"/>
    </xf>
    <xf numFmtId="4" fontId="38" fillId="0" borderId="13" xfId="95" applyNumberFormat="1" applyFont="1" applyFill="1" applyBorder="1" applyAlignment="1">
      <alignment vertical="center"/>
      <protection/>
    </xf>
    <xf numFmtId="4" fontId="39" fillId="0" borderId="13" xfId="95" applyNumberFormat="1" applyFont="1" applyFill="1" applyBorder="1" applyAlignment="1">
      <alignment vertical="center"/>
      <protection/>
    </xf>
    <xf numFmtId="4" fontId="37" fillId="0" borderId="13" xfId="95" applyNumberFormat="1" applyFont="1" applyFill="1" applyBorder="1" applyAlignment="1">
      <alignment vertical="center"/>
      <protection/>
    </xf>
    <xf numFmtId="4" fontId="37" fillId="0" borderId="13" xfId="95" applyNumberFormat="1" applyFont="1" applyFill="1" applyBorder="1" applyAlignment="1">
      <alignment vertical="center"/>
      <protection/>
    </xf>
    <xf numFmtId="4" fontId="39" fillId="0" borderId="13" xfId="95" applyNumberFormat="1" applyFont="1" applyFill="1" applyBorder="1" applyAlignment="1">
      <alignment vertical="center"/>
      <protection/>
    </xf>
    <xf numFmtId="4" fontId="39" fillId="0" borderId="14" xfId="95" applyNumberFormat="1" applyFont="1" applyFill="1" applyBorder="1" applyAlignment="1">
      <alignment vertical="center"/>
      <protection/>
    </xf>
    <xf numFmtId="4" fontId="39" fillId="0" borderId="14" xfId="95" applyNumberFormat="1" applyFont="1" applyFill="1" applyBorder="1" applyAlignment="1">
      <alignment vertical="center"/>
      <protection/>
    </xf>
    <xf numFmtId="4" fontId="38" fillId="0" borderId="14" xfId="95" applyNumberFormat="1" applyFont="1" applyFill="1" applyBorder="1" applyAlignment="1">
      <alignment vertical="center"/>
      <protection/>
    </xf>
    <xf numFmtId="4" fontId="37" fillId="0" borderId="14" xfId="95" applyNumberFormat="1" applyFont="1" applyFill="1" applyBorder="1" applyAlignment="1">
      <alignment vertical="center"/>
      <protection/>
    </xf>
    <xf numFmtId="0" fontId="40" fillId="0" borderId="0" xfId="0" applyNumberFormat="1" applyFont="1" applyFill="1" applyAlignment="1" applyProtection="1">
      <alignment vertical="top"/>
      <protection/>
    </xf>
    <xf numFmtId="0" fontId="40" fillId="0" borderId="0" xfId="0" applyNumberFormat="1" applyFont="1" applyFill="1" applyAlignment="1" applyProtection="1">
      <alignment horizontal="left" vertical="top"/>
      <protection/>
    </xf>
    <xf numFmtId="0" fontId="40" fillId="0" borderId="0" xfId="0" applyFont="1" applyFill="1" applyAlignment="1">
      <alignment vertical="center"/>
    </xf>
    <xf numFmtId="0" fontId="40" fillId="0" borderId="15" xfId="0" applyFont="1" applyFill="1" applyBorder="1" applyAlignment="1">
      <alignment horizontal="center"/>
    </xf>
    <xf numFmtId="0" fontId="40" fillId="0" borderId="15" xfId="0" applyFont="1" applyFill="1" applyBorder="1" applyAlignment="1">
      <alignment horizontal="left"/>
    </xf>
    <xf numFmtId="0" fontId="40" fillId="0" borderId="0" xfId="0" applyFont="1" applyFill="1" applyBorder="1" applyAlignment="1">
      <alignment horizontal="center"/>
    </xf>
    <xf numFmtId="0" fontId="40" fillId="0" borderId="0" xfId="0" applyFont="1" applyFill="1" applyBorder="1" applyAlignment="1">
      <alignment vertical="center"/>
    </xf>
    <xf numFmtId="0" fontId="41" fillId="0" borderId="0" xfId="0" applyNumberFormat="1" applyFont="1" applyFill="1" applyBorder="1" applyAlignment="1" applyProtection="1">
      <alignment vertical="center"/>
      <protection/>
    </xf>
    <xf numFmtId="49" fontId="40" fillId="0" borderId="13" xfId="0" applyNumberFormat="1" applyFont="1" applyFill="1" applyBorder="1" applyAlignment="1">
      <alignment horizontal="center" vertical="center" wrapText="1"/>
    </xf>
    <xf numFmtId="0" fontId="40" fillId="0" borderId="13" xfId="0" applyFont="1" applyFill="1" applyBorder="1" applyAlignment="1">
      <alignment horizontal="center" vertical="center" wrapText="1"/>
    </xf>
    <xf numFmtId="0" fontId="40" fillId="0" borderId="0" xfId="0" applyFont="1" applyFill="1" applyBorder="1" applyAlignment="1">
      <alignment horizontal="center" vertical="center" wrapText="1"/>
    </xf>
    <xf numFmtId="49" fontId="40" fillId="0" borderId="0" xfId="0" applyNumberFormat="1" applyFont="1" applyFill="1" applyBorder="1" applyAlignment="1">
      <alignment horizontal="center" vertical="center" wrapText="1"/>
    </xf>
    <xf numFmtId="0" fontId="41" fillId="0" borderId="0" xfId="0" applyFont="1" applyFill="1" applyBorder="1" applyAlignment="1">
      <alignment horizontal="left" vertical="center" wrapText="1"/>
    </xf>
    <xf numFmtId="192" fontId="40" fillId="0" borderId="0" xfId="0" applyNumberFormat="1" applyFont="1" applyFill="1" applyBorder="1" applyAlignment="1">
      <alignment vertical="justify"/>
    </xf>
    <xf numFmtId="4" fontId="42" fillId="0" borderId="0" xfId="0" applyNumberFormat="1" applyFont="1" applyFill="1" applyBorder="1" applyAlignment="1">
      <alignment vertical="center"/>
    </xf>
    <xf numFmtId="3" fontId="41" fillId="0" borderId="0" xfId="0" applyNumberFormat="1" applyFont="1" applyFill="1" applyBorder="1" applyAlignment="1">
      <alignment horizontal="center" vertical="center" wrapText="1"/>
    </xf>
    <xf numFmtId="0" fontId="40" fillId="0" borderId="0" xfId="0" applyFont="1" applyFill="1" applyBorder="1" applyAlignment="1">
      <alignment horizontal="left" wrapText="1"/>
    </xf>
    <xf numFmtId="0" fontId="40" fillId="0" borderId="0" xfId="0" applyFont="1" applyFill="1" applyAlignment="1">
      <alignment wrapText="1"/>
    </xf>
    <xf numFmtId="0" fontId="40" fillId="0" borderId="0" xfId="0" applyNumberFormat="1" applyFont="1" applyFill="1" applyBorder="1" applyAlignment="1" applyProtection="1">
      <alignment/>
      <protection/>
    </xf>
    <xf numFmtId="0" fontId="40" fillId="0" borderId="0" xfId="0" applyNumberFormat="1" applyFont="1" applyFill="1" applyAlignment="1" applyProtection="1">
      <alignment horizontal="left"/>
      <protection/>
    </xf>
    <xf numFmtId="0" fontId="40" fillId="0" borderId="0" xfId="0" applyNumberFormat="1" applyFont="1" applyFill="1" applyAlignment="1" applyProtection="1">
      <alignment/>
      <protection/>
    </xf>
    <xf numFmtId="0" fontId="40" fillId="0" borderId="0" xfId="0" applyNumberFormat="1" applyFont="1" applyFill="1" applyAlignment="1" applyProtection="1">
      <alignment vertical="center"/>
      <protection/>
    </xf>
    <xf numFmtId="0" fontId="43" fillId="0" borderId="0" xfId="0" applyFont="1" applyFill="1" applyBorder="1" applyAlignment="1">
      <alignment horizontal="center" vertical="center" wrapText="1"/>
    </xf>
    <xf numFmtId="49" fontId="43" fillId="0" borderId="0" xfId="0" applyNumberFormat="1" applyFont="1" applyFill="1" applyBorder="1" applyAlignment="1">
      <alignment horizontal="center" vertical="center" wrapText="1"/>
    </xf>
    <xf numFmtId="0" fontId="44" fillId="0" borderId="0" xfId="0" applyFont="1" applyFill="1" applyBorder="1" applyAlignment="1">
      <alignment horizontal="left" vertical="center" wrapText="1"/>
    </xf>
    <xf numFmtId="192" fontId="43" fillId="0" borderId="0" xfId="0" applyNumberFormat="1" applyFont="1" applyFill="1" applyBorder="1" applyAlignment="1">
      <alignment vertical="justify"/>
    </xf>
    <xf numFmtId="4" fontId="45" fillId="0" borderId="0" xfId="0" applyNumberFormat="1" applyFont="1" applyFill="1" applyBorder="1" applyAlignment="1">
      <alignment vertical="center"/>
    </xf>
    <xf numFmtId="0" fontId="37" fillId="0" borderId="15" xfId="0" applyNumberFormat="1" applyFont="1" applyFill="1" applyBorder="1" applyAlignment="1" applyProtection="1">
      <alignment horizontal="center" vertical="center"/>
      <protection/>
    </xf>
    <xf numFmtId="0" fontId="37" fillId="0" borderId="13" xfId="0" applyFont="1" applyFill="1" applyBorder="1" applyAlignment="1">
      <alignment vertical="center" wrapText="1"/>
    </xf>
    <xf numFmtId="49" fontId="37" fillId="0" borderId="14" xfId="0" applyNumberFormat="1" applyFont="1" applyFill="1" applyBorder="1" applyAlignment="1">
      <alignment horizontal="center" vertical="center" wrapText="1"/>
    </xf>
    <xf numFmtId="0" fontId="37" fillId="0" borderId="14" xfId="0" applyFont="1" applyFill="1" applyBorder="1" applyAlignment="1">
      <alignment horizontal="left" vertical="center" wrapText="1"/>
    </xf>
    <xf numFmtId="49" fontId="37" fillId="0" borderId="13" xfId="0" applyNumberFormat="1" applyFont="1" applyFill="1" applyBorder="1" applyAlignment="1">
      <alignment horizontal="center" vertical="center" wrapText="1"/>
    </xf>
    <xf numFmtId="0" fontId="37" fillId="0" borderId="13" xfId="0" applyFont="1" applyFill="1" applyBorder="1" applyAlignment="1">
      <alignment horizontal="left" vertical="center" wrapText="1"/>
    </xf>
    <xf numFmtId="49" fontId="37" fillId="0" borderId="16" xfId="0" applyNumberFormat="1" applyFont="1" applyFill="1" applyBorder="1" applyAlignment="1">
      <alignment horizontal="center" vertical="center" wrapText="1"/>
    </xf>
    <xf numFmtId="0" fontId="37" fillId="0" borderId="16" xfId="0" applyFont="1" applyFill="1" applyBorder="1" applyAlignment="1">
      <alignment horizontal="left" vertical="center" wrapText="1"/>
    </xf>
    <xf numFmtId="0" fontId="37" fillId="0" borderId="17" xfId="0" applyFont="1" applyFill="1" applyBorder="1" applyAlignment="1">
      <alignment vertical="center" wrapText="1"/>
    </xf>
    <xf numFmtId="4" fontId="37" fillId="0" borderId="13" xfId="0" applyNumberFormat="1" applyFont="1" applyFill="1" applyBorder="1" applyAlignment="1">
      <alignment vertical="center" wrapText="1"/>
    </xf>
    <xf numFmtId="49" fontId="37" fillId="0" borderId="17" xfId="0" applyNumberFormat="1" applyFont="1" applyFill="1" applyBorder="1" applyAlignment="1">
      <alignment horizontal="center" vertical="center" wrapText="1"/>
    </xf>
    <xf numFmtId="0" fontId="37" fillId="0" borderId="17" xfId="0" applyFont="1" applyFill="1" applyBorder="1" applyAlignment="1">
      <alignment horizontal="left" vertical="center" wrapText="1"/>
    </xf>
    <xf numFmtId="0" fontId="37" fillId="0" borderId="14" xfId="0" applyFont="1" applyFill="1" applyBorder="1" applyAlignment="1">
      <alignment vertical="center" wrapText="1"/>
    </xf>
    <xf numFmtId="0" fontId="46" fillId="0" borderId="13" xfId="0" applyFont="1" applyFill="1" applyBorder="1" applyAlignment="1">
      <alignment horizontal="left" vertical="center" wrapText="1"/>
    </xf>
    <xf numFmtId="49" fontId="37" fillId="0" borderId="13" xfId="0" applyNumberFormat="1" applyFont="1" applyFill="1" applyBorder="1" applyAlignment="1">
      <alignment horizontal="center" vertical="center"/>
    </xf>
    <xf numFmtId="49" fontId="37" fillId="0" borderId="14" xfId="0" applyNumberFormat="1" applyFont="1" applyFill="1" applyBorder="1" applyAlignment="1">
      <alignment horizontal="center" vertical="center"/>
    </xf>
    <xf numFmtId="49" fontId="37" fillId="0" borderId="17" xfId="0" applyNumberFormat="1" applyFont="1" applyFill="1" applyBorder="1" applyAlignment="1">
      <alignment horizontal="center" vertical="center"/>
    </xf>
    <xf numFmtId="0" fontId="46" fillId="0" borderId="17" xfId="0" applyFont="1" applyFill="1" applyBorder="1" applyAlignment="1">
      <alignment horizontal="left" vertical="center" wrapText="1"/>
    </xf>
    <xf numFmtId="0" fontId="37" fillId="0" borderId="13" xfId="0" applyFont="1" applyFill="1" applyBorder="1" applyAlignment="1">
      <alignment horizontal="center" vertical="center" wrapText="1"/>
    </xf>
    <xf numFmtId="0" fontId="37" fillId="0" borderId="14" xfId="0" applyFont="1" applyFill="1" applyBorder="1" applyAlignment="1">
      <alignment horizontal="center" vertical="center" wrapText="1"/>
    </xf>
    <xf numFmtId="0" fontId="37" fillId="0" borderId="13" xfId="0" applyFont="1" applyFill="1" applyBorder="1" applyAlignment="1">
      <alignment horizontal="left" vertical="center" wrapText="1"/>
    </xf>
    <xf numFmtId="49" fontId="37" fillId="0" borderId="13" xfId="0" applyNumberFormat="1" applyFont="1" applyFill="1" applyBorder="1" applyAlignment="1">
      <alignment horizontal="left" vertical="center" wrapText="1"/>
    </xf>
    <xf numFmtId="49" fontId="37" fillId="0" borderId="17" xfId="0" applyNumberFormat="1" applyFont="1" applyFill="1" applyBorder="1" applyAlignment="1">
      <alignment horizontal="left" vertical="center" wrapText="1"/>
    </xf>
    <xf numFmtId="49" fontId="46" fillId="0" borderId="13" xfId="0" applyNumberFormat="1" applyFont="1" applyFill="1" applyBorder="1" applyAlignment="1">
      <alignment horizontal="center" vertical="center" wrapText="1"/>
    </xf>
    <xf numFmtId="0" fontId="46" fillId="0" borderId="13" xfId="0" applyFont="1" applyFill="1" applyBorder="1" applyAlignment="1">
      <alignment vertical="center" wrapText="1"/>
    </xf>
    <xf numFmtId="4" fontId="37" fillId="0" borderId="13" xfId="0" applyNumberFormat="1" applyFont="1" applyFill="1" applyBorder="1" applyAlignment="1">
      <alignment horizontal="left" vertical="center" wrapText="1"/>
    </xf>
    <xf numFmtId="4" fontId="37" fillId="0" borderId="13" xfId="0" applyNumberFormat="1" applyFont="1" applyFill="1" applyBorder="1" applyAlignment="1">
      <alignment horizontal="left" vertical="center" wrapText="1"/>
    </xf>
    <xf numFmtId="49" fontId="37" fillId="0" borderId="14" xfId="0" applyNumberFormat="1" applyFont="1" applyFill="1" applyBorder="1" applyAlignment="1">
      <alignment horizontal="left" vertical="center" wrapText="1"/>
    </xf>
    <xf numFmtId="4" fontId="46" fillId="0" borderId="13" xfId="0" applyNumberFormat="1" applyFont="1" applyFill="1" applyBorder="1" applyAlignment="1">
      <alignment horizontal="left" vertical="center" wrapText="1"/>
    </xf>
    <xf numFmtId="192" fontId="46" fillId="0" borderId="13" xfId="95" applyNumberFormat="1" applyFont="1" applyFill="1" applyBorder="1" applyAlignment="1">
      <alignment vertical="center"/>
      <protection/>
    </xf>
    <xf numFmtId="0" fontId="46" fillId="0" borderId="13" xfId="0" applyNumberFormat="1" applyFont="1" applyFill="1" applyBorder="1" applyAlignment="1" applyProtection="1">
      <alignment horizontal="center" vertical="center" wrapText="1"/>
      <protection/>
    </xf>
    <xf numFmtId="0" fontId="46" fillId="0" borderId="13" xfId="0" applyFont="1" applyFill="1" applyBorder="1" applyAlignment="1">
      <alignment horizontal="center" vertical="center" wrapText="1"/>
    </xf>
    <xf numFmtId="0" fontId="47" fillId="0" borderId="0" xfId="0" applyFont="1" applyFill="1" applyAlignment="1">
      <alignment vertical="center"/>
    </xf>
    <xf numFmtId="0" fontId="43" fillId="0" borderId="0" xfId="0" applyFont="1" applyFill="1" applyAlignment="1">
      <alignment horizontal="center" vertical="center" textRotation="180"/>
    </xf>
    <xf numFmtId="0" fontId="43" fillId="0" borderId="0" xfId="0" applyFont="1" applyFill="1" applyBorder="1" applyAlignment="1" applyProtection="1">
      <alignment horizontal="center" vertical="center" textRotation="180"/>
      <protection locked="0"/>
    </xf>
    <xf numFmtId="0" fontId="43" fillId="0" borderId="0" xfId="0" applyFont="1" applyFill="1" applyAlignment="1" applyProtection="1">
      <alignment horizontal="center" vertical="center" textRotation="180"/>
      <protection locked="0"/>
    </xf>
    <xf numFmtId="3" fontId="48" fillId="0" borderId="0" xfId="0" applyNumberFormat="1" applyFont="1" applyFill="1" applyBorder="1" applyAlignment="1">
      <alignment horizontal="center" vertical="center" wrapText="1"/>
    </xf>
    <xf numFmtId="0" fontId="48" fillId="0" borderId="0" xfId="0" applyFont="1" applyFill="1" applyBorder="1" applyAlignment="1">
      <alignment horizontal="center" vertical="center" wrapText="1"/>
    </xf>
    <xf numFmtId="49" fontId="48" fillId="0" borderId="0" xfId="0" applyNumberFormat="1" applyFont="1" applyFill="1" applyBorder="1" applyAlignment="1">
      <alignment horizontal="center" vertical="center" wrapText="1"/>
    </xf>
    <xf numFmtId="0" fontId="49" fillId="0" borderId="0" xfId="0" applyFont="1" applyFill="1" applyBorder="1" applyAlignment="1">
      <alignment horizontal="left" vertical="center" wrapText="1"/>
    </xf>
    <xf numFmtId="192" fontId="48" fillId="0" borderId="0" xfId="0" applyNumberFormat="1" applyFont="1" applyFill="1" applyBorder="1" applyAlignment="1">
      <alignment vertical="justify"/>
    </xf>
    <xf numFmtId="4" fontId="50" fillId="0" borderId="0" xfId="0" applyNumberFormat="1" applyFont="1" applyFill="1" applyBorder="1" applyAlignment="1">
      <alignment vertical="center"/>
    </xf>
    <xf numFmtId="3" fontId="49" fillId="0" borderId="0" xfId="0" applyNumberFormat="1" applyFont="1" applyFill="1" applyBorder="1" applyAlignment="1">
      <alignment horizontal="center" vertical="center" wrapText="1"/>
    </xf>
    <xf numFmtId="3" fontId="49" fillId="0" borderId="0" xfId="0" applyNumberFormat="1" applyFont="1" applyFill="1" applyBorder="1" applyAlignment="1">
      <alignment horizontal="left" vertical="center" wrapText="1"/>
    </xf>
    <xf numFmtId="0" fontId="43" fillId="0" borderId="0" xfId="0" applyNumberFormat="1" applyFont="1" applyFill="1" applyAlignment="1" applyProtection="1">
      <alignment/>
      <protection/>
    </xf>
    <xf numFmtId="0" fontId="43" fillId="0" borderId="0" xfId="0" applyFont="1" applyFill="1" applyBorder="1" applyAlignment="1">
      <alignment horizontal="center" vertical="center"/>
    </xf>
    <xf numFmtId="0" fontId="43" fillId="0" borderId="0" xfId="0" applyFont="1" applyFill="1" applyBorder="1" applyAlignment="1">
      <alignment wrapText="1"/>
    </xf>
    <xf numFmtId="0" fontId="40" fillId="0" borderId="0" xfId="0" applyNumberFormat="1" applyFont="1" applyFill="1" applyAlignment="1" applyProtection="1">
      <alignment horizontal="center"/>
      <protection/>
    </xf>
    <xf numFmtId="0" fontId="24" fillId="0" borderId="0" xfId="0" applyNumberFormat="1" applyFont="1" applyFill="1" applyAlignment="1" applyProtection="1">
      <alignment/>
      <protection/>
    </xf>
    <xf numFmtId="0" fontId="24" fillId="0" borderId="0" xfId="0" applyFont="1" applyFill="1" applyAlignment="1">
      <alignment vertical="center"/>
    </xf>
    <xf numFmtId="0" fontId="51" fillId="0" borderId="0" xfId="0" applyFont="1" applyFill="1" applyAlignment="1">
      <alignment vertical="center"/>
    </xf>
    <xf numFmtId="0" fontId="47" fillId="0" borderId="0" xfId="0" applyFont="1" applyFill="1" applyAlignment="1">
      <alignment horizontal="left" vertical="center"/>
    </xf>
    <xf numFmtId="0" fontId="43" fillId="0" borderId="0" xfId="0" applyFont="1" applyFill="1" applyBorder="1" applyAlignment="1">
      <alignment vertical="center" textRotation="180"/>
    </xf>
    <xf numFmtId="0" fontId="44" fillId="0" borderId="13" xfId="0" applyFont="1" applyFill="1" applyBorder="1" applyAlignment="1">
      <alignment horizontal="left" vertical="center" wrapText="1"/>
    </xf>
    <xf numFmtId="192" fontId="43" fillId="0" borderId="13" xfId="0" applyNumberFormat="1" applyFont="1" applyFill="1" applyBorder="1" applyAlignment="1">
      <alignment vertical="justify"/>
    </xf>
    <xf numFmtId="4" fontId="45" fillId="0" borderId="13" xfId="0" applyNumberFormat="1" applyFont="1" applyFill="1" applyBorder="1" applyAlignment="1">
      <alignment vertical="center"/>
    </xf>
    <xf numFmtId="0" fontId="46" fillId="0" borderId="13" xfId="0" applyNumberFormat="1" applyFont="1" applyFill="1" applyBorder="1" applyAlignment="1" applyProtection="1">
      <alignment horizontal="left" vertical="center" wrapText="1"/>
      <protection/>
    </xf>
    <xf numFmtId="0" fontId="43" fillId="0" borderId="12" xfId="0" applyFont="1" applyBorder="1" applyAlignment="1">
      <alignment horizontal="center" vertical="center" textRotation="180"/>
    </xf>
    <xf numFmtId="0" fontId="37" fillId="0" borderId="14" xfId="0" applyFont="1" applyFill="1" applyBorder="1" applyAlignment="1">
      <alignment horizontal="left" vertical="center" wrapText="1"/>
    </xf>
    <xf numFmtId="0" fontId="37" fillId="0" borderId="17" xfId="0" applyFont="1" applyFill="1" applyBorder="1" applyAlignment="1">
      <alignment horizontal="left" vertical="center" wrapText="1"/>
    </xf>
    <xf numFmtId="49" fontId="37" fillId="0" borderId="14" xfId="0" applyNumberFormat="1" applyFont="1" applyFill="1" applyBorder="1" applyAlignment="1">
      <alignment horizontal="center" vertical="center" wrapText="1"/>
    </xf>
    <xf numFmtId="49" fontId="37" fillId="0" borderId="17" xfId="0" applyNumberFormat="1" applyFont="1" applyFill="1" applyBorder="1" applyAlignment="1">
      <alignment horizontal="center" vertical="center" wrapText="1"/>
    </xf>
    <xf numFmtId="49" fontId="37" fillId="0" borderId="16" xfId="0" applyNumberFormat="1" applyFont="1" applyFill="1" applyBorder="1" applyAlignment="1">
      <alignment horizontal="center" vertical="center" wrapText="1"/>
    </xf>
    <xf numFmtId="49" fontId="37" fillId="0" borderId="14" xfId="0" applyNumberFormat="1" applyFont="1" applyFill="1" applyBorder="1" applyAlignment="1">
      <alignment horizontal="center" vertical="center"/>
    </xf>
    <xf numFmtId="49" fontId="37" fillId="0" borderId="16" xfId="0" applyNumberFormat="1" applyFont="1" applyFill="1" applyBorder="1" applyAlignment="1">
      <alignment horizontal="center" vertical="center"/>
    </xf>
    <xf numFmtId="3" fontId="48" fillId="0" borderId="0" xfId="0" applyNumberFormat="1" applyFont="1" applyFill="1" applyBorder="1" applyAlignment="1">
      <alignment horizontal="center" vertical="center" wrapText="1"/>
    </xf>
    <xf numFmtId="0" fontId="43" fillId="0" borderId="12" xfId="0" applyFont="1" applyFill="1" applyBorder="1" applyAlignment="1" applyProtection="1">
      <alignment horizontal="center" vertical="center" textRotation="180"/>
      <protection locked="0"/>
    </xf>
    <xf numFmtId="0" fontId="43" fillId="0" borderId="12" xfId="0" applyFont="1" applyFill="1" applyBorder="1" applyAlignment="1">
      <alignment horizontal="center" vertical="center" textRotation="180"/>
    </xf>
    <xf numFmtId="0" fontId="43" fillId="0" borderId="0" xfId="0" applyFont="1" applyFill="1" applyBorder="1" applyAlignment="1">
      <alignment horizontal="center" vertical="center" textRotation="180"/>
    </xf>
    <xf numFmtId="0" fontId="37" fillId="0" borderId="16" xfId="0" applyFont="1" applyFill="1" applyBorder="1" applyAlignment="1">
      <alignment horizontal="left" vertical="center" wrapText="1"/>
    </xf>
    <xf numFmtId="14" fontId="43" fillId="0" borderId="0" xfId="0" applyNumberFormat="1" applyFont="1" applyFill="1" applyBorder="1" applyAlignment="1">
      <alignment horizontal="left"/>
    </xf>
    <xf numFmtId="3" fontId="48" fillId="0" borderId="0" xfId="0" applyNumberFormat="1" applyFont="1" applyFill="1" applyBorder="1" applyAlignment="1">
      <alignment horizontal="left" vertical="center" wrapText="1"/>
    </xf>
    <xf numFmtId="49" fontId="37" fillId="0" borderId="17" xfId="0" applyNumberFormat="1" applyFont="1" applyFill="1" applyBorder="1" applyAlignment="1">
      <alignment horizontal="center" vertical="center"/>
    </xf>
    <xf numFmtId="0" fontId="37" fillId="0" borderId="14" xfId="0" applyFont="1" applyFill="1" applyBorder="1" applyAlignment="1">
      <alignment horizontal="center" vertical="center" wrapText="1"/>
    </xf>
    <xf numFmtId="0" fontId="37" fillId="0" borderId="16" xfId="0" applyFont="1" applyFill="1" applyBorder="1" applyAlignment="1">
      <alignment horizontal="center" vertical="center" wrapText="1"/>
    </xf>
    <xf numFmtId="0" fontId="52" fillId="0" borderId="0" xfId="0" applyNumberFormat="1" applyFont="1" applyFill="1" applyBorder="1" applyAlignment="1" applyProtection="1">
      <alignment horizontal="center" vertical="top" wrapText="1"/>
      <protection/>
    </xf>
    <xf numFmtId="0" fontId="37" fillId="0" borderId="16" xfId="0" applyFont="1" applyFill="1" applyBorder="1" applyAlignment="1">
      <alignment horizontal="left"/>
    </xf>
    <xf numFmtId="0" fontId="37" fillId="0" borderId="17" xfId="0" applyFont="1" applyFill="1" applyBorder="1" applyAlignment="1">
      <alignment horizontal="left"/>
    </xf>
    <xf numFmtId="0" fontId="37" fillId="0" borderId="16" xfId="0" applyFont="1" applyFill="1" applyBorder="1" applyAlignment="1">
      <alignment/>
    </xf>
    <xf numFmtId="0" fontId="37" fillId="0" borderId="17" xfId="0" applyFont="1" applyFill="1" applyBorder="1" applyAlignment="1">
      <alignment/>
    </xf>
    <xf numFmtId="49" fontId="37" fillId="0" borderId="13" xfId="0" applyNumberFormat="1" applyFont="1" applyFill="1" applyBorder="1" applyAlignment="1">
      <alignment horizontal="center" vertical="center" wrapText="1"/>
    </xf>
    <xf numFmtId="0" fontId="24" fillId="0" borderId="0" xfId="0" applyNumberFormat="1" applyFont="1" applyFill="1" applyAlignment="1" applyProtection="1">
      <alignment horizontal="center"/>
      <protection/>
    </xf>
    <xf numFmtId="0" fontId="43" fillId="0" borderId="12" xfId="0" applyFont="1" applyBorder="1" applyAlignment="1">
      <alignment horizontal="center" vertical="center" textRotation="180"/>
    </xf>
  </cellXfs>
  <cellStyles count="109">
    <cellStyle name="Normal" xfId="0"/>
    <cellStyle name="20% - Акцент1" xfId="15"/>
    <cellStyle name="20% - Акцент2" xfId="16"/>
    <cellStyle name="20% - Акцент3" xfId="17"/>
    <cellStyle name="20% - Акцент4" xfId="18"/>
    <cellStyle name="20% - Акцент5" xfId="19"/>
    <cellStyle name="20% - Акцент6" xfId="20"/>
    <cellStyle name="20% – Акцентування1" xfId="21"/>
    <cellStyle name="20% – Акцентування2" xfId="22"/>
    <cellStyle name="20% – Акцентування3" xfId="23"/>
    <cellStyle name="20% – Акцентування4" xfId="24"/>
    <cellStyle name="20% – Акцентування5" xfId="25"/>
    <cellStyle name="20% – Акцентування6" xfId="26"/>
    <cellStyle name="40% - Акцент1" xfId="27"/>
    <cellStyle name="40% - Акцент2" xfId="28"/>
    <cellStyle name="40% - Акцент3" xfId="29"/>
    <cellStyle name="40% - Акцент4" xfId="30"/>
    <cellStyle name="40% - Акцент5" xfId="31"/>
    <cellStyle name="40% - Акцент6" xfId="32"/>
    <cellStyle name="40% – Акцентування1" xfId="33"/>
    <cellStyle name="40% – Акцентування2" xfId="34"/>
    <cellStyle name="40% – Акцентування3" xfId="35"/>
    <cellStyle name="40% – Акцентування4" xfId="36"/>
    <cellStyle name="40% – Акцентування5" xfId="37"/>
    <cellStyle name="40% – Акцентування6" xfId="38"/>
    <cellStyle name="60% - Акцент1" xfId="39"/>
    <cellStyle name="60% - Акцент2" xfId="40"/>
    <cellStyle name="60% - Акцент3" xfId="41"/>
    <cellStyle name="60% - Акцент4" xfId="42"/>
    <cellStyle name="60% - Акцент5" xfId="43"/>
    <cellStyle name="60% - Акцент6" xfId="44"/>
    <cellStyle name="60% – Акцентування1" xfId="45"/>
    <cellStyle name="60% – Акцентування2" xfId="46"/>
    <cellStyle name="60% – Акцентування3" xfId="47"/>
    <cellStyle name="60% – Акцентування4" xfId="48"/>
    <cellStyle name="60% – Акцентування5" xfId="49"/>
    <cellStyle name="60% – Акцентування6" xfId="50"/>
    <cellStyle name="Normal_meresha_07" xfId="51"/>
    <cellStyle name="Акцент1" xfId="52"/>
    <cellStyle name="Акцент2" xfId="53"/>
    <cellStyle name="Акцент3" xfId="54"/>
    <cellStyle name="Акцент4" xfId="55"/>
    <cellStyle name="Акцент5" xfId="56"/>
    <cellStyle name="Акцент6" xfId="57"/>
    <cellStyle name="Акцентування1" xfId="58"/>
    <cellStyle name="Акцентування2" xfId="59"/>
    <cellStyle name="Акцентування3" xfId="60"/>
    <cellStyle name="Акцентування4" xfId="61"/>
    <cellStyle name="Акцентування5" xfId="62"/>
    <cellStyle name="Акцентування6" xfId="63"/>
    <cellStyle name="Ввід" xfId="64"/>
    <cellStyle name="Ввод " xfId="65"/>
    <cellStyle name="Вывод" xfId="66"/>
    <cellStyle name="Вычисление" xfId="67"/>
    <cellStyle name="Hyperlink" xfId="68"/>
    <cellStyle name="Currency" xfId="69"/>
    <cellStyle name="Currency [0]" xfId="70"/>
    <cellStyle name="Добре" xfId="71"/>
    <cellStyle name="Заголовок 1" xfId="72"/>
    <cellStyle name="Заголовок 2" xfId="73"/>
    <cellStyle name="Заголовок 3" xfId="74"/>
    <cellStyle name="Заголовок 4" xfId="75"/>
    <cellStyle name="Звичайний 10" xfId="76"/>
    <cellStyle name="Звичайний 11" xfId="77"/>
    <cellStyle name="Звичайний 12" xfId="78"/>
    <cellStyle name="Звичайний 13" xfId="79"/>
    <cellStyle name="Звичайний 14" xfId="80"/>
    <cellStyle name="Звичайний 15" xfId="81"/>
    <cellStyle name="Звичайний 16" xfId="82"/>
    <cellStyle name="Звичайний 17" xfId="83"/>
    <cellStyle name="Звичайний 18" xfId="84"/>
    <cellStyle name="Звичайний 19" xfId="85"/>
    <cellStyle name="Звичайний 2" xfId="86"/>
    <cellStyle name="Звичайний 20" xfId="87"/>
    <cellStyle name="Звичайний 3" xfId="88"/>
    <cellStyle name="Звичайний 4" xfId="89"/>
    <cellStyle name="Звичайний 5" xfId="90"/>
    <cellStyle name="Звичайний 6" xfId="91"/>
    <cellStyle name="Звичайний 7" xfId="92"/>
    <cellStyle name="Звичайний 8" xfId="93"/>
    <cellStyle name="Звичайний 9" xfId="94"/>
    <cellStyle name="Звичайний_Додаток _ 3 зм_ни 4575" xfId="95"/>
    <cellStyle name="Зв'язана клітинка" xfId="96"/>
    <cellStyle name="Итог" xfId="97"/>
    <cellStyle name="Контрольна клітинка" xfId="98"/>
    <cellStyle name="Контрольная ячейка" xfId="99"/>
    <cellStyle name="Назва" xfId="100"/>
    <cellStyle name="Название" xfId="101"/>
    <cellStyle name="Нейтральный" xfId="102"/>
    <cellStyle name="Обчислення" xfId="103"/>
    <cellStyle name="Обычный 2" xfId="104"/>
    <cellStyle name="Followed Hyperlink" xfId="105"/>
    <cellStyle name="Підсумок" xfId="106"/>
    <cellStyle name="Плохой" xfId="107"/>
    <cellStyle name="Поганий" xfId="108"/>
    <cellStyle name="Пояснение" xfId="109"/>
    <cellStyle name="Примечание" xfId="110"/>
    <cellStyle name="Примітка" xfId="111"/>
    <cellStyle name="Percent" xfId="112"/>
    <cellStyle name="Результат" xfId="113"/>
    <cellStyle name="Связанная ячейка" xfId="114"/>
    <cellStyle name="Середній" xfId="115"/>
    <cellStyle name="Стиль 1" xfId="116"/>
    <cellStyle name="Текст попередження" xfId="117"/>
    <cellStyle name="Текст пояснення" xfId="118"/>
    <cellStyle name="Текст предупреждения" xfId="119"/>
    <cellStyle name="Comma" xfId="120"/>
    <cellStyle name="Comma [0]" xfId="121"/>
    <cellStyle name="Хороший" xfId="1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S194"/>
  <sheetViews>
    <sheetView showZeros="0" tabSelected="1" view="pageBreakPreview" zoomScale="25" zoomScaleNormal="40" zoomScaleSheetLayoutView="25" zoomScalePageLayoutView="0" workbookViewId="0" topLeftCell="B54">
      <selection activeCell="G54" sqref="G54"/>
    </sheetView>
  </sheetViews>
  <sheetFormatPr defaultColWidth="9.16015625" defaultRowHeight="12.75"/>
  <cols>
    <col min="1" max="1" width="3.83203125" style="3" hidden="1" customWidth="1"/>
    <col min="2" max="2" width="46.5" style="55" customWidth="1"/>
    <col min="3" max="3" width="55.5" style="55" customWidth="1"/>
    <col min="4" max="4" width="159.5" style="54" customWidth="1"/>
    <col min="5" max="5" width="136.5" style="55" customWidth="1"/>
    <col min="6" max="6" width="70.66015625" style="56" customWidth="1"/>
    <col min="7" max="7" width="66.5" style="56" customWidth="1"/>
    <col min="8" max="8" width="66.83203125" style="56" customWidth="1"/>
    <col min="9" max="9" width="12.5" style="97" customWidth="1"/>
    <col min="10" max="16384" width="9.16015625" style="2" customWidth="1"/>
  </cols>
  <sheetData>
    <row r="1" spans="6:16" ht="57.75">
      <c r="F1" s="113" t="s">
        <v>256</v>
      </c>
      <c r="H1" s="110"/>
      <c r="I1" s="143"/>
      <c r="J1" s="110"/>
      <c r="K1" s="7"/>
      <c r="L1" s="7"/>
      <c r="M1" s="7"/>
      <c r="N1" s="7"/>
      <c r="O1" s="7"/>
      <c r="P1" s="7"/>
    </row>
    <row r="2" spans="2:16" ht="57.75">
      <c r="B2" s="109"/>
      <c r="C2" s="109"/>
      <c r="E2" s="109"/>
      <c r="F2" s="94" t="s">
        <v>257</v>
      </c>
      <c r="G2" s="111"/>
      <c r="H2" s="111"/>
      <c r="I2" s="143"/>
      <c r="J2" s="111"/>
      <c r="K2" s="7"/>
      <c r="L2" s="7"/>
      <c r="M2" s="7"/>
      <c r="N2" s="7"/>
      <c r="O2" s="7"/>
      <c r="P2" s="7"/>
    </row>
    <row r="3" spans="2:16" ht="57.75">
      <c r="B3" s="109"/>
      <c r="C3" s="109"/>
      <c r="E3" s="109"/>
      <c r="F3" s="94" t="s">
        <v>260</v>
      </c>
      <c r="G3" s="111"/>
      <c r="H3" s="111"/>
      <c r="I3" s="143"/>
      <c r="J3" s="111"/>
      <c r="K3" s="7"/>
      <c r="L3" s="7"/>
      <c r="M3" s="7"/>
      <c r="N3" s="7"/>
      <c r="O3" s="7"/>
      <c r="P3" s="7"/>
    </row>
    <row r="4" spans="2:10" ht="66.75">
      <c r="B4" s="109"/>
      <c r="C4" s="109"/>
      <c r="E4" s="109"/>
      <c r="F4" s="112"/>
      <c r="G4" s="111"/>
      <c r="H4" s="111"/>
      <c r="I4" s="143"/>
      <c r="J4" s="111"/>
    </row>
    <row r="5" spans="1:16" s="7" customFormat="1" ht="60" customHeight="1">
      <c r="A5" s="6"/>
      <c r="B5" s="35"/>
      <c r="C5" s="35"/>
      <c r="D5" s="36"/>
      <c r="E5" s="35"/>
      <c r="F5" s="112"/>
      <c r="G5" s="111"/>
      <c r="H5" s="111"/>
      <c r="I5" s="143"/>
      <c r="J5" s="111"/>
      <c r="K5" s="2"/>
      <c r="L5" s="2"/>
      <c r="M5" s="2"/>
      <c r="N5" s="2"/>
      <c r="O5" s="2"/>
      <c r="P5" s="2"/>
    </row>
    <row r="6" spans="1:15" s="7" customFormat="1" ht="54.75" customHeight="1">
      <c r="A6" s="6"/>
      <c r="B6" s="35"/>
      <c r="C6" s="35"/>
      <c r="D6" s="36"/>
      <c r="E6" s="35"/>
      <c r="G6" s="94"/>
      <c r="H6" s="37"/>
      <c r="I6" s="143"/>
      <c r="J6" s="11"/>
      <c r="K6" s="113"/>
      <c r="L6" s="113"/>
      <c r="M6" s="113"/>
      <c r="N6" s="113"/>
      <c r="O6" s="11"/>
    </row>
    <row r="7" spans="1:15" s="7" customFormat="1" ht="24.75" customHeight="1">
      <c r="A7" s="6"/>
      <c r="B7" s="36"/>
      <c r="C7" s="36"/>
      <c r="D7" s="36"/>
      <c r="E7" s="36"/>
      <c r="F7" s="37"/>
      <c r="G7" s="37"/>
      <c r="H7" s="37"/>
      <c r="I7" s="143"/>
      <c r="J7" s="12"/>
      <c r="K7" s="111"/>
      <c r="L7" s="111"/>
      <c r="M7" s="111"/>
      <c r="N7" s="111"/>
      <c r="O7" s="111"/>
    </row>
    <row r="8" spans="1:15" ht="160.5" customHeight="1">
      <c r="A8" s="1"/>
      <c r="B8" s="137" t="s">
        <v>240</v>
      </c>
      <c r="C8" s="137"/>
      <c r="D8" s="137"/>
      <c r="E8" s="137"/>
      <c r="F8" s="137"/>
      <c r="G8" s="137"/>
      <c r="H8" s="137"/>
      <c r="I8" s="143"/>
      <c r="K8" s="111"/>
      <c r="L8" s="111"/>
      <c r="M8" s="111"/>
      <c r="N8" s="111"/>
      <c r="O8" s="111"/>
    </row>
    <row r="9" spans="2:15" ht="44.25">
      <c r="B9" s="38"/>
      <c r="C9" s="38"/>
      <c r="D9" s="39"/>
      <c r="E9" s="40"/>
      <c r="F9" s="41"/>
      <c r="G9" s="42"/>
      <c r="H9" s="62" t="s">
        <v>142</v>
      </c>
      <c r="I9" s="143"/>
      <c r="K9" s="111"/>
      <c r="L9" s="111"/>
      <c r="M9" s="111"/>
      <c r="N9" s="111"/>
      <c r="O9" s="111"/>
    </row>
    <row r="10" spans="1:9" ht="409.5" customHeight="1">
      <c r="A10" s="8"/>
      <c r="B10" s="92" t="s">
        <v>11</v>
      </c>
      <c r="C10" s="92" t="s">
        <v>144</v>
      </c>
      <c r="D10" s="118" t="s">
        <v>143</v>
      </c>
      <c r="E10" s="93" t="s">
        <v>146</v>
      </c>
      <c r="F10" s="92" t="s">
        <v>0</v>
      </c>
      <c r="G10" s="93" t="s">
        <v>1</v>
      </c>
      <c r="H10" s="93" t="s">
        <v>5</v>
      </c>
      <c r="I10" s="143"/>
    </row>
    <row r="11" spans="1:9" s="5" customFormat="1" ht="108" customHeight="1">
      <c r="A11" s="4"/>
      <c r="B11" s="85"/>
      <c r="C11" s="85"/>
      <c r="D11" s="75" t="s">
        <v>62</v>
      </c>
      <c r="E11" s="91"/>
      <c r="F11" s="26">
        <f>SUM(F12:F52)</f>
        <v>45467220.79</v>
      </c>
      <c r="G11" s="26">
        <f>SUM(G12:G52)</f>
        <v>55432156</v>
      </c>
      <c r="H11" s="26">
        <f>SUM(H12:H52)</f>
        <v>100899376.78999999</v>
      </c>
      <c r="I11" s="143"/>
    </row>
    <row r="12" spans="2:9" ht="150.75" customHeight="1">
      <c r="B12" s="122" t="s">
        <v>3</v>
      </c>
      <c r="C12" s="122" t="s">
        <v>2</v>
      </c>
      <c r="D12" s="120" t="s">
        <v>12</v>
      </c>
      <c r="E12" s="63" t="s">
        <v>251</v>
      </c>
      <c r="F12" s="27">
        <f>404240+60000+40000+40000-40000+100000</f>
        <v>604240</v>
      </c>
      <c r="G12" s="27"/>
      <c r="H12" s="26">
        <f>F12+G12</f>
        <v>604240</v>
      </c>
      <c r="I12" s="143"/>
    </row>
    <row r="13" spans="2:9" ht="170.25" customHeight="1">
      <c r="B13" s="140"/>
      <c r="C13" s="140"/>
      <c r="D13" s="138"/>
      <c r="E13" s="63" t="s">
        <v>156</v>
      </c>
      <c r="F13" s="27">
        <f>403704+559640+285000+220000+191000+312940+632060-213827-97008</f>
        <v>2293509</v>
      </c>
      <c r="G13" s="27">
        <f>493340+213827+67000</f>
        <v>774167</v>
      </c>
      <c r="H13" s="26">
        <f aca="true" t="shared" si="0" ref="H13:H52">F13+G13</f>
        <v>3067676</v>
      </c>
      <c r="I13" s="143"/>
    </row>
    <row r="14" spans="2:9" ht="186.75" customHeight="1">
      <c r="B14" s="141"/>
      <c r="C14" s="141"/>
      <c r="D14" s="139"/>
      <c r="E14" s="63" t="s">
        <v>145</v>
      </c>
      <c r="F14" s="27">
        <v>50000</v>
      </c>
      <c r="G14" s="27"/>
      <c r="H14" s="26">
        <f t="shared" si="0"/>
        <v>50000</v>
      </c>
      <c r="I14" s="143"/>
    </row>
    <row r="15" spans="2:9" ht="138.75" customHeight="1">
      <c r="B15" s="66" t="s">
        <v>13</v>
      </c>
      <c r="C15" s="66" t="s">
        <v>15</v>
      </c>
      <c r="D15" s="67" t="s">
        <v>14</v>
      </c>
      <c r="E15" s="63" t="s">
        <v>157</v>
      </c>
      <c r="F15" s="27">
        <f>143404+22688+10861+30300</f>
        <v>207253</v>
      </c>
      <c r="G15" s="27"/>
      <c r="H15" s="26">
        <f t="shared" si="0"/>
        <v>207253</v>
      </c>
      <c r="I15" s="143"/>
    </row>
    <row r="16" spans="2:9" ht="176.25" customHeight="1">
      <c r="B16" s="64" t="s">
        <v>16</v>
      </c>
      <c r="C16" s="64" t="s">
        <v>18</v>
      </c>
      <c r="D16" s="65" t="s">
        <v>17</v>
      </c>
      <c r="E16" s="63" t="s">
        <v>158</v>
      </c>
      <c r="F16" s="27">
        <f>40000</f>
        <v>40000</v>
      </c>
      <c r="G16" s="27"/>
      <c r="H16" s="26">
        <f t="shared" si="0"/>
        <v>40000</v>
      </c>
      <c r="I16" s="143"/>
    </row>
    <row r="17" spans="2:9" ht="122.25" customHeight="1">
      <c r="B17" s="64" t="s">
        <v>21</v>
      </c>
      <c r="C17" s="64" t="s">
        <v>18</v>
      </c>
      <c r="D17" s="65" t="s">
        <v>20</v>
      </c>
      <c r="E17" s="63" t="s">
        <v>159</v>
      </c>
      <c r="F17" s="27">
        <f>105000+500000</f>
        <v>605000</v>
      </c>
      <c r="G17" s="27"/>
      <c r="H17" s="26">
        <f t="shared" si="0"/>
        <v>605000</v>
      </c>
      <c r="I17" s="143"/>
    </row>
    <row r="18" spans="2:9" ht="147.75" customHeight="1">
      <c r="B18" s="64" t="s">
        <v>22</v>
      </c>
      <c r="C18" s="64" t="s">
        <v>18</v>
      </c>
      <c r="D18" s="65" t="s">
        <v>23</v>
      </c>
      <c r="E18" s="63" t="s">
        <v>158</v>
      </c>
      <c r="F18" s="28">
        <f>582100-72200+1600+3973+840</f>
        <v>516313</v>
      </c>
      <c r="G18" s="27">
        <v>9645</v>
      </c>
      <c r="H18" s="26">
        <f t="shared" si="0"/>
        <v>525958</v>
      </c>
      <c r="I18" s="143"/>
    </row>
    <row r="19" spans="2:9" ht="285.75" customHeight="1">
      <c r="B19" s="66" t="s">
        <v>24</v>
      </c>
      <c r="C19" s="66" t="s">
        <v>18</v>
      </c>
      <c r="D19" s="67" t="s">
        <v>25</v>
      </c>
      <c r="E19" s="63" t="s">
        <v>159</v>
      </c>
      <c r="F19" s="27">
        <f>189000+917888</f>
        <v>1106888</v>
      </c>
      <c r="G19" s="27"/>
      <c r="H19" s="26">
        <f t="shared" si="0"/>
        <v>1106888</v>
      </c>
      <c r="I19" s="143"/>
    </row>
    <row r="20" spans="2:9" ht="186" customHeight="1">
      <c r="B20" s="66" t="s">
        <v>26</v>
      </c>
      <c r="C20" s="66" t="s">
        <v>28</v>
      </c>
      <c r="D20" s="67" t="s">
        <v>27</v>
      </c>
      <c r="E20" s="63" t="s">
        <v>61</v>
      </c>
      <c r="F20" s="27">
        <f>125140+37439.79+6630</f>
        <v>169209.79</v>
      </c>
      <c r="G20" s="27"/>
      <c r="H20" s="26">
        <f t="shared" si="0"/>
        <v>169209.79</v>
      </c>
      <c r="I20" s="143"/>
    </row>
    <row r="21" spans="2:9" ht="116.25" customHeight="1">
      <c r="B21" s="142" t="s">
        <v>30</v>
      </c>
      <c r="C21" s="142" t="s">
        <v>31</v>
      </c>
      <c r="D21" s="120" t="s">
        <v>29</v>
      </c>
      <c r="E21" s="63" t="s">
        <v>159</v>
      </c>
      <c r="F21" s="29">
        <f>130000+100000+12000+26825+47000+60000</f>
        <v>375825</v>
      </c>
      <c r="G21" s="27"/>
      <c r="H21" s="26">
        <f t="shared" si="0"/>
        <v>375825</v>
      </c>
      <c r="I21" s="143"/>
    </row>
    <row r="22" spans="2:9" ht="131.25" customHeight="1">
      <c r="B22" s="142"/>
      <c r="C22" s="142"/>
      <c r="D22" s="121"/>
      <c r="E22" s="70" t="s">
        <v>155</v>
      </c>
      <c r="F22" s="29">
        <v>78240</v>
      </c>
      <c r="G22" s="27"/>
      <c r="H22" s="26">
        <f t="shared" si="0"/>
        <v>78240</v>
      </c>
      <c r="I22" s="143"/>
    </row>
    <row r="23" spans="2:9" ht="162.75" customHeight="1">
      <c r="B23" s="68" t="s">
        <v>147</v>
      </c>
      <c r="C23" s="68" t="s">
        <v>149</v>
      </c>
      <c r="D23" s="69" t="s">
        <v>148</v>
      </c>
      <c r="E23" s="70" t="s">
        <v>155</v>
      </c>
      <c r="F23" s="27">
        <f>90300+7700+3500</f>
        <v>101500</v>
      </c>
      <c r="G23" s="27"/>
      <c r="H23" s="26">
        <f t="shared" si="0"/>
        <v>101500</v>
      </c>
      <c r="I23" s="143"/>
    </row>
    <row r="24" spans="2:9" ht="136.5" customHeight="1">
      <c r="B24" s="64" t="s">
        <v>32</v>
      </c>
      <c r="C24" s="64" t="s">
        <v>34</v>
      </c>
      <c r="D24" s="65" t="s">
        <v>33</v>
      </c>
      <c r="E24" s="63" t="s">
        <v>160</v>
      </c>
      <c r="F24" s="27">
        <f>500000-46909</f>
        <v>453091</v>
      </c>
      <c r="G24" s="27"/>
      <c r="H24" s="26">
        <f t="shared" si="0"/>
        <v>453091</v>
      </c>
      <c r="I24" s="143"/>
    </row>
    <row r="25" spans="2:9" ht="151.5" customHeight="1">
      <c r="B25" s="64" t="s">
        <v>35</v>
      </c>
      <c r="C25" s="64" t="s">
        <v>34</v>
      </c>
      <c r="D25" s="65" t="s">
        <v>36</v>
      </c>
      <c r="E25" s="63" t="s">
        <v>160</v>
      </c>
      <c r="F25" s="27">
        <f>500000+16500+7280</f>
        <v>523780</v>
      </c>
      <c r="G25" s="27"/>
      <c r="H25" s="26">
        <f t="shared" si="0"/>
        <v>523780</v>
      </c>
      <c r="I25" s="143"/>
    </row>
    <row r="26" spans="2:9" ht="119.25" customHeight="1">
      <c r="B26" s="64" t="s">
        <v>38</v>
      </c>
      <c r="C26" s="64" t="s">
        <v>34</v>
      </c>
      <c r="D26" s="65" t="s">
        <v>37</v>
      </c>
      <c r="E26" s="63" t="s">
        <v>160</v>
      </c>
      <c r="F26" s="27">
        <f>5633420-548729+30000+7000+34000+14132+13000+1569+4000+10000+124142+82878+15000+19976.03+22323.97+46400+31090</f>
        <v>5540202</v>
      </c>
      <c r="G26" s="27">
        <f>200000+10000-13000+14000+33000</f>
        <v>244000</v>
      </c>
      <c r="H26" s="26">
        <f t="shared" si="0"/>
        <v>5784202</v>
      </c>
      <c r="I26" s="143"/>
    </row>
    <row r="27" spans="2:9" ht="148.5" customHeight="1">
      <c r="B27" s="64" t="s">
        <v>39</v>
      </c>
      <c r="C27" s="64" t="s">
        <v>34</v>
      </c>
      <c r="D27" s="65" t="s">
        <v>23</v>
      </c>
      <c r="E27" s="63" t="s">
        <v>160</v>
      </c>
      <c r="F27" s="27">
        <f>2545380-198212+20000+6195</f>
        <v>2373363</v>
      </c>
      <c r="G27" s="27"/>
      <c r="H27" s="26">
        <f t="shared" si="0"/>
        <v>2373363</v>
      </c>
      <c r="I27" s="143"/>
    </row>
    <row r="28" spans="2:9" ht="150.75" customHeight="1">
      <c r="B28" s="64" t="s">
        <v>40</v>
      </c>
      <c r="C28" s="64" t="s">
        <v>34</v>
      </c>
      <c r="D28" s="65" t="s">
        <v>41</v>
      </c>
      <c r="E28" s="63" t="s">
        <v>160</v>
      </c>
      <c r="F28" s="27">
        <f>1995340-308001+14500+17000+6327+400000-21500+7150+25000</f>
        <v>2135816</v>
      </c>
      <c r="G28" s="27">
        <f>817714+96600-96600</f>
        <v>817714</v>
      </c>
      <c r="H28" s="26">
        <f t="shared" si="0"/>
        <v>2953530</v>
      </c>
      <c r="I28" s="143"/>
    </row>
    <row r="29" spans="2:9" ht="216" customHeight="1">
      <c r="B29" s="66" t="s">
        <v>43</v>
      </c>
      <c r="C29" s="66" t="s">
        <v>34</v>
      </c>
      <c r="D29" s="67" t="s">
        <v>42</v>
      </c>
      <c r="E29" s="63" t="s">
        <v>160</v>
      </c>
      <c r="F29" s="27">
        <f>4485660-399442+10000+25000+38000+5659+42000+6000+15000</f>
        <v>4227877</v>
      </c>
      <c r="G29" s="27">
        <f>12000+11000</f>
        <v>23000</v>
      </c>
      <c r="H29" s="26">
        <f t="shared" si="0"/>
        <v>4250877</v>
      </c>
      <c r="I29" s="143"/>
    </row>
    <row r="30" spans="2:9" ht="183.75" customHeight="1">
      <c r="B30" s="66" t="s">
        <v>150</v>
      </c>
      <c r="C30" s="66" t="s">
        <v>151</v>
      </c>
      <c r="D30" s="67" t="s">
        <v>152</v>
      </c>
      <c r="E30" s="71" t="s">
        <v>161</v>
      </c>
      <c r="F30" s="27">
        <v>99000</v>
      </c>
      <c r="G30" s="27"/>
      <c r="H30" s="26">
        <f t="shared" si="0"/>
        <v>99000</v>
      </c>
      <c r="I30" s="143"/>
    </row>
    <row r="31" spans="2:9" ht="191.25" customHeight="1">
      <c r="B31" s="66" t="s">
        <v>167</v>
      </c>
      <c r="C31" s="66" t="s">
        <v>169</v>
      </c>
      <c r="D31" s="67" t="s">
        <v>168</v>
      </c>
      <c r="E31" s="63" t="s">
        <v>161</v>
      </c>
      <c r="F31" s="27">
        <v>1642000</v>
      </c>
      <c r="G31" s="27"/>
      <c r="H31" s="26">
        <f t="shared" si="0"/>
        <v>1642000</v>
      </c>
      <c r="I31" s="143"/>
    </row>
    <row r="32" spans="2:9" ht="192" customHeight="1">
      <c r="B32" s="66" t="s">
        <v>212</v>
      </c>
      <c r="C32" s="66" t="s">
        <v>169</v>
      </c>
      <c r="D32" s="67" t="s">
        <v>213</v>
      </c>
      <c r="E32" s="63" t="s">
        <v>161</v>
      </c>
      <c r="F32" s="27">
        <f>200000+150000+156400+1941100+125000</f>
        <v>2572500</v>
      </c>
      <c r="G32" s="27"/>
      <c r="H32" s="26">
        <f t="shared" si="0"/>
        <v>2572500</v>
      </c>
      <c r="I32" s="128"/>
    </row>
    <row r="33" spans="2:9" ht="201.75" customHeight="1">
      <c r="B33" s="66" t="s">
        <v>172</v>
      </c>
      <c r="C33" s="66" t="s">
        <v>171</v>
      </c>
      <c r="D33" s="67" t="s">
        <v>170</v>
      </c>
      <c r="E33" s="63" t="s">
        <v>161</v>
      </c>
      <c r="F33" s="27">
        <v>3607600</v>
      </c>
      <c r="G33" s="27"/>
      <c r="H33" s="26">
        <f t="shared" si="0"/>
        <v>3607600</v>
      </c>
      <c r="I33" s="128"/>
    </row>
    <row r="34" spans="2:9" ht="128.25" customHeight="1">
      <c r="B34" s="66" t="s">
        <v>97</v>
      </c>
      <c r="C34" s="66" t="s">
        <v>89</v>
      </c>
      <c r="D34" s="67" t="s">
        <v>98</v>
      </c>
      <c r="E34" s="63" t="s">
        <v>159</v>
      </c>
      <c r="F34" s="27">
        <v>32500</v>
      </c>
      <c r="G34" s="27"/>
      <c r="H34" s="26">
        <f t="shared" si="0"/>
        <v>32500</v>
      </c>
      <c r="I34" s="128"/>
    </row>
    <row r="35" spans="2:9" ht="210" customHeight="1">
      <c r="B35" s="66" t="s">
        <v>46</v>
      </c>
      <c r="C35" s="66" t="s">
        <v>45</v>
      </c>
      <c r="D35" s="67" t="s">
        <v>44</v>
      </c>
      <c r="E35" s="63" t="s">
        <v>161</v>
      </c>
      <c r="F35" s="27">
        <f>2000000+1600000+2098040+420000+1474800+3058900+650800+175000</f>
        <v>11477540</v>
      </c>
      <c r="G35" s="27">
        <f>650000</f>
        <v>650000</v>
      </c>
      <c r="H35" s="26">
        <f t="shared" si="0"/>
        <v>12127540</v>
      </c>
      <c r="I35" s="128"/>
    </row>
    <row r="36" spans="2:9" ht="180" customHeight="1">
      <c r="B36" s="64" t="s">
        <v>9</v>
      </c>
      <c r="C36" s="64" t="s">
        <v>10</v>
      </c>
      <c r="D36" s="65" t="s">
        <v>47</v>
      </c>
      <c r="E36" s="63" t="s">
        <v>145</v>
      </c>
      <c r="F36" s="27">
        <v>85000</v>
      </c>
      <c r="G36" s="27"/>
      <c r="H36" s="26">
        <f t="shared" si="0"/>
        <v>85000</v>
      </c>
      <c r="I36" s="128"/>
    </row>
    <row r="37" spans="2:9" ht="207.75" customHeight="1">
      <c r="B37" s="122" t="s">
        <v>48</v>
      </c>
      <c r="C37" s="122" t="s">
        <v>8</v>
      </c>
      <c r="D37" s="120" t="s">
        <v>49</v>
      </c>
      <c r="E37" s="63" t="s">
        <v>161</v>
      </c>
      <c r="F37" s="27"/>
      <c r="G37" s="27">
        <f>46000000+5400000+1302900-1302900</f>
        <v>51400000</v>
      </c>
      <c r="H37" s="26">
        <f t="shared" si="0"/>
        <v>51400000</v>
      </c>
      <c r="I37" s="128"/>
    </row>
    <row r="38" spans="2:9" ht="207.75" customHeight="1">
      <c r="B38" s="123"/>
      <c r="C38" s="123"/>
      <c r="D38" s="121"/>
      <c r="E38" s="63" t="s">
        <v>155</v>
      </c>
      <c r="F38" s="27"/>
      <c r="G38" s="27">
        <f>405000+308000</f>
        <v>713000</v>
      </c>
      <c r="H38" s="26">
        <f t="shared" si="0"/>
        <v>713000</v>
      </c>
      <c r="I38" s="128"/>
    </row>
    <row r="39" spans="2:9" ht="147.75" customHeight="1">
      <c r="B39" s="64" t="s">
        <v>50</v>
      </c>
      <c r="C39" s="64" t="s">
        <v>10</v>
      </c>
      <c r="D39" s="65" t="s">
        <v>51</v>
      </c>
      <c r="E39" s="63" t="s">
        <v>155</v>
      </c>
      <c r="F39" s="27">
        <f>837300</f>
        <v>837300</v>
      </c>
      <c r="G39" s="27"/>
      <c r="H39" s="26">
        <f t="shared" si="0"/>
        <v>837300</v>
      </c>
      <c r="I39" s="128"/>
    </row>
    <row r="40" spans="2:9" ht="233.25" customHeight="1">
      <c r="B40" s="66" t="s">
        <v>53</v>
      </c>
      <c r="C40" s="66" t="s">
        <v>54</v>
      </c>
      <c r="D40" s="67" t="s">
        <v>52</v>
      </c>
      <c r="E40" s="63" t="s">
        <v>19</v>
      </c>
      <c r="F40" s="27">
        <f>162726+9684+265</f>
        <v>172675</v>
      </c>
      <c r="G40" s="27">
        <f>343874-343874</f>
        <v>0</v>
      </c>
      <c r="H40" s="26">
        <f t="shared" si="0"/>
        <v>172675</v>
      </c>
      <c r="I40" s="128"/>
    </row>
    <row r="41" spans="2:9" ht="180" customHeight="1">
      <c r="B41" s="64">
        <v>240604</v>
      </c>
      <c r="C41" s="66" t="s">
        <v>55</v>
      </c>
      <c r="D41" s="65" t="s">
        <v>206</v>
      </c>
      <c r="E41" s="71" t="s">
        <v>162</v>
      </c>
      <c r="F41" s="27"/>
      <c r="G41" s="27">
        <v>30600</v>
      </c>
      <c r="H41" s="26">
        <f t="shared" si="0"/>
        <v>30600</v>
      </c>
      <c r="I41" s="128"/>
    </row>
    <row r="42" spans="2:9" ht="196.5" customHeight="1">
      <c r="B42" s="64" t="s">
        <v>56</v>
      </c>
      <c r="C42" s="64" t="s">
        <v>58</v>
      </c>
      <c r="D42" s="65" t="s">
        <v>57</v>
      </c>
      <c r="E42" s="63" t="s">
        <v>155</v>
      </c>
      <c r="F42" s="27"/>
      <c r="G42" s="27">
        <v>9000</v>
      </c>
      <c r="H42" s="26">
        <f t="shared" si="0"/>
        <v>9000</v>
      </c>
      <c r="I42" s="128"/>
    </row>
    <row r="43" spans="2:9" ht="146.25" customHeight="1">
      <c r="B43" s="122" t="s">
        <v>214</v>
      </c>
      <c r="C43" s="122" t="s">
        <v>138</v>
      </c>
      <c r="D43" s="120" t="s">
        <v>215</v>
      </c>
      <c r="E43" s="63" t="s">
        <v>163</v>
      </c>
      <c r="F43" s="27">
        <f>100000+30000+181170</f>
        <v>311170</v>
      </c>
      <c r="G43" s="27">
        <f>18830</f>
        <v>18830</v>
      </c>
      <c r="H43" s="26">
        <f t="shared" si="0"/>
        <v>330000</v>
      </c>
      <c r="I43" s="128"/>
    </row>
    <row r="44" spans="2:9" ht="409.5" customHeight="1">
      <c r="B44" s="124"/>
      <c r="C44" s="124"/>
      <c r="D44" s="131"/>
      <c r="E44" s="63" t="s">
        <v>225</v>
      </c>
      <c r="F44" s="30">
        <f>40000+100000+20000+80000</f>
        <v>240000</v>
      </c>
      <c r="G44" s="27">
        <f>500000+130000</f>
        <v>630000</v>
      </c>
      <c r="H44" s="26">
        <f t="shared" si="0"/>
        <v>870000</v>
      </c>
      <c r="I44" s="128"/>
    </row>
    <row r="45" spans="2:9" ht="106.5" customHeight="1">
      <c r="B45" s="123"/>
      <c r="C45" s="123"/>
      <c r="D45" s="121"/>
      <c r="E45" s="63" t="s">
        <v>176</v>
      </c>
      <c r="F45" s="27">
        <f>50000+199000</f>
        <v>249000</v>
      </c>
      <c r="G45" s="27">
        <f>90000</f>
        <v>90000</v>
      </c>
      <c r="H45" s="26">
        <f t="shared" si="0"/>
        <v>339000</v>
      </c>
      <c r="I45" s="128"/>
    </row>
    <row r="46" spans="2:9" ht="174.75" customHeight="1">
      <c r="B46" s="122" t="s">
        <v>59</v>
      </c>
      <c r="C46" s="122" t="s">
        <v>58</v>
      </c>
      <c r="D46" s="120" t="s">
        <v>23</v>
      </c>
      <c r="E46" s="63" t="s">
        <v>163</v>
      </c>
      <c r="F46" s="27">
        <f>572644+64000+7260-332723+2550+19715</f>
        <v>333446</v>
      </c>
      <c r="G46" s="27">
        <f>89000-64000-25000</f>
        <v>0</v>
      </c>
      <c r="H46" s="26">
        <f t="shared" si="0"/>
        <v>333446</v>
      </c>
      <c r="I46" s="128"/>
    </row>
    <row r="47" spans="2:9" ht="409.5" customHeight="1">
      <c r="B47" s="124"/>
      <c r="C47" s="124"/>
      <c r="D47" s="131"/>
      <c r="E47" s="63" t="s">
        <v>246</v>
      </c>
      <c r="F47" s="27">
        <v>8520</v>
      </c>
      <c r="G47" s="27">
        <v>22200</v>
      </c>
      <c r="H47" s="26">
        <f t="shared" si="0"/>
        <v>30720</v>
      </c>
      <c r="I47" s="128"/>
    </row>
    <row r="48" spans="2:9" ht="109.5" customHeight="1">
      <c r="B48" s="124"/>
      <c r="C48" s="124"/>
      <c r="D48" s="131"/>
      <c r="E48" s="71" t="s">
        <v>166</v>
      </c>
      <c r="F48" s="27">
        <f>80580+15000+39600</f>
        <v>135180</v>
      </c>
      <c r="G48" s="27"/>
      <c r="H48" s="26">
        <f t="shared" si="0"/>
        <v>135180</v>
      </c>
      <c r="I48" s="128"/>
    </row>
    <row r="49" spans="2:9" ht="152.25" customHeight="1">
      <c r="B49" s="124"/>
      <c r="C49" s="124"/>
      <c r="D49" s="131"/>
      <c r="E49" s="63" t="s">
        <v>156</v>
      </c>
      <c r="F49" s="27">
        <f>130200+640000+25000-67000</f>
        <v>728200</v>
      </c>
      <c r="G49" s="27">
        <f>25000-25000</f>
        <v>0</v>
      </c>
      <c r="H49" s="26">
        <f t="shared" si="0"/>
        <v>728200</v>
      </c>
      <c r="I49" s="128"/>
    </row>
    <row r="50" spans="2:9" ht="147.75" customHeight="1">
      <c r="B50" s="124"/>
      <c r="C50" s="124"/>
      <c r="D50" s="131"/>
      <c r="E50" s="63" t="s">
        <v>155</v>
      </c>
      <c r="F50" s="27">
        <f>822500+30000+39600-30000-39600-2550-19715</f>
        <v>800235</v>
      </c>
      <c r="G50" s="27"/>
      <c r="H50" s="26">
        <f t="shared" si="0"/>
        <v>800235</v>
      </c>
      <c r="I50" s="128"/>
    </row>
    <row r="51" spans="2:9" ht="183.75" customHeight="1">
      <c r="B51" s="124"/>
      <c r="C51" s="124"/>
      <c r="D51" s="131"/>
      <c r="E51" s="74" t="s">
        <v>224</v>
      </c>
      <c r="F51" s="31">
        <f>45000-265</f>
        <v>44735</v>
      </c>
      <c r="G51" s="32"/>
      <c r="H51" s="33">
        <f t="shared" si="0"/>
        <v>44735</v>
      </c>
      <c r="I51" s="128"/>
    </row>
    <row r="52" spans="2:9" ht="88.5">
      <c r="B52" s="124"/>
      <c r="C52" s="124"/>
      <c r="D52" s="121"/>
      <c r="E52" s="74" t="s">
        <v>160</v>
      </c>
      <c r="F52" s="34">
        <f>602640-97102+22000+160975</f>
        <v>688513</v>
      </c>
      <c r="G52" s="32"/>
      <c r="H52" s="33">
        <f t="shared" si="0"/>
        <v>688513</v>
      </c>
      <c r="I52" s="128"/>
    </row>
    <row r="53" spans="2:9" ht="131.25" customHeight="1">
      <c r="B53" s="66"/>
      <c r="C53" s="66"/>
      <c r="D53" s="75" t="s">
        <v>63</v>
      </c>
      <c r="E53" s="63"/>
      <c r="F53" s="26">
        <f>SUM(F54:F70)</f>
        <v>5916276</v>
      </c>
      <c r="G53" s="26">
        <f>SUM(G54:G70)</f>
        <v>32961967.45</v>
      </c>
      <c r="H53" s="26">
        <f>SUM(H54:H70)</f>
        <v>38782801.45</v>
      </c>
      <c r="I53" s="128"/>
    </row>
    <row r="54" spans="2:9" ht="156.75" customHeight="1">
      <c r="B54" s="66" t="s">
        <v>3</v>
      </c>
      <c r="C54" s="66" t="s">
        <v>2</v>
      </c>
      <c r="D54" s="67" t="s">
        <v>12</v>
      </c>
      <c r="E54" s="63" t="s">
        <v>155</v>
      </c>
      <c r="F54" s="27">
        <v>30000</v>
      </c>
      <c r="G54" s="27"/>
      <c r="H54" s="26">
        <f>F54+G54</f>
        <v>30000</v>
      </c>
      <c r="I54" s="128"/>
    </row>
    <row r="55" spans="2:9" ht="132.75">
      <c r="B55" s="122" t="s">
        <v>64</v>
      </c>
      <c r="C55" s="122" t="s">
        <v>65</v>
      </c>
      <c r="D55" s="120" t="s">
        <v>66</v>
      </c>
      <c r="E55" s="63" t="s">
        <v>157</v>
      </c>
      <c r="F55" s="27">
        <v>335984</v>
      </c>
      <c r="G55" s="27"/>
      <c r="H55" s="26">
        <f aca="true" t="shared" si="1" ref="H55:H70">F55+G55</f>
        <v>335984</v>
      </c>
      <c r="I55" s="128"/>
    </row>
    <row r="56" spans="2:9" ht="250.5" customHeight="1">
      <c r="B56" s="124"/>
      <c r="C56" s="124"/>
      <c r="D56" s="131"/>
      <c r="E56" s="63" t="s">
        <v>247</v>
      </c>
      <c r="F56" s="28">
        <f>65300+30142</f>
        <v>95442</v>
      </c>
      <c r="G56" s="27"/>
      <c r="H56" s="26"/>
      <c r="I56" s="128"/>
    </row>
    <row r="57" spans="2:9" ht="211.5" customHeight="1">
      <c r="B57" s="123"/>
      <c r="C57" s="123"/>
      <c r="D57" s="121"/>
      <c r="E57" s="63" t="s">
        <v>191</v>
      </c>
      <c r="F57" s="28"/>
      <c r="G57" s="30">
        <f>3959492-6200+5000-2600+9000-2750+84000+892900-1070+1197300+35919-12100-2998-5000+265488+17108+670000+20100-2600</f>
        <v>7120989</v>
      </c>
      <c r="H57" s="26">
        <f t="shared" si="1"/>
        <v>7120989</v>
      </c>
      <c r="I57" s="128"/>
    </row>
    <row r="58" spans="2:9" ht="141.75" customHeight="1">
      <c r="B58" s="122" t="s">
        <v>67</v>
      </c>
      <c r="C58" s="122" t="s">
        <v>69</v>
      </c>
      <c r="D58" s="120" t="s">
        <v>68</v>
      </c>
      <c r="E58" s="70" t="s">
        <v>157</v>
      </c>
      <c r="F58" s="28">
        <v>678082</v>
      </c>
      <c r="G58" s="27"/>
      <c r="H58" s="26">
        <f t="shared" si="1"/>
        <v>678082</v>
      </c>
      <c r="I58" s="128"/>
    </row>
    <row r="59" spans="2:9" ht="234" customHeight="1">
      <c r="B59" s="124"/>
      <c r="C59" s="124"/>
      <c r="D59" s="131"/>
      <c r="E59" s="63" t="s">
        <v>248</v>
      </c>
      <c r="F59" s="28">
        <f>12200+34300</f>
        <v>46500</v>
      </c>
      <c r="G59" s="27"/>
      <c r="H59" s="26">
        <f t="shared" si="1"/>
        <v>46500</v>
      </c>
      <c r="I59" s="128"/>
    </row>
    <row r="60" spans="2:9" ht="209.25" customHeight="1">
      <c r="B60" s="123"/>
      <c r="C60" s="123"/>
      <c r="D60" s="121"/>
      <c r="E60" s="63" t="s">
        <v>191</v>
      </c>
      <c r="F60" s="27"/>
      <c r="G60" s="30">
        <f>16597779.45+8000+2280000+291578+68400+770700+337000-40000+400000+3550000+141000+345000</f>
        <v>24749457.45</v>
      </c>
      <c r="H60" s="26">
        <f t="shared" si="1"/>
        <v>24749457.45</v>
      </c>
      <c r="I60" s="128"/>
    </row>
    <row r="61" spans="2:9" ht="186.75" customHeight="1">
      <c r="B61" s="76" t="s">
        <v>192</v>
      </c>
      <c r="C61" s="72" t="s">
        <v>193</v>
      </c>
      <c r="D61" s="73" t="s">
        <v>194</v>
      </c>
      <c r="E61" s="63" t="s">
        <v>191</v>
      </c>
      <c r="F61" s="27"/>
      <c r="G61" s="30">
        <f>150000-26417+6200</f>
        <v>129783</v>
      </c>
      <c r="H61" s="26">
        <f t="shared" si="1"/>
        <v>129783</v>
      </c>
      <c r="I61" s="128"/>
    </row>
    <row r="62" spans="2:9" ht="221.25">
      <c r="B62" s="76" t="s">
        <v>195</v>
      </c>
      <c r="C62" s="72" t="s">
        <v>183</v>
      </c>
      <c r="D62" s="73" t="s">
        <v>196</v>
      </c>
      <c r="E62" s="63" t="s">
        <v>191</v>
      </c>
      <c r="F62" s="27"/>
      <c r="G62" s="30">
        <f>525000-75000</f>
        <v>450000</v>
      </c>
      <c r="H62" s="26">
        <f t="shared" si="1"/>
        <v>450000</v>
      </c>
      <c r="I62" s="128"/>
    </row>
    <row r="63" spans="2:9" ht="132.75">
      <c r="B63" s="76" t="s">
        <v>261</v>
      </c>
      <c r="C63" s="72" t="s">
        <v>263</v>
      </c>
      <c r="D63" s="73" t="s">
        <v>262</v>
      </c>
      <c r="E63" s="87" t="s">
        <v>176</v>
      </c>
      <c r="F63" s="27"/>
      <c r="G63" s="30">
        <v>41738</v>
      </c>
      <c r="H63" s="26">
        <f t="shared" si="1"/>
        <v>41738</v>
      </c>
      <c r="I63" s="128"/>
    </row>
    <row r="64" spans="2:9" ht="180" customHeight="1">
      <c r="B64" s="76" t="s">
        <v>197</v>
      </c>
      <c r="C64" s="72" t="s">
        <v>71</v>
      </c>
      <c r="D64" s="73" t="s">
        <v>198</v>
      </c>
      <c r="E64" s="63" t="s">
        <v>191</v>
      </c>
      <c r="F64" s="27"/>
      <c r="G64" s="27">
        <v>150000</v>
      </c>
      <c r="H64" s="26">
        <f t="shared" si="1"/>
        <v>150000</v>
      </c>
      <c r="I64" s="128"/>
    </row>
    <row r="65" spans="2:9" ht="177">
      <c r="B65" s="76" t="s">
        <v>70</v>
      </c>
      <c r="C65" s="72" t="s">
        <v>71</v>
      </c>
      <c r="D65" s="67" t="s">
        <v>178</v>
      </c>
      <c r="E65" s="63" t="s">
        <v>188</v>
      </c>
      <c r="F65" s="27">
        <f>73148-19908</f>
        <v>53240</v>
      </c>
      <c r="G65" s="27"/>
      <c r="H65" s="26">
        <f t="shared" si="1"/>
        <v>53240</v>
      </c>
      <c r="I65" s="128"/>
    </row>
    <row r="66" spans="2:9" ht="151.5" customHeight="1">
      <c r="B66" s="125" t="s">
        <v>24</v>
      </c>
      <c r="C66" s="122" t="s">
        <v>18</v>
      </c>
      <c r="D66" s="120" t="s">
        <v>25</v>
      </c>
      <c r="E66" s="63" t="s">
        <v>159</v>
      </c>
      <c r="F66" s="30">
        <f>1912500+112480</f>
        <v>2024980</v>
      </c>
      <c r="G66" s="27"/>
      <c r="H66" s="26">
        <f t="shared" si="1"/>
        <v>2024980</v>
      </c>
      <c r="I66" s="128"/>
    </row>
    <row r="67" spans="2:9" ht="127.5" customHeight="1">
      <c r="B67" s="134"/>
      <c r="C67" s="123"/>
      <c r="D67" s="121"/>
      <c r="E67" s="70" t="s">
        <v>157</v>
      </c>
      <c r="F67" s="30">
        <f>87500-2500</f>
        <v>85000</v>
      </c>
      <c r="G67" s="27"/>
      <c r="H67" s="26">
        <f t="shared" si="1"/>
        <v>85000</v>
      </c>
      <c r="I67" s="128"/>
    </row>
    <row r="68" spans="2:9" ht="147" customHeight="1">
      <c r="B68" s="64" t="s">
        <v>38</v>
      </c>
      <c r="C68" s="64" t="s">
        <v>34</v>
      </c>
      <c r="D68" s="65" t="s">
        <v>37</v>
      </c>
      <c r="E68" s="67" t="s">
        <v>160</v>
      </c>
      <c r="F68" s="27">
        <f>2940630-378096+28970+2787-29200+1957</f>
        <v>2567048</v>
      </c>
      <c r="G68" s="27"/>
      <c r="H68" s="26">
        <f t="shared" si="1"/>
        <v>2567048</v>
      </c>
      <c r="I68" s="128"/>
    </row>
    <row r="69" spans="2:9" ht="177" customHeight="1">
      <c r="B69" s="77" t="s">
        <v>207</v>
      </c>
      <c r="C69" s="64" t="s">
        <v>55</v>
      </c>
      <c r="D69" s="65" t="s">
        <v>206</v>
      </c>
      <c r="E69" s="67" t="s">
        <v>162</v>
      </c>
      <c r="F69" s="27"/>
      <c r="G69" s="27">
        <f>70000</f>
        <v>70000</v>
      </c>
      <c r="H69" s="26">
        <f t="shared" si="1"/>
        <v>70000</v>
      </c>
      <c r="I69" s="128"/>
    </row>
    <row r="70" spans="2:9" ht="205.5" customHeight="1">
      <c r="B70" s="77" t="s">
        <v>208</v>
      </c>
      <c r="C70" s="64" t="s">
        <v>73</v>
      </c>
      <c r="D70" s="65" t="s">
        <v>72</v>
      </c>
      <c r="E70" s="67" t="s">
        <v>162</v>
      </c>
      <c r="F70" s="27"/>
      <c r="G70" s="27">
        <v>250000</v>
      </c>
      <c r="H70" s="26">
        <f t="shared" si="1"/>
        <v>250000</v>
      </c>
      <c r="I70" s="128"/>
    </row>
    <row r="71" spans="2:9" ht="97.5" customHeight="1">
      <c r="B71" s="66"/>
      <c r="C71" s="66"/>
      <c r="D71" s="75" t="s">
        <v>74</v>
      </c>
      <c r="E71" s="67"/>
      <c r="F71" s="26">
        <f>SUM(F72:F76)</f>
        <v>39218</v>
      </c>
      <c r="G71" s="26">
        <f>SUM(G72:G76)</f>
        <v>28332290</v>
      </c>
      <c r="H71" s="26">
        <f>SUM(H72:H76)</f>
        <v>28371508</v>
      </c>
      <c r="I71" s="128"/>
    </row>
    <row r="72" spans="2:9" ht="147.75" customHeight="1">
      <c r="B72" s="66" t="s">
        <v>3</v>
      </c>
      <c r="C72" s="66" t="s">
        <v>2</v>
      </c>
      <c r="D72" s="67" t="s">
        <v>12</v>
      </c>
      <c r="E72" s="63" t="s">
        <v>155</v>
      </c>
      <c r="F72" s="27">
        <v>5000</v>
      </c>
      <c r="G72" s="26"/>
      <c r="H72" s="26">
        <f>F72+G72</f>
        <v>5000</v>
      </c>
      <c r="I72" s="128"/>
    </row>
    <row r="73" spans="2:9" ht="279.75" customHeight="1">
      <c r="B73" s="76" t="s">
        <v>75</v>
      </c>
      <c r="C73" s="64" t="s">
        <v>83</v>
      </c>
      <c r="D73" s="67" t="s">
        <v>76</v>
      </c>
      <c r="E73" s="71" t="s">
        <v>185</v>
      </c>
      <c r="F73" s="27">
        <f>24150</f>
        <v>24150</v>
      </c>
      <c r="G73" s="30">
        <f>12000000+4331400+40000+30000+30000+20500+279700+50000+35000+548200+5000+288700+35850+199000+290000+2846900+85407+686044</f>
        <v>21801701</v>
      </c>
      <c r="H73" s="26">
        <f>F73+G73</f>
        <v>21825851</v>
      </c>
      <c r="I73" s="128"/>
    </row>
    <row r="74" spans="2:9" ht="288.75" customHeight="1">
      <c r="B74" s="76" t="s">
        <v>77</v>
      </c>
      <c r="C74" s="64" t="s">
        <v>84</v>
      </c>
      <c r="D74" s="67" t="s">
        <v>78</v>
      </c>
      <c r="E74" s="71" t="s">
        <v>185</v>
      </c>
      <c r="F74" s="27">
        <v>10068</v>
      </c>
      <c r="G74" s="27">
        <f>1500000+500000+879064+15000-10068+300000-85407</f>
        <v>3098589</v>
      </c>
      <c r="H74" s="26">
        <f>F74+G74</f>
        <v>3108657</v>
      </c>
      <c r="I74" s="144"/>
    </row>
    <row r="75" spans="2:9" ht="294.75" customHeight="1">
      <c r="B75" s="77" t="s">
        <v>79</v>
      </c>
      <c r="C75" s="64" t="s">
        <v>85</v>
      </c>
      <c r="D75" s="65" t="s">
        <v>80</v>
      </c>
      <c r="E75" s="71" t="s">
        <v>185</v>
      </c>
      <c r="F75" s="27"/>
      <c r="G75" s="27">
        <v>1000000</v>
      </c>
      <c r="H75" s="26">
        <f>F75+G75</f>
        <v>1000000</v>
      </c>
      <c r="I75" s="144"/>
    </row>
    <row r="76" spans="2:9" ht="270.75" customHeight="1">
      <c r="B76" s="76" t="s">
        <v>81</v>
      </c>
      <c r="C76" s="66" t="s">
        <v>86</v>
      </c>
      <c r="D76" s="67" t="s">
        <v>82</v>
      </c>
      <c r="E76" s="71" t="s">
        <v>185</v>
      </c>
      <c r="F76" s="27"/>
      <c r="G76" s="27">
        <f>1700000+719000+13000</f>
        <v>2432000</v>
      </c>
      <c r="H76" s="26">
        <f>F76+G76</f>
        <v>2432000</v>
      </c>
      <c r="I76" s="144"/>
    </row>
    <row r="77" spans="2:9" ht="114" customHeight="1">
      <c r="B77" s="72"/>
      <c r="C77" s="72"/>
      <c r="D77" s="79" t="s">
        <v>226</v>
      </c>
      <c r="E77" s="70"/>
      <c r="F77" s="26">
        <f>SUM(F78:F95)</f>
        <v>29678752.200000003</v>
      </c>
      <c r="G77" s="26">
        <f>SUM(G78:G95)</f>
        <v>676403</v>
      </c>
      <c r="H77" s="26">
        <f>SUM(H78:H95)</f>
        <v>30355155.200000003</v>
      </c>
      <c r="I77" s="144"/>
    </row>
    <row r="78" spans="2:9" ht="149.25" customHeight="1">
      <c r="B78" s="80" t="s">
        <v>3</v>
      </c>
      <c r="C78" s="80" t="s">
        <v>2</v>
      </c>
      <c r="D78" s="67" t="s">
        <v>12</v>
      </c>
      <c r="E78" s="67" t="s">
        <v>155</v>
      </c>
      <c r="F78" s="28">
        <v>60000</v>
      </c>
      <c r="G78" s="28"/>
      <c r="H78" s="26">
        <f>F78+G78</f>
        <v>60000</v>
      </c>
      <c r="I78" s="144"/>
    </row>
    <row r="79" spans="1:9" s="5" customFormat="1" ht="409.5" customHeight="1">
      <c r="A79" s="4"/>
      <c r="B79" s="66" t="s">
        <v>230</v>
      </c>
      <c r="C79" s="80">
        <v>1030</v>
      </c>
      <c r="D79" s="67" t="s">
        <v>231</v>
      </c>
      <c r="E79" s="63" t="s">
        <v>157</v>
      </c>
      <c r="F79" s="28">
        <f>269119+3793-18566</f>
        <v>254346</v>
      </c>
      <c r="G79" s="28"/>
      <c r="H79" s="26">
        <f>F79+G79</f>
        <v>254346</v>
      </c>
      <c r="I79" s="144"/>
    </row>
    <row r="80" spans="2:9" ht="318.75" customHeight="1">
      <c r="B80" s="66" t="s">
        <v>233</v>
      </c>
      <c r="C80" s="80">
        <v>1070</v>
      </c>
      <c r="D80" s="67" t="s">
        <v>232</v>
      </c>
      <c r="E80" s="67" t="s">
        <v>157</v>
      </c>
      <c r="F80" s="28">
        <f>70400+23603</f>
        <v>94003</v>
      </c>
      <c r="G80" s="28"/>
      <c r="H80" s="26">
        <f>F80+G80</f>
        <v>94003</v>
      </c>
      <c r="I80" s="144"/>
    </row>
    <row r="81" spans="2:9" ht="139.5" customHeight="1">
      <c r="B81" s="80" t="s">
        <v>87</v>
      </c>
      <c r="C81" s="80">
        <v>1070</v>
      </c>
      <c r="D81" s="67" t="s">
        <v>88</v>
      </c>
      <c r="E81" s="67" t="s">
        <v>157</v>
      </c>
      <c r="F81" s="28">
        <f>250000+240900+9100</f>
        <v>500000</v>
      </c>
      <c r="G81" s="28"/>
      <c r="H81" s="26">
        <f aca="true" t="shared" si="2" ref="H81:H95">F81+G81</f>
        <v>500000</v>
      </c>
      <c r="I81" s="144"/>
    </row>
    <row r="82" spans="2:9" ht="176.25" customHeight="1">
      <c r="B82" s="66" t="s">
        <v>234</v>
      </c>
      <c r="C82" s="81">
        <v>1070</v>
      </c>
      <c r="D82" s="67" t="s">
        <v>235</v>
      </c>
      <c r="E82" s="67" t="s">
        <v>157</v>
      </c>
      <c r="F82" s="28">
        <f>1394632+45300</f>
        <v>1439932</v>
      </c>
      <c r="G82" s="28"/>
      <c r="H82" s="26">
        <f t="shared" si="2"/>
        <v>1439932</v>
      </c>
      <c r="I82" s="144"/>
    </row>
    <row r="83" spans="2:9" ht="162.75" customHeight="1">
      <c r="B83" s="64" t="s">
        <v>13</v>
      </c>
      <c r="C83" s="64" t="s">
        <v>15</v>
      </c>
      <c r="D83" s="65" t="s">
        <v>14</v>
      </c>
      <c r="E83" s="67" t="s">
        <v>157</v>
      </c>
      <c r="F83" s="29">
        <f>1730323+45128+130000+224000+90870+18000+360000+108700+51390+68890-4499+59000+531692+44646+32027+8680+27216+30000+19000+121934+5000+426400.96+69840+1209360+14896+23110+372653+375000+55000+158964</f>
        <v>6407220.96</v>
      </c>
      <c r="G83" s="28"/>
      <c r="H83" s="26">
        <f t="shared" si="2"/>
        <v>6407220.96</v>
      </c>
      <c r="I83" s="144"/>
    </row>
    <row r="84" spans="2:9" ht="156.75" customHeight="1">
      <c r="B84" s="66" t="s">
        <v>90</v>
      </c>
      <c r="C84" s="66" t="s">
        <v>92</v>
      </c>
      <c r="D84" s="67" t="s">
        <v>91</v>
      </c>
      <c r="E84" s="67" t="s">
        <v>157</v>
      </c>
      <c r="F84" s="28">
        <f>902586+88819-4601+1199600-1000000+300000+54755+132000-72696-7022</f>
        <v>1593441</v>
      </c>
      <c r="G84" s="28"/>
      <c r="H84" s="26">
        <f t="shared" si="2"/>
        <v>1593441</v>
      </c>
      <c r="I84" s="144"/>
    </row>
    <row r="85" spans="2:9" ht="118.5" customHeight="1">
      <c r="B85" s="66" t="s">
        <v>165</v>
      </c>
      <c r="C85" s="66" t="s">
        <v>174</v>
      </c>
      <c r="D85" s="67" t="s">
        <v>175</v>
      </c>
      <c r="E85" s="67" t="s">
        <v>154</v>
      </c>
      <c r="F85" s="28">
        <f>160429-16831+231305.07-5847.97-75024.86</f>
        <v>294030.24000000005</v>
      </c>
      <c r="G85" s="28"/>
      <c r="H85" s="26">
        <f t="shared" si="2"/>
        <v>294030.24000000005</v>
      </c>
      <c r="I85" s="144"/>
    </row>
    <row r="86" spans="2:9" ht="153.75" customHeight="1">
      <c r="B86" s="122" t="s">
        <v>199</v>
      </c>
      <c r="C86" s="122" t="s">
        <v>201</v>
      </c>
      <c r="D86" s="120" t="s">
        <v>200</v>
      </c>
      <c r="E86" s="67" t="s">
        <v>157</v>
      </c>
      <c r="F86" s="28">
        <f>170500-7700+4800-2842+4000-40000-30390</f>
        <v>98368</v>
      </c>
      <c r="G86" s="28">
        <f>297000+132000-4000</f>
        <v>425000</v>
      </c>
      <c r="H86" s="26">
        <f t="shared" si="2"/>
        <v>523368</v>
      </c>
      <c r="I86" s="144"/>
    </row>
    <row r="87" spans="2:9" ht="141" customHeight="1">
      <c r="B87" s="123"/>
      <c r="C87" s="123"/>
      <c r="D87" s="121"/>
      <c r="E87" s="67" t="s">
        <v>176</v>
      </c>
      <c r="F87" s="28"/>
      <c r="G87" s="28">
        <v>7903</v>
      </c>
      <c r="H87" s="26">
        <f t="shared" si="2"/>
        <v>7903</v>
      </c>
      <c r="I87" s="144"/>
    </row>
    <row r="88" spans="2:9" ht="309" customHeight="1">
      <c r="B88" s="66" t="s">
        <v>93</v>
      </c>
      <c r="C88" s="66" t="s">
        <v>6</v>
      </c>
      <c r="D88" s="67" t="s">
        <v>94</v>
      </c>
      <c r="E88" s="67" t="s">
        <v>157</v>
      </c>
      <c r="F88" s="28">
        <f>2446698+35741-372653-2740-158964</f>
        <v>1948082</v>
      </c>
      <c r="G88" s="28"/>
      <c r="H88" s="26">
        <f t="shared" si="2"/>
        <v>1948082</v>
      </c>
      <c r="I88" s="144"/>
    </row>
    <row r="89" spans="2:9" ht="166.5" customHeight="1">
      <c r="B89" s="66" t="s">
        <v>95</v>
      </c>
      <c r="C89" s="66" t="s">
        <v>92</v>
      </c>
      <c r="D89" s="67" t="s">
        <v>96</v>
      </c>
      <c r="E89" s="67" t="s">
        <v>157</v>
      </c>
      <c r="F89" s="28">
        <v>798900</v>
      </c>
      <c r="G89" s="28"/>
      <c r="H89" s="26">
        <f t="shared" si="2"/>
        <v>798900</v>
      </c>
      <c r="I89" s="144"/>
    </row>
    <row r="90" spans="2:9" ht="162.75" customHeight="1">
      <c r="B90" s="66" t="s">
        <v>202</v>
      </c>
      <c r="C90" s="66" t="s">
        <v>201</v>
      </c>
      <c r="D90" s="67" t="s">
        <v>203</v>
      </c>
      <c r="E90" s="67" t="s">
        <v>157</v>
      </c>
      <c r="F90" s="28">
        <f>54417+30000-30000+2740</f>
        <v>57157</v>
      </c>
      <c r="G90" s="28"/>
      <c r="H90" s="26">
        <f t="shared" si="2"/>
        <v>57157</v>
      </c>
      <c r="I90" s="144"/>
    </row>
    <row r="91" spans="2:9" ht="88.5">
      <c r="B91" s="66" t="s">
        <v>244</v>
      </c>
      <c r="C91" s="66" t="s">
        <v>15</v>
      </c>
      <c r="D91" s="67" t="s">
        <v>245</v>
      </c>
      <c r="E91" s="67" t="s">
        <v>176</v>
      </c>
      <c r="F91" s="28"/>
      <c r="G91" s="28">
        <v>243500</v>
      </c>
      <c r="H91" s="26">
        <f t="shared" si="2"/>
        <v>243500</v>
      </c>
      <c r="I91" s="144"/>
    </row>
    <row r="92" spans="2:9" ht="164.25" customHeight="1">
      <c r="B92" s="66" t="s">
        <v>236</v>
      </c>
      <c r="C92" s="66" t="s">
        <v>89</v>
      </c>
      <c r="D92" s="67" t="s">
        <v>237</v>
      </c>
      <c r="E92" s="67" t="s">
        <v>157</v>
      </c>
      <c r="F92" s="28">
        <f>3009742+524828+90000</f>
        <v>3624570</v>
      </c>
      <c r="G92" s="28"/>
      <c r="H92" s="26">
        <f t="shared" si="2"/>
        <v>3624570</v>
      </c>
      <c r="I92" s="144"/>
    </row>
    <row r="93" spans="2:9" ht="164.25" customHeight="1">
      <c r="B93" s="66" t="s">
        <v>253</v>
      </c>
      <c r="C93" s="66" t="s">
        <v>89</v>
      </c>
      <c r="D93" s="67" t="s">
        <v>255</v>
      </c>
      <c r="E93" s="67" t="s">
        <v>157</v>
      </c>
      <c r="F93" s="28">
        <v>1350000</v>
      </c>
      <c r="G93" s="28"/>
      <c r="H93" s="26">
        <f t="shared" si="2"/>
        <v>1350000</v>
      </c>
      <c r="I93" s="119"/>
    </row>
    <row r="94" spans="2:9" ht="164.25" customHeight="1">
      <c r="B94" s="66" t="s">
        <v>97</v>
      </c>
      <c r="C94" s="66" t="s">
        <v>89</v>
      </c>
      <c r="D94" s="67" t="s">
        <v>98</v>
      </c>
      <c r="E94" s="67" t="s">
        <v>157</v>
      </c>
      <c r="F94" s="28">
        <f>130000+9557658+25588</f>
        <v>9713246</v>
      </c>
      <c r="G94" s="28"/>
      <c r="H94" s="26">
        <f t="shared" si="2"/>
        <v>9713246</v>
      </c>
      <c r="I94" s="128"/>
    </row>
    <row r="95" spans="2:9" ht="132.75">
      <c r="B95" s="64" t="s">
        <v>139</v>
      </c>
      <c r="C95" s="64" t="s">
        <v>138</v>
      </c>
      <c r="D95" s="65" t="s">
        <v>140</v>
      </c>
      <c r="E95" s="82" t="s">
        <v>157</v>
      </c>
      <c r="F95" s="28">
        <f>1160656+1000000-715200</f>
        <v>1445456</v>
      </c>
      <c r="G95" s="28"/>
      <c r="H95" s="26">
        <f t="shared" si="2"/>
        <v>1445456</v>
      </c>
      <c r="I95" s="128"/>
    </row>
    <row r="96" spans="2:9" ht="93" customHeight="1">
      <c r="B96" s="66"/>
      <c r="C96" s="66"/>
      <c r="D96" s="75" t="s">
        <v>100</v>
      </c>
      <c r="E96" s="63"/>
      <c r="F96" s="26">
        <f>F97</f>
        <v>50000</v>
      </c>
      <c r="G96" s="26">
        <f>G97</f>
        <v>0</v>
      </c>
      <c r="H96" s="26">
        <f>H97</f>
        <v>50000</v>
      </c>
      <c r="I96" s="128"/>
    </row>
    <row r="97" spans="2:9" ht="132.75">
      <c r="B97" s="66" t="s">
        <v>102</v>
      </c>
      <c r="C97" s="66" t="s">
        <v>18</v>
      </c>
      <c r="D97" s="67" t="s">
        <v>101</v>
      </c>
      <c r="E97" s="63" t="s">
        <v>99</v>
      </c>
      <c r="F97" s="27">
        <v>50000</v>
      </c>
      <c r="G97" s="27"/>
      <c r="H97" s="26">
        <f>F97+G97</f>
        <v>50000</v>
      </c>
      <c r="I97" s="128"/>
    </row>
    <row r="98" spans="2:9" ht="114.75" customHeight="1">
      <c r="B98" s="72"/>
      <c r="C98" s="72"/>
      <c r="D98" s="79" t="s">
        <v>103</v>
      </c>
      <c r="E98" s="70"/>
      <c r="F98" s="26">
        <f>SUM(F99:F102)</f>
        <v>1886800</v>
      </c>
      <c r="G98" s="26">
        <f>SUM(G99:G102)</f>
        <v>1122000</v>
      </c>
      <c r="H98" s="26">
        <f>SUM(H99:H102)</f>
        <v>3008800</v>
      </c>
      <c r="I98" s="128"/>
    </row>
    <row r="99" spans="2:9" ht="207.75" customHeight="1">
      <c r="B99" s="81" t="s">
        <v>3</v>
      </c>
      <c r="C99" s="81" t="s">
        <v>2</v>
      </c>
      <c r="D99" s="65" t="s">
        <v>12</v>
      </c>
      <c r="E99" s="63" t="s">
        <v>155</v>
      </c>
      <c r="F99" s="27">
        <v>30000</v>
      </c>
      <c r="G99" s="27"/>
      <c r="H99" s="26">
        <f>F99+G99</f>
        <v>30000</v>
      </c>
      <c r="I99" s="128"/>
    </row>
    <row r="100" spans="2:9" ht="183.75" customHeight="1">
      <c r="B100" s="66" t="s">
        <v>105</v>
      </c>
      <c r="C100" s="66" t="s">
        <v>106</v>
      </c>
      <c r="D100" s="67" t="s">
        <v>104</v>
      </c>
      <c r="E100" s="63" t="s">
        <v>186</v>
      </c>
      <c r="F100" s="27">
        <f>1000000+30000+45000+70000+95000</f>
        <v>1240000</v>
      </c>
      <c r="G100" s="27"/>
      <c r="H100" s="26">
        <f>F100+G100</f>
        <v>1240000</v>
      </c>
      <c r="I100" s="128"/>
    </row>
    <row r="101" spans="2:9" ht="231.75" customHeight="1">
      <c r="B101" s="72" t="s">
        <v>179</v>
      </c>
      <c r="C101" s="72" t="s">
        <v>180</v>
      </c>
      <c r="D101" s="73" t="s">
        <v>181</v>
      </c>
      <c r="E101" s="63" t="s">
        <v>187</v>
      </c>
      <c r="F101" s="29">
        <f>370000+50000+30000+7800+5000+15000+8500+30000+5500+10000</f>
        <v>531800</v>
      </c>
      <c r="G101" s="30">
        <f>534500+95000+8500+20000+20000+10000-8500+5000</f>
        <v>684500</v>
      </c>
      <c r="H101" s="26">
        <f>F101+G101</f>
        <v>1216300</v>
      </c>
      <c r="I101" s="128"/>
    </row>
    <row r="102" spans="2:9" ht="252.75" customHeight="1">
      <c r="B102" s="72" t="s">
        <v>182</v>
      </c>
      <c r="C102" s="72" t="s">
        <v>183</v>
      </c>
      <c r="D102" s="73" t="s">
        <v>184</v>
      </c>
      <c r="E102" s="63" t="s">
        <v>187</v>
      </c>
      <c r="F102" s="29">
        <f>6000+10000+33000+3000+18000+5000+10000</f>
        <v>85000</v>
      </c>
      <c r="G102" s="29">
        <f>435500-18000+20000</f>
        <v>437500</v>
      </c>
      <c r="H102" s="26">
        <f>F102+G102</f>
        <v>522500</v>
      </c>
      <c r="I102" s="128"/>
    </row>
    <row r="103" spans="2:9" ht="129" customHeight="1">
      <c r="B103" s="72"/>
      <c r="C103" s="72"/>
      <c r="D103" s="79" t="s">
        <v>107</v>
      </c>
      <c r="E103" s="63"/>
      <c r="F103" s="26">
        <f>SUM(F104:F129)</f>
        <v>43904862.059999995</v>
      </c>
      <c r="G103" s="26">
        <f>SUM(G104:G129)</f>
        <v>132489935.37</v>
      </c>
      <c r="H103" s="26">
        <f>SUM(H104:H129)</f>
        <v>176394797.42999998</v>
      </c>
      <c r="I103" s="128"/>
    </row>
    <row r="104" spans="2:9" ht="156.75" customHeight="1">
      <c r="B104" s="122" t="s">
        <v>3</v>
      </c>
      <c r="C104" s="135" t="s">
        <v>2</v>
      </c>
      <c r="D104" s="120" t="s">
        <v>12</v>
      </c>
      <c r="E104" s="63" t="s">
        <v>155</v>
      </c>
      <c r="F104" s="27">
        <v>40000</v>
      </c>
      <c r="G104" s="27"/>
      <c r="H104" s="26">
        <f>F104+G104</f>
        <v>40000</v>
      </c>
      <c r="I104" s="128"/>
    </row>
    <row r="105" spans="2:9" ht="151.5" customHeight="1">
      <c r="B105" s="124"/>
      <c r="C105" s="136"/>
      <c r="D105" s="131"/>
      <c r="E105" s="63" t="s">
        <v>156</v>
      </c>
      <c r="F105" s="27">
        <v>15000</v>
      </c>
      <c r="G105" s="27"/>
      <c r="H105" s="26">
        <f aca="true" t="shared" si="3" ref="H105:H129">F105+G105</f>
        <v>15000</v>
      </c>
      <c r="I105" s="128"/>
    </row>
    <row r="106" spans="2:9" ht="177">
      <c r="B106" s="122" t="s">
        <v>165</v>
      </c>
      <c r="C106" s="122" t="s">
        <v>174</v>
      </c>
      <c r="D106" s="120" t="s">
        <v>175</v>
      </c>
      <c r="E106" s="67" t="s">
        <v>61</v>
      </c>
      <c r="F106" s="27">
        <f>350000-92800-45156</f>
        <v>212044</v>
      </c>
      <c r="G106" s="27"/>
      <c r="H106" s="26">
        <f t="shared" si="3"/>
        <v>212044</v>
      </c>
      <c r="I106" s="128"/>
    </row>
    <row r="107" spans="2:9" ht="99.75" customHeight="1">
      <c r="B107" s="123"/>
      <c r="C107" s="123"/>
      <c r="D107" s="121"/>
      <c r="E107" s="67" t="s">
        <v>154</v>
      </c>
      <c r="F107" s="27">
        <v>5847.97</v>
      </c>
      <c r="G107" s="27"/>
      <c r="H107" s="26">
        <f t="shared" si="3"/>
        <v>5847.97</v>
      </c>
      <c r="I107" s="128"/>
    </row>
    <row r="108" spans="2:9" ht="177">
      <c r="B108" s="66" t="s">
        <v>189</v>
      </c>
      <c r="C108" s="64" t="s">
        <v>111</v>
      </c>
      <c r="D108" s="67" t="s">
        <v>190</v>
      </c>
      <c r="E108" s="63" t="s">
        <v>61</v>
      </c>
      <c r="F108" s="27">
        <f>180000+1500000+14880-14880-49998</f>
        <v>1630002</v>
      </c>
      <c r="G108" s="27"/>
      <c r="H108" s="26">
        <f t="shared" si="3"/>
        <v>1630002</v>
      </c>
      <c r="I108" s="128"/>
    </row>
    <row r="109" spans="2:9" ht="177">
      <c r="B109" s="64" t="s">
        <v>109</v>
      </c>
      <c r="C109" s="64" t="s">
        <v>111</v>
      </c>
      <c r="D109" s="65" t="s">
        <v>110</v>
      </c>
      <c r="E109" s="63" t="s">
        <v>61</v>
      </c>
      <c r="F109" s="27">
        <f>195000+195000+195000</f>
        <v>585000</v>
      </c>
      <c r="G109" s="30">
        <f>30000000+6285.14-100000+8250000-1000000+11000000+3000000+81197+34241+43208+1500000+1902000+170702+146800+2000000+80000+2000000+201011+3000000-100000+1500000</f>
        <v>63715444.14</v>
      </c>
      <c r="H109" s="26">
        <f t="shared" si="3"/>
        <v>64300444.14</v>
      </c>
      <c r="I109" s="128"/>
    </row>
    <row r="110" spans="2:9" ht="204" customHeight="1">
      <c r="B110" s="64" t="s">
        <v>112</v>
      </c>
      <c r="C110" s="64" t="s">
        <v>111</v>
      </c>
      <c r="D110" s="65" t="s">
        <v>113</v>
      </c>
      <c r="E110" s="71" t="s">
        <v>61</v>
      </c>
      <c r="F110" s="27"/>
      <c r="G110" s="27">
        <f>2000000+1000000+3000000+1000000</f>
        <v>7000000</v>
      </c>
      <c r="H110" s="26">
        <f t="shared" si="3"/>
        <v>7000000</v>
      </c>
      <c r="I110" s="128"/>
    </row>
    <row r="111" spans="2:9" ht="177">
      <c r="B111" s="77" t="s">
        <v>114</v>
      </c>
      <c r="C111" s="64" t="s">
        <v>28</v>
      </c>
      <c r="D111" s="65" t="s">
        <v>115</v>
      </c>
      <c r="E111" s="63" t="s">
        <v>61</v>
      </c>
      <c r="F111" s="27">
        <f>1825100+120003+350000+150000+2729000+1057608-20000-72148</f>
        <v>6139563</v>
      </c>
      <c r="G111" s="27">
        <f>1499312+1630100+300790+664532+174600+200666+172909</f>
        <v>4642909</v>
      </c>
      <c r="H111" s="26">
        <f t="shared" si="3"/>
        <v>10782472</v>
      </c>
      <c r="I111" s="128"/>
    </row>
    <row r="112" spans="2:9" ht="202.5" customHeight="1">
      <c r="B112" s="76" t="s">
        <v>26</v>
      </c>
      <c r="C112" s="66" t="s">
        <v>28</v>
      </c>
      <c r="D112" s="83" t="s">
        <v>27</v>
      </c>
      <c r="E112" s="63" t="s">
        <v>61</v>
      </c>
      <c r="F112" s="30">
        <f>25167912+1900000-224000+3000000-359255-365036-663250-1747.2-392229-483368.8+328000-282375+26000-11719+250000-419848-121017+20000-141277-6200-125209.4+67555-354993.77-5697-154854-5000-193340-49608+200000-6000+48700-70500+15407+2500+2600000+100000-23110+100000+20000-30000-21976.03+200000+131644+197000+401800+20000-200000+272148</f>
        <v>30357055.8</v>
      </c>
      <c r="G112" s="30">
        <f>16250000+6500000-731714-461123+1747.2-287161-248820+25000-234505+11719-245322-20000+121017-55500+6200+200000-238002+5697-146800-49000-115000+755000-317234-206011-231972-20000-41000-30000+30000-41000-22323.97+76098-108000+1647900-5000-5000</f>
        <v>21769890.23</v>
      </c>
      <c r="H112" s="26">
        <f t="shared" si="3"/>
        <v>52126946.03</v>
      </c>
      <c r="I112" s="128"/>
    </row>
    <row r="113" spans="2:9" ht="222" customHeight="1">
      <c r="B113" s="78" t="s">
        <v>209</v>
      </c>
      <c r="C113" s="72" t="s">
        <v>28</v>
      </c>
      <c r="D113" s="84" t="s">
        <v>210</v>
      </c>
      <c r="E113" s="63" t="s">
        <v>61</v>
      </c>
      <c r="F113" s="27"/>
      <c r="G113" s="27">
        <v>845938</v>
      </c>
      <c r="H113" s="26">
        <f t="shared" si="3"/>
        <v>845938</v>
      </c>
      <c r="I113" s="128"/>
    </row>
    <row r="114" spans="2:9" ht="223.5" customHeight="1">
      <c r="B114" s="66" t="s">
        <v>222</v>
      </c>
      <c r="C114" s="66" t="s">
        <v>28</v>
      </c>
      <c r="D114" s="67" t="s">
        <v>223</v>
      </c>
      <c r="E114" s="63" t="s">
        <v>61</v>
      </c>
      <c r="F114" s="27">
        <f>100000+121332+30000+45386.29+47000</f>
        <v>343718.29</v>
      </c>
      <c r="G114" s="27"/>
      <c r="H114" s="26">
        <f t="shared" si="3"/>
        <v>343718.29</v>
      </c>
      <c r="I114" s="128"/>
    </row>
    <row r="115" spans="2:9" ht="177">
      <c r="B115" s="64" t="s">
        <v>7</v>
      </c>
      <c r="C115" s="64" t="s">
        <v>8</v>
      </c>
      <c r="D115" s="67" t="s">
        <v>243</v>
      </c>
      <c r="E115" s="63" t="s">
        <v>61</v>
      </c>
      <c r="F115" s="27"/>
      <c r="G115" s="27">
        <f>500000+1473000+41000+2300000-2300000+45156</f>
        <v>2059156</v>
      </c>
      <c r="H115" s="26">
        <f t="shared" si="3"/>
        <v>2059156</v>
      </c>
      <c r="I115" s="128"/>
    </row>
    <row r="116" spans="2:9" ht="194.25" customHeight="1">
      <c r="B116" s="64" t="s">
        <v>150</v>
      </c>
      <c r="C116" s="64" t="s">
        <v>151</v>
      </c>
      <c r="D116" s="65" t="s">
        <v>152</v>
      </c>
      <c r="E116" s="63" t="s">
        <v>61</v>
      </c>
      <c r="F116" s="27">
        <f>465000+34370</f>
        <v>499370</v>
      </c>
      <c r="G116" s="27"/>
      <c r="H116" s="26">
        <f t="shared" si="3"/>
        <v>499370</v>
      </c>
      <c r="I116" s="128"/>
    </row>
    <row r="117" spans="2:9" ht="200.25" customHeight="1">
      <c r="B117" s="64" t="s">
        <v>116</v>
      </c>
      <c r="C117" s="64" t="s">
        <v>118</v>
      </c>
      <c r="D117" s="65" t="s">
        <v>117</v>
      </c>
      <c r="E117" s="63" t="s">
        <v>61</v>
      </c>
      <c r="F117" s="27">
        <f>180000+1500000+10851+26971+7564.29-1500000-14880+14880-45386.29+49998</f>
        <v>229998.00000000003</v>
      </c>
      <c r="G117" s="27"/>
      <c r="H117" s="26">
        <f t="shared" si="3"/>
        <v>229998.00000000003</v>
      </c>
      <c r="I117" s="128"/>
    </row>
    <row r="118" spans="2:9" ht="156" customHeight="1">
      <c r="B118" s="122" t="s">
        <v>119</v>
      </c>
      <c r="C118" s="122" t="s">
        <v>121</v>
      </c>
      <c r="D118" s="120" t="s">
        <v>120</v>
      </c>
      <c r="E118" s="63" t="s">
        <v>108</v>
      </c>
      <c r="F118" s="27">
        <f>30000</f>
        <v>30000</v>
      </c>
      <c r="G118" s="27"/>
      <c r="H118" s="26">
        <f t="shared" si="3"/>
        <v>30000</v>
      </c>
      <c r="I118" s="128"/>
    </row>
    <row r="119" spans="2:9" ht="182.25" customHeight="1">
      <c r="B119" s="123"/>
      <c r="C119" s="123"/>
      <c r="D119" s="121"/>
      <c r="E119" s="63" t="s">
        <v>61</v>
      </c>
      <c r="F119" s="27">
        <f>500000+500000+60000</f>
        <v>1060000</v>
      </c>
      <c r="G119" s="27"/>
      <c r="H119" s="26">
        <f t="shared" si="3"/>
        <v>1060000</v>
      </c>
      <c r="I119" s="128"/>
    </row>
    <row r="120" spans="2:9" ht="177">
      <c r="B120" s="64" t="s">
        <v>48</v>
      </c>
      <c r="C120" s="64" t="s">
        <v>8</v>
      </c>
      <c r="D120" s="65" t="s">
        <v>49</v>
      </c>
      <c r="E120" s="63" t="s">
        <v>61</v>
      </c>
      <c r="F120" s="27"/>
      <c r="G120" s="30">
        <f>12363400+2550000+4260750+319200+14159+292000+4969900+1470000+1907607+470000+45800</f>
        <v>28662816</v>
      </c>
      <c r="H120" s="26">
        <f t="shared" si="3"/>
        <v>28662816</v>
      </c>
      <c r="I120" s="128"/>
    </row>
    <row r="121" spans="2:9" ht="177">
      <c r="B121" s="64" t="s">
        <v>153</v>
      </c>
      <c r="C121" s="64" t="s">
        <v>73</v>
      </c>
      <c r="D121" s="65" t="s">
        <v>72</v>
      </c>
      <c r="E121" s="71" t="s">
        <v>162</v>
      </c>
      <c r="F121" s="27">
        <f>410000-251200</f>
        <v>158800</v>
      </c>
      <c r="G121" s="27"/>
      <c r="H121" s="26">
        <f t="shared" si="3"/>
        <v>158800</v>
      </c>
      <c r="I121" s="128"/>
    </row>
    <row r="122" spans="2:9" ht="177">
      <c r="B122" s="64" t="s">
        <v>122</v>
      </c>
      <c r="C122" s="64" t="s">
        <v>124</v>
      </c>
      <c r="D122" s="65" t="s">
        <v>123</v>
      </c>
      <c r="E122" s="71" t="s">
        <v>162</v>
      </c>
      <c r="F122" s="27"/>
      <c r="G122" s="27">
        <f>54000+1534200+3612538+145344</f>
        <v>5346082</v>
      </c>
      <c r="H122" s="26">
        <f t="shared" si="3"/>
        <v>5346082</v>
      </c>
      <c r="I122" s="128"/>
    </row>
    <row r="123" spans="2:9" ht="177">
      <c r="B123" s="64">
        <v>240602</v>
      </c>
      <c r="C123" s="64" t="s">
        <v>204</v>
      </c>
      <c r="D123" s="65" t="s">
        <v>205</v>
      </c>
      <c r="E123" s="71" t="s">
        <v>162</v>
      </c>
      <c r="F123" s="27"/>
      <c r="G123" s="27">
        <v>250000</v>
      </c>
      <c r="H123" s="26">
        <f t="shared" si="3"/>
        <v>250000</v>
      </c>
      <c r="I123" s="128"/>
    </row>
    <row r="124" spans="2:9" ht="177">
      <c r="B124" s="64">
        <v>240605</v>
      </c>
      <c r="C124" s="66" t="s">
        <v>73</v>
      </c>
      <c r="D124" s="65" t="s">
        <v>72</v>
      </c>
      <c r="E124" s="71" t="s">
        <v>162</v>
      </c>
      <c r="F124" s="27"/>
      <c r="G124" s="27">
        <v>251200</v>
      </c>
      <c r="H124" s="26">
        <f t="shared" si="3"/>
        <v>251200</v>
      </c>
      <c r="I124" s="128"/>
    </row>
    <row r="125" spans="2:9" ht="177">
      <c r="B125" s="64" t="s">
        <v>139</v>
      </c>
      <c r="C125" s="64" t="s">
        <v>138</v>
      </c>
      <c r="D125" s="65" t="s">
        <v>140</v>
      </c>
      <c r="E125" s="71" t="s">
        <v>61</v>
      </c>
      <c r="F125" s="28">
        <f>229500+450000</f>
        <v>679500</v>
      </c>
      <c r="G125" s="27">
        <v>750500</v>
      </c>
      <c r="H125" s="26">
        <f>F125+G125</f>
        <v>1430000</v>
      </c>
      <c r="I125" s="128"/>
    </row>
    <row r="126" spans="2:9" ht="221.25">
      <c r="B126" s="125" t="s">
        <v>59</v>
      </c>
      <c r="C126" s="122" t="s">
        <v>58</v>
      </c>
      <c r="D126" s="120" t="s">
        <v>23</v>
      </c>
      <c r="E126" s="71" t="s">
        <v>173</v>
      </c>
      <c r="F126" s="27">
        <v>258120</v>
      </c>
      <c r="G126" s="27"/>
      <c r="H126" s="26">
        <f t="shared" si="3"/>
        <v>258120</v>
      </c>
      <c r="I126" s="128"/>
    </row>
    <row r="127" spans="2:9" ht="177">
      <c r="B127" s="126"/>
      <c r="C127" s="124"/>
      <c r="D127" s="131"/>
      <c r="E127" s="63" t="s">
        <v>61</v>
      </c>
      <c r="F127" s="27">
        <f>1429000+1920+67223+82700</f>
        <v>1580843</v>
      </c>
      <c r="G127" s="27"/>
      <c r="H127" s="26">
        <f t="shared" si="3"/>
        <v>1580843</v>
      </c>
      <c r="I127" s="128"/>
    </row>
    <row r="128" spans="2:9" ht="177">
      <c r="B128" s="64" t="s">
        <v>216</v>
      </c>
      <c r="C128" s="66" t="s">
        <v>8</v>
      </c>
      <c r="D128" s="65" t="s">
        <v>217</v>
      </c>
      <c r="E128" s="71" t="s">
        <v>211</v>
      </c>
      <c r="F128" s="27">
        <v>80000</v>
      </c>
      <c r="G128" s="27"/>
      <c r="H128" s="26">
        <f t="shared" si="3"/>
        <v>80000</v>
      </c>
      <c r="I128" s="128"/>
    </row>
    <row r="129" spans="2:9" ht="198" customHeight="1">
      <c r="B129" s="66" t="s">
        <v>125</v>
      </c>
      <c r="C129" s="66" t="s">
        <v>8</v>
      </c>
      <c r="D129" s="67" t="s">
        <v>126</v>
      </c>
      <c r="E129" s="71" t="s">
        <v>61</v>
      </c>
      <c r="F129" s="27"/>
      <c r="G129" s="27">
        <f>-2824000+100000-80000</f>
        <v>-2804000</v>
      </c>
      <c r="H129" s="26">
        <f t="shared" si="3"/>
        <v>-2804000</v>
      </c>
      <c r="I129" s="128"/>
    </row>
    <row r="130" spans="1:9" s="10" customFormat="1" ht="97.5" customHeight="1">
      <c r="A130" s="9"/>
      <c r="B130" s="85"/>
      <c r="C130" s="85"/>
      <c r="D130" s="75" t="s">
        <v>127</v>
      </c>
      <c r="E130" s="86"/>
      <c r="F130" s="26">
        <f>SUM(F131:F132)</f>
        <v>122089.26999999999</v>
      </c>
      <c r="G130" s="26">
        <f>SUM(G131:G132)</f>
        <v>0</v>
      </c>
      <c r="H130" s="26">
        <f>SUM(H131:H132)</f>
        <v>122089.26999999999</v>
      </c>
      <c r="I130" s="128"/>
    </row>
    <row r="131" spans="2:9" ht="330" customHeight="1">
      <c r="B131" s="64" t="s">
        <v>116</v>
      </c>
      <c r="C131" s="64" t="s">
        <v>118</v>
      </c>
      <c r="D131" s="65" t="s">
        <v>117</v>
      </c>
      <c r="E131" s="71" t="s">
        <v>252</v>
      </c>
      <c r="F131" s="27">
        <f>10500-1200</f>
        <v>9300</v>
      </c>
      <c r="G131" s="27"/>
      <c r="H131" s="26">
        <f>F131+G131</f>
        <v>9300</v>
      </c>
      <c r="I131" s="128"/>
    </row>
    <row r="132" spans="2:9" ht="307.5" customHeight="1">
      <c r="B132" s="64" t="s">
        <v>59</v>
      </c>
      <c r="C132" s="64" t="s">
        <v>58</v>
      </c>
      <c r="D132" s="65" t="s">
        <v>23</v>
      </c>
      <c r="E132" s="71" t="s">
        <v>252</v>
      </c>
      <c r="F132" s="27">
        <f>360000-247210.73</f>
        <v>112789.26999999999</v>
      </c>
      <c r="G132" s="27"/>
      <c r="H132" s="26">
        <f>F132+G132</f>
        <v>112789.26999999999</v>
      </c>
      <c r="I132" s="128"/>
    </row>
    <row r="133" spans="2:9" ht="118.5" customHeight="1">
      <c r="B133" s="85"/>
      <c r="C133" s="85"/>
      <c r="D133" s="75" t="s">
        <v>242</v>
      </c>
      <c r="E133" s="86"/>
      <c r="F133" s="26">
        <f>SUM(F134:F136)</f>
        <v>321970.73</v>
      </c>
      <c r="G133" s="26">
        <f>SUM(G134:G136)</f>
        <v>100000</v>
      </c>
      <c r="H133" s="26">
        <f>SUM(H134:H136)</f>
        <v>421970.73</v>
      </c>
      <c r="I133" s="128"/>
    </row>
    <row r="134" spans="2:9" ht="165.75" customHeight="1">
      <c r="B134" s="64" t="s">
        <v>3</v>
      </c>
      <c r="C134" s="66" t="s">
        <v>2</v>
      </c>
      <c r="D134" s="67" t="s">
        <v>12</v>
      </c>
      <c r="E134" s="63" t="s">
        <v>156</v>
      </c>
      <c r="F134" s="27">
        <v>15760</v>
      </c>
      <c r="G134" s="27"/>
      <c r="H134" s="26">
        <f>F134+G134</f>
        <v>15760</v>
      </c>
      <c r="I134" s="128"/>
    </row>
    <row r="135" spans="2:9" ht="305.25" customHeight="1">
      <c r="B135" s="64" t="s">
        <v>116</v>
      </c>
      <c r="C135" s="64" t="s">
        <v>118</v>
      </c>
      <c r="D135" s="65" t="s">
        <v>117</v>
      </c>
      <c r="E135" s="71" t="s">
        <v>252</v>
      </c>
      <c r="F135" s="27">
        <f>1200+16800</f>
        <v>18000</v>
      </c>
      <c r="G135" s="27">
        <f>141000-41000</f>
        <v>100000</v>
      </c>
      <c r="H135" s="26">
        <f>F135+G135</f>
        <v>118000</v>
      </c>
      <c r="I135" s="128"/>
    </row>
    <row r="136" spans="2:9" ht="305.25" customHeight="1">
      <c r="B136" s="64" t="s">
        <v>59</v>
      </c>
      <c r="C136" s="64" t="s">
        <v>58</v>
      </c>
      <c r="D136" s="65" t="s">
        <v>23</v>
      </c>
      <c r="E136" s="71" t="s">
        <v>252</v>
      </c>
      <c r="F136" s="27">
        <f>247210.73+41000</f>
        <v>288210.73</v>
      </c>
      <c r="G136" s="27"/>
      <c r="H136" s="26">
        <f>F136+G136</f>
        <v>288210.73</v>
      </c>
      <c r="I136" s="128"/>
    </row>
    <row r="137" spans="1:9" s="10" customFormat="1" ht="129.75" customHeight="1">
      <c r="A137" s="9"/>
      <c r="B137" s="85"/>
      <c r="C137" s="85"/>
      <c r="D137" s="75" t="s">
        <v>128</v>
      </c>
      <c r="E137" s="86"/>
      <c r="F137" s="26">
        <f>SUM(F138:F155)</f>
        <v>70932869</v>
      </c>
      <c r="G137" s="26">
        <f>SUM(G138:G155)</f>
        <v>243680159.98</v>
      </c>
      <c r="H137" s="26">
        <f>SUM(H138:H155)</f>
        <v>314613028.97999996</v>
      </c>
      <c r="I137" s="128"/>
    </row>
    <row r="138" spans="2:9" ht="141" customHeight="1">
      <c r="B138" s="77" t="s">
        <v>3</v>
      </c>
      <c r="C138" s="80" t="s">
        <v>2</v>
      </c>
      <c r="D138" s="65" t="s">
        <v>12</v>
      </c>
      <c r="E138" s="63" t="s">
        <v>251</v>
      </c>
      <c r="F138" s="27"/>
      <c r="G138" s="27">
        <v>10000</v>
      </c>
      <c r="H138" s="26">
        <f>F138+G138</f>
        <v>10000</v>
      </c>
      <c r="I138" s="128"/>
    </row>
    <row r="139" spans="2:9" ht="312.75" customHeight="1">
      <c r="B139" s="77" t="s">
        <v>75</v>
      </c>
      <c r="C139" s="66" t="s">
        <v>83</v>
      </c>
      <c r="D139" s="65" t="s">
        <v>76</v>
      </c>
      <c r="E139" s="87" t="s">
        <v>185</v>
      </c>
      <c r="F139" s="27"/>
      <c r="G139" s="27">
        <v>1724000</v>
      </c>
      <c r="H139" s="26">
        <f aca="true" t="shared" si="4" ref="H139:H155">F139+G139</f>
        <v>1724000</v>
      </c>
      <c r="I139" s="128"/>
    </row>
    <row r="140" spans="2:9" ht="195" customHeight="1">
      <c r="B140" s="66" t="s">
        <v>26</v>
      </c>
      <c r="C140" s="66" t="s">
        <v>28</v>
      </c>
      <c r="D140" s="67" t="s">
        <v>27</v>
      </c>
      <c r="E140" s="87" t="s">
        <v>61</v>
      </c>
      <c r="F140" s="27">
        <f>30000000+30000000+300000+709848</f>
        <v>61009848</v>
      </c>
      <c r="G140" s="27">
        <f>35000000+16252200+20000000+2000000+2000000+500000+2000000+4465000+2000000</f>
        <v>84217200</v>
      </c>
      <c r="H140" s="26">
        <f t="shared" si="4"/>
        <v>145227048</v>
      </c>
      <c r="I140" s="128"/>
    </row>
    <row r="141" spans="2:9" ht="93.75" customHeight="1">
      <c r="B141" s="66" t="s">
        <v>7</v>
      </c>
      <c r="C141" s="66" t="s">
        <v>8</v>
      </c>
      <c r="D141" s="65" t="s">
        <v>130</v>
      </c>
      <c r="E141" s="87" t="s">
        <v>176</v>
      </c>
      <c r="F141" s="27"/>
      <c r="G141" s="27">
        <f>76917041.94+15082000+19829065.59+8122934.41+2000000+472250+7365000+185923+9210370+1480000+50000+87000-200000+300000+43500+120000+115000+150000+223234+50000+231972+2936000+255000+2194800+161000+161000+7126777-70000-65000+300000-131644-1322041-4465000-102000-2194800-2000000</f>
        <v>144619382.94</v>
      </c>
      <c r="H141" s="26">
        <f t="shared" si="4"/>
        <v>144619382.94</v>
      </c>
      <c r="I141" s="128"/>
    </row>
    <row r="142" spans="2:9" ht="101.25" customHeight="1">
      <c r="B142" s="64" t="s">
        <v>249</v>
      </c>
      <c r="C142" s="64" t="s">
        <v>6</v>
      </c>
      <c r="D142" s="65" t="s">
        <v>250</v>
      </c>
      <c r="E142" s="63" t="s">
        <v>176</v>
      </c>
      <c r="F142" s="27"/>
      <c r="G142" s="27">
        <v>500000</v>
      </c>
      <c r="H142" s="26">
        <f t="shared" si="4"/>
        <v>500000</v>
      </c>
      <c r="I142" s="128"/>
    </row>
    <row r="143" spans="2:9" ht="120.75" customHeight="1">
      <c r="B143" s="64" t="s">
        <v>227</v>
      </c>
      <c r="C143" s="64" t="s">
        <v>31</v>
      </c>
      <c r="D143" s="65" t="s">
        <v>229</v>
      </c>
      <c r="E143" s="88" t="s">
        <v>176</v>
      </c>
      <c r="F143" s="27"/>
      <c r="G143" s="27">
        <f>200000+70000</f>
        <v>270000</v>
      </c>
      <c r="H143" s="26">
        <f t="shared" si="4"/>
        <v>270000</v>
      </c>
      <c r="I143" s="128"/>
    </row>
    <row r="144" spans="2:9" ht="221.25" customHeight="1">
      <c r="B144" s="64" t="s">
        <v>150</v>
      </c>
      <c r="C144" s="64" t="s">
        <v>151</v>
      </c>
      <c r="D144" s="65" t="s">
        <v>152</v>
      </c>
      <c r="E144" s="63" t="s">
        <v>61</v>
      </c>
      <c r="F144" s="27">
        <v>200000</v>
      </c>
      <c r="G144" s="27"/>
      <c r="H144" s="26">
        <f t="shared" si="4"/>
        <v>200000</v>
      </c>
      <c r="I144" s="128"/>
    </row>
    <row r="145" spans="2:9" ht="103.5" customHeight="1">
      <c r="B145" s="64" t="s">
        <v>116</v>
      </c>
      <c r="C145" s="64" t="s">
        <v>118</v>
      </c>
      <c r="D145" s="65" t="s">
        <v>117</v>
      </c>
      <c r="E145" s="87" t="s">
        <v>176</v>
      </c>
      <c r="F145" s="27">
        <v>35000</v>
      </c>
      <c r="G145" s="27"/>
      <c r="H145" s="26">
        <f t="shared" si="4"/>
        <v>35000</v>
      </c>
      <c r="I145" s="128"/>
    </row>
    <row r="146" spans="2:9" ht="222.75" customHeight="1">
      <c r="B146" s="66" t="s">
        <v>48</v>
      </c>
      <c r="C146" s="66" t="s">
        <v>8</v>
      </c>
      <c r="D146" s="67" t="s">
        <v>49</v>
      </c>
      <c r="E146" s="87" t="s">
        <v>211</v>
      </c>
      <c r="F146" s="27"/>
      <c r="G146" s="27">
        <f>6750000+5250000+5798800</f>
        <v>17798800</v>
      </c>
      <c r="H146" s="26">
        <f t="shared" si="4"/>
        <v>17798800</v>
      </c>
      <c r="I146" s="128"/>
    </row>
    <row r="147" spans="2:9" ht="228" customHeight="1">
      <c r="B147" s="77" t="s">
        <v>122</v>
      </c>
      <c r="C147" s="66" t="s">
        <v>124</v>
      </c>
      <c r="D147" s="65" t="s">
        <v>123</v>
      </c>
      <c r="E147" s="87" t="s">
        <v>162</v>
      </c>
      <c r="F147" s="27"/>
      <c r="G147" s="27">
        <f>126000+480000</f>
        <v>606000</v>
      </c>
      <c r="H147" s="26">
        <f t="shared" si="4"/>
        <v>606000</v>
      </c>
      <c r="I147" s="128"/>
    </row>
    <row r="148" spans="2:9" ht="216" customHeight="1">
      <c r="B148" s="64" t="s">
        <v>219</v>
      </c>
      <c r="C148" s="64" t="s">
        <v>221</v>
      </c>
      <c r="D148" s="65" t="s">
        <v>220</v>
      </c>
      <c r="E148" s="71" t="s">
        <v>162</v>
      </c>
      <c r="F148" s="27"/>
      <c r="G148" s="27">
        <v>1340330</v>
      </c>
      <c r="H148" s="26">
        <f t="shared" si="4"/>
        <v>1340330</v>
      </c>
      <c r="I148" s="128"/>
    </row>
    <row r="149" spans="2:9" ht="216" customHeight="1">
      <c r="B149" s="77" t="s">
        <v>208</v>
      </c>
      <c r="C149" s="64" t="s">
        <v>73</v>
      </c>
      <c r="D149" s="65" t="s">
        <v>72</v>
      </c>
      <c r="E149" s="67" t="s">
        <v>162</v>
      </c>
      <c r="F149" s="27"/>
      <c r="G149" s="27">
        <v>400000</v>
      </c>
      <c r="H149" s="26">
        <f t="shared" si="4"/>
        <v>400000</v>
      </c>
      <c r="I149" s="128"/>
    </row>
    <row r="150" spans="2:9" ht="171.75" customHeight="1">
      <c r="B150" s="64" t="s">
        <v>59</v>
      </c>
      <c r="C150" s="64" t="s">
        <v>58</v>
      </c>
      <c r="D150" s="65" t="s">
        <v>23</v>
      </c>
      <c r="E150" s="63" t="s">
        <v>108</v>
      </c>
      <c r="F150" s="27">
        <v>188021</v>
      </c>
      <c r="G150" s="27"/>
      <c r="H150" s="26">
        <f t="shared" si="4"/>
        <v>188021</v>
      </c>
      <c r="I150" s="128"/>
    </row>
    <row r="151" spans="2:9" ht="221.25" customHeight="1">
      <c r="B151" s="64" t="s">
        <v>216</v>
      </c>
      <c r="C151" s="66" t="s">
        <v>8</v>
      </c>
      <c r="D151" s="65" t="s">
        <v>217</v>
      </c>
      <c r="E151" s="87" t="s">
        <v>211</v>
      </c>
      <c r="F151" s="27">
        <f>8000000</f>
        <v>8000000</v>
      </c>
      <c r="G151" s="27"/>
      <c r="H151" s="26">
        <f t="shared" si="4"/>
        <v>8000000</v>
      </c>
      <c r="I151" s="128"/>
    </row>
    <row r="152" spans="2:9" ht="221.25" customHeight="1">
      <c r="B152" s="64" t="s">
        <v>125</v>
      </c>
      <c r="C152" s="66" t="s">
        <v>8</v>
      </c>
      <c r="D152" s="65" t="s">
        <v>126</v>
      </c>
      <c r="E152" s="87" t="s">
        <v>211</v>
      </c>
      <c r="F152" s="27"/>
      <c r="G152" s="27">
        <f>-8000000</f>
        <v>-8000000</v>
      </c>
      <c r="H152" s="26">
        <f t="shared" si="4"/>
        <v>-8000000</v>
      </c>
      <c r="I152" s="128"/>
    </row>
    <row r="153" spans="2:9" ht="187.5" customHeight="1">
      <c r="B153" s="66" t="s">
        <v>131</v>
      </c>
      <c r="C153" s="66" t="s">
        <v>6</v>
      </c>
      <c r="D153" s="67" t="s">
        <v>134</v>
      </c>
      <c r="E153" s="87" t="s">
        <v>129</v>
      </c>
      <c r="F153" s="27">
        <v>1415095</v>
      </c>
      <c r="G153" s="30">
        <f>501157+181925.51+4957</f>
        <v>688039.51</v>
      </c>
      <c r="H153" s="26">
        <f t="shared" si="4"/>
        <v>2103134.51</v>
      </c>
      <c r="I153" s="129"/>
    </row>
    <row r="154" spans="2:9" ht="140.25" customHeight="1">
      <c r="B154" s="66" t="s">
        <v>132</v>
      </c>
      <c r="C154" s="66" t="s">
        <v>6</v>
      </c>
      <c r="D154" s="67" t="s">
        <v>135</v>
      </c>
      <c r="E154" s="87" t="s">
        <v>129</v>
      </c>
      <c r="F154" s="27"/>
      <c r="G154" s="27">
        <f>-529620</f>
        <v>-529620</v>
      </c>
      <c r="H154" s="26">
        <f t="shared" si="4"/>
        <v>-529620</v>
      </c>
      <c r="I154" s="129"/>
    </row>
    <row r="155" spans="2:9" ht="180.75" customHeight="1">
      <c r="B155" s="66" t="s">
        <v>133</v>
      </c>
      <c r="C155" s="66" t="s">
        <v>6</v>
      </c>
      <c r="D155" s="67" t="s">
        <v>136</v>
      </c>
      <c r="E155" s="87" t="s">
        <v>129</v>
      </c>
      <c r="F155" s="27">
        <v>84905</v>
      </c>
      <c r="G155" s="30">
        <f>30069+10915.53-4957</f>
        <v>36027.53</v>
      </c>
      <c r="H155" s="26">
        <f t="shared" si="4"/>
        <v>120932.53</v>
      </c>
      <c r="I155" s="129"/>
    </row>
    <row r="156" spans="2:9" ht="136.5" customHeight="1">
      <c r="B156" s="66"/>
      <c r="C156" s="66"/>
      <c r="D156" s="75" t="s">
        <v>137</v>
      </c>
      <c r="E156" s="87"/>
      <c r="F156" s="26">
        <f>SUM(F157:F161)</f>
        <v>58050</v>
      </c>
      <c r="G156" s="26">
        <f>SUM(G157:G161)</f>
        <v>7000</v>
      </c>
      <c r="H156" s="26">
        <f>SUM(H157:H161)</f>
        <v>65050</v>
      </c>
      <c r="I156" s="129"/>
    </row>
    <row r="157" spans="2:9" ht="139.5" customHeight="1">
      <c r="B157" s="122" t="s">
        <v>3</v>
      </c>
      <c r="C157" s="122" t="s">
        <v>2</v>
      </c>
      <c r="D157" s="120" t="s">
        <v>12</v>
      </c>
      <c r="E157" s="63" t="s">
        <v>251</v>
      </c>
      <c r="F157" s="28">
        <f>50000-40000+10000</f>
        <v>20000</v>
      </c>
      <c r="G157" s="27"/>
      <c r="H157" s="26">
        <f>F157+G157</f>
        <v>20000</v>
      </c>
      <c r="I157" s="129"/>
    </row>
    <row r="158" spans="2:9" ht="165" customHeight="1">
      <c r="B158" s="124"/>
      <c r="C158" s="124"/>
      <c r="D158" s="131"/>
      <c r="E158" s="63" t="s">
        <v>156</v>
      </c>
      <c r="F158" s="28">
        <v>4200</v>
      </c>
      <c r="G158" s="27"/>
      <c r="H158" s="26">
        <f>F158+G158</f>
        <v>4200</v>
      </c>
      <c r="I158" s="129"/>
    </row>
    <row r="159" spans="2:9" ht="309" customHeight="1">
      <c r="B159" s="64" t="s">
        <v>116</v>
      </c>
      <c r="C159" s="64" t="s">
        <v>118</v>
      </c>
      <c r="D159" s="65" t="s">
        <v>117</v>
      </c>
      <c r="E159" s="63" t="s">
        <v>252</v>
      </c>
      <c r="F159" s="27"/>
      <c r="G159" s="27">
        <f>148000-141000</f>
        <v>7000</v>
      </c>
      <c r="H159" s="26">
        <f>F159+G159</f>
        <v>7000</v>
      </c>
      <c r="I159" s="129"/>
    </row>
    <row r="160" spans="2:10" ht="131.25" customHeight="1">
      <c r="B160" s="122" t="s">
        <v>59</v>
      </c>
      <c r="C160" s="122" t="s">
        <v>58</v>
      </c>
      <c r="D160" s="120" t="s">
        <v>23</v>
      </c>
      <c r="E160" s="74" t="s">
        <v>166</v>
      </c>
      <c r="F160" s="32">
        <v>15100</v>
      </c>
      <c r="G160" s="32"/>
      <c r="H160" s="26">
        <f>F160+G160</f>
        <v>15100</v>
      </c>
      <c r="I160" s="129"/>
      <c r="J160" s="25"/>
    </row>
    <row r="161" spans="2:9" ht="180" customHeight="1">
      <c r="B161" s="123"/>
      <c r="C161" s="123"/>
      <c r="D161" s="121"/>
      <c r="E161" s="74" t="s">
        <v>61</v>
      </c>
      <c r="F161" s="32">
        <f>170000-151250</f>
        <v>18750</v>
      </c>
      <c r="G161" s="32"/>
      <c r="H161" s="33">
        <f>F161+G161</f>
        <v>18750</v>
      </c>
      <c r="I161" s="129"/>
    </row>
    <row r="162" spans="2:9" ht="108" customHeight="1">
      <c r="B162" s="66"/>
      <c r="C162" s="66"/>
      <c r="D162" s="75" t="s">
        <v>238</v>
      </c>
      <c r="E162" s="87"/>
      <c r="F162" s="26">
        <f>SUM(F163:F168)</f>
        <v>278050</v>
      </c>
      <c r="G162" s="26">
        <f>SUM(G163:G168)</f>
        <v>849507.56</v>
      </c>
      <c r="H162" s="26">
        <f>SUM(H163:H168)</f>
        <v>1127557.56</v>
      </c>
      <c r="I162" s="129"/>
    </row>
    <row r="163" spans="2:9" ht="225.75" customHeight="1">
      <c r="B163" s="64" t="s">
        <v>3</v>
      </c>
      <c r="C163" s="64" t="s">
        <v>2</v>
      </c>
      <c r="D163" s="65" t="s">
        <v>12</v>
      </c>
      <c r="E163" s="63" t="s">
        <v>156</v>
      </c>
      <c r="F163" s="28">
        <v>5800</v>
      </c>
      <c r="G163" s="27"/>
      <c r="H163" s="26">
        <f aca="true" t="shared" si="5" ref="H163:H168">F163+G163</f>
        <v>5800</v>
      </c>
      <c r="I163" s="129"/>
    </row>
    <row r="164" spans="2:9" ht="233.25" customHeight="1">
      <c r="B164" s="66" t="s">
        <v>48</v>
      </c>
      <c r="C164" s="66" t="s">
        <v>8</v>
      </c>
      <c r="D164" s="67" t="s">
        <v>49</v>
      </c>
      <c r="E164" s="87" t="s">
        <v>176</v>
      </c>
      <c r="F164" s="27"/>
      <c r="G164" s="27">
        <v>39000</v>
      </c>
      <c r="H164" s="26">
        <f t="shared" si="5"/>
        <v>39000</v>
      </c>
      <c r="I164" s="129"/>
    </row>
    <row r="165" spans="2:9" ht="182.25" customHeight="1">
      <c r="B165" s="122" t="s">
        <v>56</v>
      </c>
      <c r="C165" s="122" t="s">
        <v>58</v>
      </c>
      <c r="D165" s="120" t="s">
        <v>57</v>
      </c>
      <c r="E165" s="63" t="s">
        <v>61</v>
      </c>
      <c r="F165" s="27"/>
      <c r="G165" s="27">
        <v>401852.56</v>
      </c>
      <c r="H165" s="26">
        <f t="shared" si="5"/>
        <v>401852.56</v>
      </c>
      <c r="I165" s="129"/>
    </row>
    <row r="166" spans="2:9" ht="120" customHeight="1">
      <c r="B166" s="123"/>
      <c r="C166" s="123"/>
      <c r="D166" s="121"/>
      <c r="E166" s="74" t="s">
        <v>218</v>
      </c>
      <c r="F166" s="32"/>
      <c r="G166" s="32">
        <v>66155</v>
      </c>
      <c r="H166" s="26">
        <f t="shared" si="5"/>
        <v>66155</v>
      </c>
      <c r="I166" s="129"/>
    </row>
    <row r="167" spans="2:9" ht="132" customHeight="1">
      <c r="B167" s="77" t="s">
        <v>139</v>
      </c>
      <c r="C167" s="64" t="s">
        <v>138</v>
      </c>
      <c r="D167" s="89" t="s">
        <v>140</v>
      </c>
      <c r="E167" s="71" t="s">
        <v>177</v>
      </c>
      <c r="F167" s="32">
        <f>99000+22000</f>
        <v>121000</v>
      </c>
      <c r="G167" s="32">
        <f>99500+265000-22000</f>
        <v>342500</v>
      </c>
      <c r="H167" s="26">
        <f t="shared" si="5"/>
        <v>463500</v>
      </c>
      <c r="I167" s="129"/>
    </row>
    <row r="168" spans="2:9" ht="198.75" customHeight="1">
      <c r="B168" s="64" t="s">
        <v>59</v>
      </c>
      <c r="C168" s="64" t="s">
        <v>58</v>
      </c>
      <c r="D168" s="65" t="s">
        <v>23</v>
      </c>
      <c r="E168" s="74" t="s">
        <v>61</v>
      </c>
      <c r="F168" s="32">
        <v>151250</v>
      </c>
      <c r="G168" s="32"/>
      <c r="H168" s="26">
        <f t="shared" si="5"/>
        <v>151250</v>
      </c>
      <c r="I168" s="129"/>
    </row>
    <row r="169" spans="2:9" ht="97.5" customHeight="1">
      <c r="B169" s="85"/>
      <c r="C169" s="85"/>
      <c r="D169" s="75" t="s">
        <v>141</v>
      </c>
      <c r="E169" s="86"/>
      <c r="F169" s="26">
        <f>F171+F170</f>
        <v>715080</v>
      </c>
      <c r="G169" s="26">
        <f>G171+G170</f>
        <v>0</v>
      </c>
      <c r="H169" s="26">
        <f>H171+H170</f>
        <v>715080</v>
      </c>
      <c r="I169" s="129"/>
    </row>
    <row r="170" spans="2:9" ht="221.25" customHeight="1">
      <c r="B170" s="66" t="s">
        <v>26</v>
      </c>
      <c r="C170" s="66" t="s">
        <v>28</v>
      </c>
      <c r="D170" s="67" t="s">
        <v>241</v>
      </c>
      <c r="E170" s="87" t="s">
        <v>61</v>
      </c>
      <c r="F170" s="27">
        <v>365080</v>
      </c>
      <c r="G170" s="27"/>
      <c r="H170" s="26">
        <f>F170+G170</f>
        <v>365080</v>
      </c>
      <c r="I170" s="129"/>
    </row>
    <row r="171" spans="1:9" s="10" customFormat="1" ht="181.5" customHeight="1">
      <c r="A171" s="9"/>
      <c r="B171" s="66" t="s">
        <v>59</v>
      </c>
      <c r="C171" s="66" t="s">
        <v>58</v>
      </c>
      <c r="D171" s="67" t="s">
        <v>23</v>
      </c>
      <c r="E171" s="63" t="s">
        <v>60</v>
      </c>
      <c r="F171" s="27">
        <v>350000</v>
      </c>
      <c r="G171" s="27"/>
      <c r="H171" s="26">
        <f>F171+G171</f>
        <v>350000</v>
      </c>
      <c r="I171" s="129"/>
    </row>
    <row r="172" spans="1:9" s="10" customFormat="1" ht="111.75" customHeight="1">
      <c r="A172" s="9"/>
      <c r="B172" s="66"/>
      <c r="C172" s="66"/>
      <c r="D172" s="75" t="s">
        <v>228</v>
      </c>
      <c r="E172" s="87"/>
      <c r="F172" s="26">
        <f>F173+F174</f>
        <v>55920</v>
      </c>
      <c r="G172" s="26">
        <f>G173+G174</f>
        <v>18000</v>
      </c>
      <c r="H172" s="26">
        <f>H173+H174</f>
        <v>73920</v>
      </c>
      <c r="I172" s="129"/>
    </row>
    <row r="173" spans="2:9" ht="177.75" customHeight="1">
      <c r="B173" s="66" t="s">
        <v>3</v>
      </c>
      <c r="C173" s="66" t="s">
        <v>2</v>
      </c>
      <c r="D173" s="67" t="s">
        <v>12</v>
      </c>
      <c r="E173" s="87" t="s">
        <v>164</v>
      </c>
      <c r="F173" s="27">
        <v>55920</v>
      </c>
      <c r="G173" s="27"/>
      <c r="H173" s="26">
        <f>F173+G173</f>
        <v>55920</v>
      </c>
      <c r="I173" s="129"/>
    </row>
    <row r="174" spans="2:9" ht="213.75" customHeight="1">
      <c r="B174" s="64">
        <v>240604</v>
      </c>
      <c r="C174" s="66" t="s">
        <v>55</v>
      </c>
      <c r="D174" s="65" t="s">
        <v>206</v>
      </c>
      <c r="E174" s="71" t="s">
        <v>162</v>
      </c>
      <c r="F174" s="27"/>
      <c r="G174" s="27">
        <v>18000</v>
      </c>
      <c r="H174" s="26">
        <f>F174+G174</f>
        <v>18000</v>
      </c>
      <c r="I174" s="130"/>
    </row>
    <row r="175" spans="2:9" ht="219.75" customHeight="1">
      <c r="B175" s="85"/>
      <c r="C175" s="85"/>
      <c r="D175" s="75" t="s">
        <v>239</v>
      </c>
      <c r="E175" s="90"/>
      <c r="F175" s="26">
        <f>SUM(F176:F176)</f>
        <v>198500</v>
      </c>
      <c r="G175" s="26">
        <f>SUM(G176:G176)</f>
        <v>709900</v>
      </c>
      <c r="H175" s="26">
        <f>SUM(H176:H176)</f>
        <v>908400</v>
      </c>
      <c r="I175" s="130"/>
    </row>
    <row r="176" spans="2:9" ht="120" customHeight="1">
      <c r="B176" s="77" t="s">
        <v>139</v>
      </c>
      <c r="C176" s="64" t="s">
        <v>138</v>
      </c>
      <c r="D176" s="89" t="s">
        <v>140</v>
      </c>
      <c r="E176" s="71" t="s">
        <v>177</v>
      </c>
      <c r="F176" s="28">
        <f>190000+8500</f>
        <v>198500</v>
      </c>
      <c r="G176" s="28">
        <f>500000+200000+9900</f>
        <v>709900</v>
      </c>
      <c r="H176" s="26">
        <f>F176+G176</f>
        <v>908400</v>
      </c>
      <c r="I176" s="130"/>
    </row>
    <row r="177" spans="2:9" ht="96.75" customHeight="1">
      <c r="B177" s="44"/>
      <c r="C177" s="43"/>
      <c r="D177" s="115" t="s">
        <v>4</v>
      </c>
      <c r="E177" s="116"/>
      <c r="F177" s="117">
        <f>F175+F172+F169+F156+F137+F130+F103+F98+F96+F77+F71+F53+F11+F133+F162</f>
        <v>199625658.04999995</v>
      </c>
      <c r="G177" s="117">
        <f>G175+G172+G169+G156+G137+G130+G103+G98+G96+G77+G71+G53+G11+G133+G162</f>
        <v>496379319.36</v>
      </c>
      <c r="H177" s="117">
        <f>H175+H172+H169+H156+H137+H130+H103+H98+H96+H77+H71+H53+H11+H133+H162</f>
        <v>695909535.4099998</v>
      </c>
      <c r="I177" s="130"/>
    </row>
    <row r="178" spans="2:9" ht="69.75" customHeight="1">
      <c r="B178" s="45"/>
      <c r="C178" s="46"/>
      <c r="D178" s="47"/>
      <c r="E178" s="48"/>
      <c r="F178" s="49"/>
      <c r="G178" s="49"/>
      <c r="H178" s="49"/>
      <c r="I178" s="130"/>
    </row>
    <row r="179" spans="2:9" ht="155.25" customHeight="1">
      <c r="B179" s="45"/>
      <c r="C179" s="46"/>
      <c r="D179" s="47"/>
      <c r="E179" s="48"/>
      <c r="F179" s="49"/>
      <c r="G179" s="49"/>
      <c r="H179" s="49"/>
      <c r="I179" s="130"/>
    </row>
    <row r="180" spans="2:9" ht="79.5" customHeight="1">
      <c r="B180" s="57"/>
      <c r="C180" s="58"/>
      <c r="D180" s="59"/>
      <c r="E180" s="60"/>
      <c r="F180" s="61"/>
      <c r="G180" s="61"/>
      <c r="H180" s="61"/>
      <c r="I180" s="130"/>
    </row>
    <row r="181" spans="1:19" s="17" customFormat="1" ht="69.75" customHeight="1">
      <c r="A181" s="15"/>
      <c r="B181" s="133" t="s">
        <v>258</v>
      </c>
      <c r="C181" s="133"/>
      <c r="D181" s="133"/>
      <c r="E181" s="133"/>
      <c r="F181" s="127" t="s">
        <v>259</v>
      </c>
      <c r="G181" s="127"/>
      <c r="H181" s="127"/>
      <c r="I181" s="130"/>
      <c r="J181" s="16"/>
      <c r="K181" s="16"/>
      <c r="L181" s="2"/>
      <c r="M181" s="2"/>
      <c r="N181" s="2"/>
      <c r="O181" s="2"/>
      <c r="P181" s="15"/>
      <c r="Q181" s="2"/>
      <c r="S181" s="18"/>
    </row>
    <row r="182" spans="1:19" s="17" customFormat="1" ht="68.25" customHeight="1">
      <c r="A182" s="15"/>
      <c r="B182" s="99"/>
      <c r="C182" s="100"/>
      <c r="D182" s="101"/>
      <c r="E182" s="102"/>
      <c r="F182" s="103"/>
      <c r="G182" s="103"/>
      <c r="H182" s="98"/>
      <c r="I182" s="130"/>
      <c r="J182" s="16"/>
      <c r="K182" s="16"/>
      <c r="L182" s="2"/>
      <c r="M182" s="2"/>
      <c r="N182" s="2"/>
      <c r="O182" s="2"/>
      <c r="P182" s="15"/>
      <c r="Q182" s="2"/>
      <c r="S182" s="18"/>
    </row>
    <row r="183" spans="1:19" s="17" customFormat="1" ht="63.75">
      <c r="A183" s="15"/>
      <c r="B183" s="106"/>
      <c r="C183" s="106"/>
      <c r="D183" s="105"/>
      <c r="E183" s="104"/>
      <c r="F183" s="104"/>
      <c r="G183" s="104"/>
      <c r="H183" s="104"/>
      <c r="I183" s="130"/>
      <c r="J183" s="19"/>
      <c r="K183" s="19"/>
      <c r="L183" s="19"/>
      <c r="M183" s="19"/>
      <c r="N183" s="15"/>
      <c r="O183" s="15"/>
      <c r="P183" s="15"/>
      <c r="Q183" s="2"/>
      <c r="S183" s="18"/>
    </row>
    <row r="184" spans="1:17" s="24" customFormat="1" ht="66.75" customHeight="1">
      <c r="A184" s="20"/>
      <c r="B184" s="132" t="s">
        <v>254</v>
      </c>
      <c r="C184" s="132"/>
      <c r="D184" s="51"/>
      <c r="E184" s="52"/>
      <c r="F184" s="50"/>
      <c r="G184" s="50"/>
      <c r="H184" s="50"/>
      <c r="I184" s="130"/>
      <c r="J184" s="21"/>
      <c r="K184" s="21"/>
      <c r="L184" s="22"/>
      <c r="M184" s="22"/>
      <c r="N184" s="22"/>
      <c r="O184" s="23"/>
      <c r="P184" s="23"/>
      <c r="Q184" s="14"/>
    </row>
    <row r="185" spans="1:17" s="24" customFormat="1" ht="11.25" customHeight="1">
      <c r="A185" s="20"/>
      <c r="B185" s="107"/>
      <c r="C185" s="108"/>
      <c r="D185" s="51"/>
      <c r="E185" s="52"/>
      <c r="F185" s="50"/>
      <c r="G185" s="50"/>
      <c r="H185" s="50"/>
      <c r="I185" s="114"/>
      <c r="J185" s="21"/>
      <c r="K185" s="21"/>
      <c r="L185" s="22"/>
      <c r="M185" s="22"/>
      <c r="N185" s="22"/>
      <c r="O185" s="23"/>
      <c r="P185" s="23"/>
      <c r="Q185" s="13"/>
    </row>
    <row r="186" spans="2:9" ht="38.25">
      <c r="B186" s="53"/>
      <c r="C186" s="53"/>
      <c r="I186" s="114"/>
    </row>
    <row r="187" ht="38.25">
      <c r="I187" s="95"/>
    </row>
    <row r="188" ht="38.25">
      <c r="I188" s="95"/>
    </row>
    <row r="189" ht="38.25">
      <c r="I189" s="95"/>
    </row>
    <row r="190" ht="38.25">
      <c r="I190" s="95"/>
    </row>
    <row r="191" ht="38.25">
      <c r="I191" s="96"/>
    </row>
    <row r="192" ht="38.25">
      <c r="I192" s="96"/>
    </row>
    <row r="193" ht="38.25">
      <c r="I193" s="96"/>
    </row>
    <row r="194" ht="38.25">
      <c r="I194" s="96"/>
    </row>
  </sheetData>
  <sheetProtection/>
  <mergeCells count="61">
    <mergeCell ref="I1:I31"/>
    <mergeCell ref="I32:I51"/>
    <mergeCell ref="I52:I73"/>
    <mergeCell ref="I74:I92"/>
    <mergeCell ref="D104:D105"/>
    <mergeCell ref="D66:D67"/>
    <mergeCell ref="D86:D87"/>
    <mergeCell ref="D58:D60"/>
    <mergeCell ref="D46:D52"/>
    <mergeCell ref="B8:H8"/>
    <mergeCell ref="C55:C57"/>
    <mergeCell ref="C58:C60"/>
    <mergeCell ref="D12:D14"/>
    <mergeCell ref="B12:B14"/>
    <mergeCell ref="C12:C14"/>
    <mergeCell ref="C46:C52"/>
    <mergeCell ref="B21:B22"/>
    <mergeCell ref="C21:C22"/>
    <mergeCell ref="I94:I114"/>
    <mergeCell ref="B58:B60"/>
    <mergeCell ref="D43:D45"/>
    <mergeCell ref="B43:B45"/>
    <mergeCell ref="D55:D57"/>
    <mergeCell ref="C43:C45"/>
    <mergeCell ref="B55:B57"/>
    <mergeCell ref="B46:B52"/>
    <mergeCell ref="C66:C67"/>
    <mergeCell ref="C104:C105"/>
    <mergeCell ref="B66:B67"/>
    <mergeCell ref="B86:B87"/>
    <mergeCell ref="C86:C87"/>
    <mergeCell ref="B106:B107"/>
    <mergeCell ref="C106:C107"/>
    <mergeCell ref="B184:C184"/>
    <mergeCell ref="C160:C161"/>
    <mergeCell ref="C165:C166"/>
    <mergeCell ref="B181:E181"/>
    <mergeCell ref="B160:B161"/>
    <mergeCell ref="B165:B166"/>
    <mergeCell ref="D106:D107"/>
    <mergeCell ref="D126:D127"/>
    <mergeCell ref="D157:D158"/>
    <mergeCell ref="D165:D166"/>
    <mergeCell ref="F181:H181"/>
    <mergeCell ref="D160:D161"/>
    <mergeCell ref="I115:I132"/>
    <mergeCell ref="I133:I152"/>
    <mergeCell ref="I153:I173"/>
    <mergeCell ref="D118:D119"/>
    <mergeCell ref="I174:I184"/>
    <mergeCell ref="C118:C119"/>
    <mergeCell ref="B118:B119"/>
    <mergeCell ref="B157:B158"/>
    <mergeCell ref="B104:B105"/>
    <mergeCell ref="C157:C158"/>
    <mergeCell ref="C126:C127"/>
    <mergeCell ref="B126:B127"/>
    <mergeCell ref="D21:D22"/>
    <mergeCell ref="B37:B38"/>
    <mergeCell ref="C37:C38"/>
    <mergeCell ref="D37:D38"/>
  </mergeCells>
  <printOptions horizontalCentered="1"/>
  <pageMargins left="0.9448818897637796" right="0.1968503937007874" top="1.1811023622047245" bottom="0.7874015748031497" header="0.6692913385826772" footer="0.4724409448818898"/>
  <pageSetup firstPageNumber="52" useFirstPageNumber="1" fitToHeight="8" fitToWidth="1" horizontalDpi="600" verticalDpi="600" orientation="portrait" paperSize="9" scale="15" r:id="rId1"/>
  <headerFooter alignWithMargins="0">
    <oddHeader>&amp;C&amp;48&amp;P&amp;R&amp;48Продовження додатку 6</oddHeader>
  </headerFooter>
  <rowBreaks count="1" manualBreakCount="1">
    <brk id="132" min="1" max="7"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User</cp:lastModifiedBy>
  <cp:lastPrinted>2016-12-22T08:58:58Z</cp:lastPrinted>
  <dcterms:created xsi:type="dcterms:W3CDTF">2014-01-17T10:52:16Z</dcterms:created>
  <dcterms:modified xsi:type="dcterms:W3CDTF">2016-12-22T08:58:59Z</dcterms:modified>
  <cp:category/>
  <cp:version/>
  <cp:contentType/>
  <cp:contentStatus/>
</cp:coreProperties>
</file>