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4'!$10:$13</definedName>
    <definedName name="_xlnm.Print_Area" localSheetId="0">'дод. 3'!$B$1:$R$303</definedName>
    <definedName name="_xlnm.Print_Area" localSheetId="1">'дод. 4'!$B$1:$Q$243</definedName>
  </definedNames>
  <calcPr fullCalcOnLoad="1"/>
</workbook>
</file>

<file path=xl/sharedStrings.xml><?xml version="1.0" encoding="utf-8"?>
<sst xmlns="http://schemas.openxmlformats.org/spreadsheetml/2006/main" count="1377" uniqueCount="573">
  <si>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</si>
  <si>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</si>
  <si>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</si>
  <si>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</si>
  <si>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</si>
  <si>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</si>
  <si>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</si>
  <si>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</si>
  <si>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</si>
  <si>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</si>
  <si>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</si>
  <si>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</si>
  <si>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</si>
  <si>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</si>
  <si>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</si>
  <si>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</si>
  <si>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</si>
  <si>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</si>
  <si>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</si>
  <si>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</si>
  <si>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</si>
  <si>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</si>
  <si>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</si>
  <si>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</si>
  <si>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</si>
  <si>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</si>
  <si>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</si>
  <si>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</si>
  <si>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</si>
  <si>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</si>
  <si>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</si>
  <si>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</si>
  <si>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</si>
  <si>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</si>
  <si>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</si>
  <si>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</si>
  <si>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</si>
  <si>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</si>
  <si>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</si>
  <si>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</si>
  <si>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</si>
  <si>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</si>
  <si>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</si>
  <si>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</si>
  <si>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</si>
  <si>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</si>
  <si>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</si>
  <si>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</si>
  <si>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</si>
  <si>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</si>
  <si>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</si>
  <si>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</si>
  <si>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</si>
  <si>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</si>
  <si>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</si>
  <si>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</si>
  <si>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</si>
  <si>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</si>
  <si>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</si>
  <si>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</si>
  <si>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</si>
  <si>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</si>
  <si>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</si>
  <si>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</si>
  <si>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</si>
  <si>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</si>
  <si>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</si>
  <si>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</si>
  <si>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</si>
  <si>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</si>
  <si>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</si>
  <si>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</si>
  <si>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</si>
  <si>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</si>
  <si>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</si>
  <si>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</si>
  <si>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</si>
  <si>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</si>
  <si>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</si>
  <si>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</si>
  <si>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</si>
  <si>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</si>
  <si>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</si>
  <si>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</si>
  <si>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</si>
  <si>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</si>
  <si>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</si>
  <si>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</si>
  <si>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</si>
  <si>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</si>
  <si>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</si>
  <si>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</si>
  <si>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</si>
  <si>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</si>
  <si>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</si>
  <si>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</si>
  <si>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</si>
  <si>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</si>
  <si>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</si>
  <si>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</si>
  <si>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</si>
  <si>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</si>
  <si>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</si>
  <si>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</si>
  <si>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</si>
  <si>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</si>
  <si>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</si>
  <si>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</si>
  <si>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</si>
  <si>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</si>
  <si>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</si>
  <si>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</si>
  <si>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</si>
  <si>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</si>
  <si>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</si>
  <si>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</si>
  <si>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</si>
  <si>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</si>
  <si>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</si>
  <si>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</si>
  <si>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</si>
  <si>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</si>
  <si>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</si>
  <si>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</si>
  <si>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</si>
  <si>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</si>
  <si>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</si>
  <si>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</si>
  <si>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</si>
  <si>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</si>
  <si>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</si>
  <si>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</si>
  <si>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</si>
  <si>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</si>
  <si>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</si>
  <si>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</si>
  <si>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</si>
  <si>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</si>
  <si>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</si>
  <si>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</si>
  <si>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</si>
  <si>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</si>
  <si>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</si>
  <si>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</si>
  <si>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</si>
  <si>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</si>
  <si>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</si>
  <si>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</si>
  <si>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</si>
  <si>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</si>
  <si>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</si>
  <si>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</si>
  <si>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</si>
  <si>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</si>
  <si>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</si>
  <si>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</si>
  <si>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</si>
  <si>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</si>
  <si>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</si>
  <si>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</si>
  <si>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</si>
  <si>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</si>
  <si>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</si>
  <si>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</si>
  <si>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</si>
  <si>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</si>
  <si>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</si>
  <si>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</si>
  <si>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</si>
  <si>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</si>
  <si>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</si>
  <si>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</si>
  <si>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</si>
  <si>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</si>
  <si>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</si>
  <si>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</si>
  <si>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</si>
  <si>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</si>
  <si>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</si>
  <si>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</si>
  <si>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</si>
  <si>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</si>
  <si>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</si>
  <si>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</si>
  <si>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</si>
  <si>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</si>
  <si>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</si>
  <si>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</si>
  <si>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</si>
  <si>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</si>
  <si>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</si>
  <si>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</si>
  <si>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</si>
  <si>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</si>
  <si>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</si>
  <si>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</si>
  <si>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</si>
  <si>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</si>
  <si>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</si>
  <si>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</si>
  <si>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</si>
  <si>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</si>
  <si>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</si>
  <si>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</si>
  <si>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</si>
  <si>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</si>
  <si>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</si>
  <si>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</si>
  <si>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</si>
  <si>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</si>
  <si>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</si>
  <si>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</si>
  <si>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</si>
  <si>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</si>
  <si>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</si>
  <si>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</si>
  <si>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</si>
  <si>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</si>
  <si>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</si>
  <si>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</si>
  <si>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</si>
  <si>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</si>
  <si>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</si>
  <si>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</si>
  <si>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</si>
  <si>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</si>
  <si>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</si>
  <si>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</si>
  <si>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</si>
  <si>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</si>
  <si>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</si>
  <si>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</si>
  <si>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</si>
  <si>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</si>
  <si>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</si>
  <si>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</si>
  <si>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</si>
  <si>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</si>
  <si>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</si>
  <si>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</si>
  <si>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</si>
  <si>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5016060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</si>
  <si>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</si>
  <si>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</si>
  <si>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</si>
  <si>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</si>
  <si>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</si>
  <si>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</si>
  <si>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</si>
  <si>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</si>
  <si>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</si>
  <si>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</si>
  <si>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</si>
  <si>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</si>
  <si>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</si>
  <si>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</si>
  <si>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</si>
  <si>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</si>
  <si>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</si>
  <si>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</si>
  <si>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</si>
  <si>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</si>
  <si>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</si>
  <si>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</si>
  <si>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</si>
  <si>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</si>
  <si>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</si>
  <si>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</si>
  <si>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</si>
  <si>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</si>
  <si>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</si>
  <si>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</si>
  <si>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</si>
  <si>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</si>
  <si>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</si>
  <si>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</si>
  <si>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</si>
  <si>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</si>
  <si>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</si>
  <si>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</si>
  <si>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</si>
  <si>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</si>
  <si>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</si>
  <si>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</si>
  <si>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</si>
  <si>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</si>
  <si>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</si>
  <si>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</si>
  <si>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</si>
  <si>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</si>
  <si>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</si>
  <si>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</si>
  <si>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</si>
  <si>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</si>
  <si>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</si>
  <si>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</si>
  <si>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</si>
  <si>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</si>
  <si>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</si>
  <si>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</si>
  <si>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</si>
  <si>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</si>
  <si>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</si>
  <si>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</si>
  <si>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</si>
  <si>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</si>
  <si>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</si>
  <si>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</si>
  <si>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</si>
  <si>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</si>
  <si>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</si>
  <si>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</si>
  <si>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</si>
  <si>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</si>
  <si>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Утримання та заходи центру дозвілля молоді</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</si>
  <si>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</si>
  <si>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</si>
  <si>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</si>
  <si>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</si>
  <si>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</si>
  <si>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</si>
  <si>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</si>
  <si>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</si>
  <si>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</si>
  <si>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</si>
  <si>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</si>
  <si>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</si>
  <si>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</si>
  <si>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</si>
  <si>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</si>
  <si>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</si>
  <si>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</si>
  <si>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</si>
  <si>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</si>
  <si>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</si>
  <si>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</si>
  <si>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</si>
  <si>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</si>
  <si>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</si>
  <si>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</si>
  <si>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</si>
  <si>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</si>
  <si>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</si>
  <si>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</si>
  <si>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</si>
  <si>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</si>
  <si>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</si>
  <si>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</si>
  <si>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</si>
  <si>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</si>
  <si>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</si>
  <si>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</si>
  <si>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</si>
  <si>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</si>
  <si>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</si>
  <si>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</si>
  <si>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</si>
  <si>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</si>
  <si>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</si>
  <si>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</si>
  <si>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</si>
  <si>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</si>
  <si>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</si>
  <si>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</si>
  <si>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</si>
  <si>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</si>
  <si>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</si>
  <si>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</si>
  <si>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</si>
  <si>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</si>
  <si>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</si>
  <si>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</si>
  <si>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</si>
  <si>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</si>
  <si>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</si>
  <si>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</si>
  <si>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</si>
  <si>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</si>
  <si>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</si>
  <si>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</si>
  <si>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</si>
  <si>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</si>
  <si>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</si>
  <si>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</si>
  <si>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</si>
  <si>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6324</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</si>
  <si>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</si>
  <si>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</si>
  <si>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</si>
  <si>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</si>
  <si>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</si>
  <si>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</si>
  <si>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</si>
  <si>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</si>
  <si>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</si>
  <si>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</si>
  <si>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</si>
  <si>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</si>
  <si>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</si>
  <si>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</si>
  <si>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</si>
  <si>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</si>
  <si>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</si>
  <si>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</si>
  <si>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</si>
  <si>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</si>
  <si>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</si>
  <si>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</si>
  <si>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</si>
  <si>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</si>
  <si>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</si>
  <si>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</si>
  <si>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</si>
  <si>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</si>
  <si>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</si>
  <si>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</si>
  <si>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</si>
  <si>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</si>
  <si>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6320</t>
  </si>
  <si>
    <t>Надання допомоги у вирішенні житлових питань</t>
  </si>
  <si>
    <t>4716320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</si>
  <si>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</si>
  <si>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</si>
  <si>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</si>
  <si>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</si>
  <si>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</si>
  <si>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</si>
  <si>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</si>
  <si>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</si>
  <si>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</si>
  <si>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</si>
  <si>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</si>
  <si>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</si>
  <si>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</si>
  <si>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</si>
  <si>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</si>
  <si>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</si>
  <si>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</si>
  <si>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</si>
  <si>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 xml:space="preserve">Утримання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</si>
  <si>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</si>
  <si>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</si>
  <si>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</si>
  <si>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</si>
  <si>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</si>
  <si>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</si>
  <si>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</si>
  <si>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</si>
  <si>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</si>
  <si>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</si>
  <si>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</si>
  <si>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</si>
  <si>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</si>
  <si>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</si>
  <si>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</si>
  <si>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</si>
  <si>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</si>
  <si>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</si>
  <si>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</si>
  <si>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</si>
  <si>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</si>
  <si>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</si>
  <si>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</si>
  <si>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</si>
  <si>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</si>
  <si>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</si>
  <si>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</si>
  <si>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</si>
  <si>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</si>
  <si>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</si>
  <si>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</si>
  <si>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</si>
  <si>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</si>
  <si>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</si>
  <si>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</si>
  <si>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</si>
  <si>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</si>
  <si>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</si>
  <si>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</si>
  <si>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</si>
  <si>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</si>
  <si>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</si>
  <si>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</si>
  <si>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</si>
  <si>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</si>
  <si>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</si>
  <si>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</si>
  <si>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</si>
  <si>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</si>
  <si>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</si>
  <si>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</si>
  <si>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</si>
  <si>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</si>
  <si>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</si>
  <si>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</si>
  <si>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</si>
  <si>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</si>
  <si>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</si>
  <si>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</si>
  <si>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</si>
  <si>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</si>
  <si>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</si>
  <si>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</si>
  <si>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</si>
  <si>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</si>
  <si>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</si>
  <si>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</si>
  <si>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</si>
  <si>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</si>
  <si>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</si>
  <si>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</si>
  <si>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</si>
  <si>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</si>
  <si>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</si>
  <si>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</si>
  <si>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</si>
  <si>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</si>
  <si>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</si>
  <si>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</si>
  <si>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</si>
  <si>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підвищення енергоефективності в бюджетній сфері міста Суми на 2017-2019 роки"</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</si>
  <si>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</si>
  <si>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</si>
  <si>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</si>
  <si>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</si>
  <si>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за рахунок субвенції з держбюджету</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</si>
  <si>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</si>
  <si>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</si>
  <si>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</si>
  <si>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</si>
  <si>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</si>
  <si>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</si>
  <si>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</si>
  <si>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</si>
  <si>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</si>
  <si>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</si>
  <si>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</si>
  <si>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</si>
  <si>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</si>
  <si>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</si>
  <si>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</si>
  <si>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</si>
  <si>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</si>
  <si>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</si>
  <si>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Директор департаменту фінансів, економіки та інвестицій</t>
  </si>
  <si>
    <t>С.А. Липова</t>
  </si>
  <si>
    <t>до  рішення виконавчого комітету</t>
  </si>
  <si>
    <t>24</t>
  </si>
  <si>
    <t>25</t>
  </si>
  <si>
    <t>26</t>
  </si>
  <si>
    <t>27</t>
  </si>
  <si>
    <t>28</t>
  </si>
  <si>
    <t>29</t>
  </si>
  <si>
    <t>30</t>
  </si>
  <si>
    <t>31</t>
  </si>
  <si>
    <t>32</t>
  </si>
  <si>
    <t xml:space="preserve">                Додаток 4</t>
  </si>
  <si>
    <t xml:space="preserve">                Додаток 3</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</si>
  <si>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</si>
  <si>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</si>
  <si>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</si>
  <si>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</si>
  <si>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</si>
  <si>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</si>
  <si>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</si>
  <si>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</si>
  <si>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</si>
  <si>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</si>
  <si>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33</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</si>
  <si>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</si>
  <si>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</si>
  <si>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від 21.03.2017 № 127  </t>
  </si>
  <si>
    <t xml:space="preserve">від 21.03.2017 № 127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</si>
</sst>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b/>
      <sz val="12.5"/>
      <name val="Times New Roman"/>
      <family val="1"/>
    </font>
    <font>
      <sz val="12.5"/>
      <name val="Times New Roman"/>
      <family val="1"/>
    </font>
    <font>
      <i/>
      <sz val="12.5"/>
      <name val="Times New Roman"/>
      <family val="1"/>
    </font>
    <font>
      <sz val="11"/>
      <color indexed="10"/>
      <name val="Times New Roman"/>
      <family val="1"/>
    </font>
    <font>
      <i/>
      <sz val="11"/>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75">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12" xfId="0" applyNumberFormat="1" applyFont="1" applyFill="1" applyBorder="1" applyAlignment="1" applyProtection="1">
      <alignment horizontal="right" vertical="center"/>
      <protection/>
    </xf>
    <xf numFmtId="0" fontId="28" fillId="0" borderId="13" xfId="0" applyNumberFormat="1" applyFont="1" applyFill="1" applyBorder="1" applyAlignment="1" applyProtection="1">
      <alignment/>
      <protection/>
    </xf>
    <xf numFmtId="0" fontId="28" fillId="0" borderId="0" xfId="0" applyFont="1" applyFill="1" applyAlignment="1">
      <alignment/>
    </xf>
    <xf numFmtId="0" fontId="28" fillId="0" borderId="14" xfId="0" applyNumberFormat="1" applyFont="1" applyFill="1" applyBorder="1" applyAlignment="1" applyProtection="1">
      <alignment/>
      <protection/>
    </xf>
    <xf numFmtId="0" fontId="28"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6" xfId="0" applyNumberFormat="1" applyFont="1" applyFill="1" applyBorder="1" applyAlignment="1">
      <alignment horizontal="center" vertical="center"/>
    </xf>
    <xf numFmtId="0" fontId="29" fillId="0" borderId="16"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30" fillId="0" borderId="16" xfId="0" applyFont="1" applyFill="1" applyBorder="1" applyAlignment="1">
      <alignment horizontal="left" vertical="center" wrapText="1"/>
    </xf>
    <xf numFmtId="49" fontId="28" fillId="0" borderId="16"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0" xfId="0" applyNumberFormat="1" applyFont="1" applyFill="1" applyAlignment="1" applyProtection="1">
      <alignment vertical="center"/>
      <protection/>
    </xf>
    <xf numFmtId="0" fontId="28" fillId="0" borderId="16" xfId="0" applyFont="1" applyFill="1" applyBorder="1" applyAlignment="1">
      <alignment horizontal="left" vertical="center" wrapText="1"/>
    </xf>
    <xf numFmtId="0" fontId="30"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0" fontId="30"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0" fontId="30" fillId="0" borderId="0" xfId="0" applyNumberFormat="1" applyFont="1" applyFill="1" applyAlignment="1" applyProtection="1">
      <alignment vertical="center"/>
      <protection/>
    </xf>
    <xf numFmtId="0" fontId="30" fillId="0" borderId="0" xfId="0" applyFont="1" applyFill="1" applyAlignment="1">
      <alignment vertical="center"/>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49" fontId="30" fillId="0" borderId="16" xfId="0" applyNumberFormat="1" applyFont="1" applyFill="1" applyBorder="1" applyAlignment="1" applyProtection="1">
      <alignment horizontal="center" vertical="center"/>
      <protection/>
    </xf>
    <xf numFmtId="4" fontId="30" fillId="0" borderId="16"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33" fillId="0" borderId="0" xfId="0" applyNumberFormat="1" applyFont="1" applyFill="1" applyBorder="1" applyAlignment="1" applyProtection="1">
      <alignment vertical="center" wrapText="1"/>
      <protection/>
    </xf>
    <xf numFmtId="0" fontId="27" fillId="0" borderId="0" xfId="0" applyFont="1" applyFill="1" applyBorder="1" applyAlignment="1">
      <alignment/>
    </xf>
    <xf numFmtId="0" fontId="25" fillId="0" borderId="0" xfId="0" applyNumberFormat="1" applyFont="1" applyFill="1" applyAlignment="1" applyProtection="1">
      <alignment vertical="top"/>
      <protection/>
    </xf>
    <xf numFmtId="0" fontId="28" fillId="0" borderId="16" xfId="0" applyNumberFormat="1" applyFont="1" applyFill="1" applyBorder="1" applyAlignment="1" applyProtection="1">
      <alignment horizontal="center" vertical="center" wrapText="1"/>
      <protection/>
    </xf>
    <xf numFmtId="49" fontId="30" fillId="0" borderId="1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25" fillId="0" borderId="14" xfId="0" applyNumberFormat="1" applyFont="1" applyFill="1" applyBorder="1" applyAlignment="1" applyProtection="1">
      <alignment/>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36" fillId="0" borderId="16"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36" fillId="0" borderId="15" xfId="0" applyFont="1" applyFill="1" applyBorder="1" applyAlignment="1">
      <alignment horizontal="left" vertical="center" wrapText="1"/>
    </xf>
    <xf numFmtId="0" fontId="36" fillId="0" borderId="0" xfId="0" applyFont="1" applyFill="1" applyAlignment="1">
      <alignment/>
    </xf>
    <xf numFmtId="49" fontId="36" fillId="0" borderId="16" xfId="0" applyNumberFormat="1" applyFont="1" applyFill="1" applyBorder="1" applyAlignment="1">
      <alignment horizontal="center" vertical="center" wrapText="1"/>
    </xf>
    <xf numFmtId="0" fontId="36" fillId="0" borderId="16" xfId="0"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5" fillId="0" borderId="16" xfId="0" applyNumberFormat="1" applyFont="1" applyFill="1" applyBorder="1" applyAlignment="1">
      <alignment horizontal="center" vertical="center"/>
    </xf>
    <xf numFmtId="4" fontId="25" fillId="0" borderId="16" xfId="0" applyNumberFormat="1" applyFont="1" applyFill="1" applyBorder="1" applyAlignment="1">
      <alignment horizontal="center" vertical="center"/>
    </xf>
    <xf numFmtId="4" fontId="36"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25" fillId="0" borderId="16" xfId="0" applyFont="1" applyFill="1" applyBorder="1" applyAlignment="1">
      <alignment vertical="center"/>
    </xf>
    <xf numFmtId="0" fontId="28" fillId="0" borderId="16"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6" xfId="0" applyFont="1" applyFill="1" applyBorder="1" applyAlignment="1">
      <alignment vertical="center" wrapText="1"/>
    </xf>
    <xf numFmtId="49" fontId="30" fillId="0" borderId="19"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NumberFormat="1" applyFont="1" applyFill="1" applyBorder="1" applyAlignment="1" applyProtection="1">
      <alignment horizontal="center"/>
      <protection/>
    </xf>
    <xf numFmtId="4" fontId="25" fillId="0" borderId="0" xfId="0" applyNumberFormat="1" applyFont="1" applyFill="1" applyAlignment="1">
      <alignment/>
    </xf>
    <xf numFmtId="4" fontId="25" fillId="0" borderId="0" xfId="0" applyNumberFormat="1" applyFont="1" applyFill="1" applyBorder="1" applyAlignment="1">
      <alignment/>
    </xf>
    <xf numFmtId="0" fontId="35" fillId="0" borderId="0" xfId="0" applyNumberFormat="1" applyFont="1" applyFill="1" applyBorder="1" applyAlignment="1" applyProtection="1">
      <alignment/>
      <protection/>
    </xf>
    <xf numFmtId="49" fontId="35" fillId="0" borderId="0" xfId="0" applyNumberFormat="1" applyFont="1" applyFill="1" applyBorder="1" applyAlignment="1">
      <alignment horizontal="center" vertical="center"/>
    </xf>
    <xf numFmtId="0" fontId="35" fillId="0" borderId="0" xfId="0" applyFont="1" applyFill="1" applyBorder="1" applyAlignment="1">
      <alignment/>
    </xf>
    <xf numFmtId="4" fontId="35" fillId="0" borderId="0" xfId="0" applyNumberFormat="1" applyFont="1" applyFill="1" applyAlignment="1">
      <alignment/>
    </xf>
    <xf numFmtId="4" fontId="38" fillId="0" borderId="0" xfId="0" applyNumberFormat="1" applyFont="1" applyFill="1" applyBorder="1" applyAlignment="1">
      <alignment horizontal="center" vertical="center"/>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16" xfId="0" applyNumberFormat="1" applyFont="1" applyFill="1" applyBorder="1" applyAlignment="1">
      <alignment horizontal="center" vertical="center"/>
    </xf>
    <xf numFmtId="0" fontId="25" fillId="0" borderId="18" xfId="0" applyFont="1" applyFill="1" applyBorder="1" applyAlignment="1">
      <alignment vertical="center" wrapText="1"/>
    </xf>
    <xf numFmtId="0" fontId="36" fillId="0" borderId="18" xfId="0" applyFont="1" applyFill="1" applyBorder="1" applyAlignment="1">
      <alignment vertical="center" wrapText="1"/>
    </xf>
    <xf numFmtId="0" fontId="35" fillId="0" borderId="18" xfId="0" applyFont="1" applyFill="1" applyBorder="1" applyAlignment="1">
      <alignment horizontal="left" vertical="center" wrapText="1"/>
    </xf>
    <xf numFmtId="4" fontId="25" fillId="0" borderId="0" xfId="0" applyNumberFormat="1" applyFont="1" applyFill="1" applyBorder="1" applyAlignment="1">
      <alignment horizontal="center" vertical="center" wrapText="1"/>
    </xf>
    <xf numFmtId="0" fontId="28" fillId="0" borderId="20"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horizontal="left" vertical="center"/>
    </xf>
    <xf numFmtId="0" fontId="0" fillId="0" borderId="0" xfId="0" applyFont="1" applyFill="1" applyBorder="1" applyAlignment="1">
      <alignment/>
    </xf>
    <xf numFmtId="0" fontId="28"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vertical="center"/>
      <protection/>
    </xf>
    <xf numFmtId="0" fontId="29" fillId="0" borderId="16"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6" xfId="0" applyNumberFormat="1" applyFont="1" applyFill="1" applyBorder="1" applyAlignment="1" applyProtection="1">
      <alignment horizontal="center" vertical="center" wrapText="1"/>
      <protection/>
    </xf>
    <xf numFmtId="4" fontId="25" fillId="0" borderId="16" xfId="95" applyNumberFormat="1" applyFont="1" applyFill="1" applyBorder="1" applyAlignment="1">
      <alignment vertical="center"/>
      <protection/>
    </xf>
    <xf numFmtId="4" fontId="36" fillId="0" borderId="16" xfId="95" applyNumberFormat="1" applyFont="1" applyFill="1" applyBorder="1" applyAlignment="1">
      <alignment vertical="center"/>
      <protection/>
    </xf>
    <xf numFmtId="192" fontId="25" fillId="0" borderId="16" xfId="95" applyNumberFormat="1" applyFont="1" applyFill="1" applyBorder="1" applyAlignment="1">
      <alignment vertical="center"/>
      <protection/>
    </xf>
    <xf numFmtId="4" fontId="25" fillId="0" borderId="16" xfId="0" applyNumberFormat="1" applyFont="1" applyFill="1" applyBorder="1" applyAlignment="1">
      <alignment vertical="center"/>
    </xf>
    <xf numFmtId="4" fontId="36" fillId="0" borderId="21" xfId="95" applyNumberFormat="1" applyFont="1" applyFill="1" applyBorder="1" applyAlignment="1">
      <alignment vertical="center"/>
      <protection/>
    </xf>
    <xf numFmtId="192" fontId="36" fillId="0" borderId="21" xfId="95" applyNumberFormat="1" applyFont="1" applyFill="1" applyBorder="1" applyAlignment="1">
      <alignment vertical="center"/>
      <protection/>
    </xf>
    <xf numFmtId="192" fontId="36" fillId="0" borderId="16" xfId="95" applyNumberFormat="1" applyFont="1" applyFill="1" applyBorder="1" applyAlignment="1">
      <alignment vertical="center"/>
      <protection/>
    </xf>
    <xf numFmtId="4" fontId="36" fillId="0" borderId="16" xfId="0" applyNumberFormat="1" applyFont="1" applyFill="1" applyBorder="1" applyAlignment="1">
      <alignment vertical="center"/>
    </xf>
    <xf numFmtId="4" fontId="35" fillId="0" borderId="16" xfId="95" applyNumberFormat="1" applyFont="1" applyFill="1" applyBorder="1" applyAlignment="1">
      <alignment vertical="center"/>
      <protection/>
    </xf>
    <xf numFmtId="4" fontId="39" fillId="0" borderId="16" xfId="0" applyNumberFormat="1" applyFont="1" applyFill="1" applyBorder="1" applyAlignment="1">
      <alignment horizontal="right" vertical="center"/>
    </xf>
    <xf numFmtId="4" fontId="40" fillId="0" borderId="16" xfId="0" applyNumberFormat="1" applyFont="1" applyFill="1" applyBorder="1" applyAlignment="1">
      <alignment horizontal="right" vertical="center"/>
    </xf>
    <xf numFmtId="4" fontId="41" fillId="0" borderId="16" xfId="0" applyNumberFormat="1" applyFont="1" applyFill="1" applyBorder="1" applyAlignment="1">
      <alignment horizontal="right" vertical="center"/>
    </xf>
    <xf numFmtId="4" fontId="40" fillId="0" borderId="16" xfId="0" applyNumberFormat="1" applyFont="1" applyFill="1" applyBorder="1" applyAlignment="1" quotePrefix="1">
      <alignment horizontal="right" vertical="center"/>
    </xf>
    <xf numFmtId="49" fontId="29" fillId="0" borderId="16" xfId="0" applyNumberFormat="1" applyFont="1" applyFill="1" applyBorder="1" applyAlignment="1" applyProtection="1">
      <alignment horizontal="center" vertical="center"/>
      <protection/>
    </xf>
    <xf numFmtId="0" fontId="29" fillId="0" borderId="21" xfId="0" applyFont="1" applyFill="1" applyBorder="1" applyAlignment="1">
      <alignment vertical="center" wrapText="1"/>
    </xf>
    <xf numFmtId="49" fontId="31" fillId="0" borderId="16" xfId="0" applyNumberFormat="1" applyFont="1" applyFill="1" applyBorder="1" applyAlignment="1" applyProtection="1">
      <alignment horizontal="center" vertical="center"/>
      <protection/>
    </xf>
    <xf numFmtId="0" fontId="31" fillId="0" borderId="21" xfId="0" applyFont="1" applyFill="1" applyBorder="1" applyAlignment="1">
      <alignment vertical="center" wrapText="1"/>
    </xf>
    <xf numFmtId="4" fontId="37" fillId="0" borderId="16" xfId="95" applyNumberFormat="1" applyFont="1" applyFill="1" applyBorder="1" applyAlignment="1">
      <alignment vertical="center"/>
      <protection/>
    </xf>
    <xf numFmtId="49" fontId="31" fillId="0" borderId="16" xfId="0" applyNumberFormat="1" applyFont="1" applyFill="1" applyBorder="1" applyAlignment="1">
      <alignment horizontal="center" vertical="center"/>
    </xf>
    <xf numFmtId="0" fontId="31" fillId="0" borderId="16" xfId="0" applyFont="1" applyFill="1" applyBorder="1" applyAlignment="1">
      <alignment horizontal="left" vertical="center" wrapText="1"/>
    </xf>
    <xf numFmtId="0" fontId="31" fillId="0" borderId="16" xfId="0" applyNumberFormat="1" applyFont="1" applyFill="1" applyBorder="1" applyAlignment="1" applyProtection="1">
      <alignment horizontal="center" vertical="center"/>
      <protection/>
    </xf>
    <xf numFmtId="49" fontId="35" fillId="0" borderId="0" xfId="0" applyNumberFormat="1" applyFont="1" applyFill="1" applyBorder="1" applyAlignment="1">
      <alignment vertical="center"/>
    </xf>
    <xf numFmtId="0" fontId="27" fillId="0" borderId="0" xfId="0" applyFont="1" applyFill="1" applyAlignment="1">
      <alignment horizontal="center" vertical="center" textRotation="180"/>
    </xf>
    <xf numFmtId="0" fontId="27" fillId="0" borderId="0" xfId="0" applyFont="1" applyFill="1" applyBorder="1" applyAlignment="1">
      <alignment horizontal="center" vertical="center" textRotation="180"/>
    </xf>
    <xf numFmtId="4" fontId="41" fillId="0" borderId="18" xfId="0" applyNumberFormat="1" applyFont="1" applyFill="1" applyBorder="1" applyAlignment="1">
      <alignment horizontal="right" vertical="center"/>
    </xf>
    <xf numFmtId="4" fontId="40" fillId="0" borderId="18" xfId="0" applyNumberFormat="1" applyFont="1" applyFill="1" applyBorder="1" applyAlignment="1">
      <alignment horizontal="right" vertical="center"/>
    </xf>
    <xf numFmtId="4" fontId="39" fillId="0" borderId="18" xfId="0" applyNumberFormat="1" applyFont="1" applyFill="1" applyBorder="1" applyAlignment="1">
      <alignment horizontal="right" vertical="center"/>
    </xf>
    <xf numFmtId="0" fontId="34" fillId="0" borderId="0" xfId="0" applyNumberFormat="1" applyFont="1" applyFill="1" applyBorder="1" applyAlignment="1" applyProtection="1">
      <alignment vertical="top" wrapText="1"/>
      <protection/>
    </xf>
    <xf numFmtId="0" fontId="30" fillId="0" borderId="17" xfId="0" applyFont="1" applyFill="1" applyBorder="1" applyAlignment="1">
      <alignment horizontal="left" vertical="center" wrapText="1"/>
    </xf>
    <xf numFmtId="49" fontId="28"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protection/>
    </xf>
    <xf numFmtId="0" fontId="36" fillId="0" borderId="16"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16"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16" xfId="0" applyNumberFormat="1" applyFont="1" applyFill="1" applyBorder="1" applyAlignment="1" applyProtection="1">
      <alignment horizontal="center" vertical="center"/>
      <protection/>
    </xf>
    <xf numFmtId="0" fontId="36" fillId="0" borderId="17"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37" fillId="0" borderId="0" xfId="0" applyNumberFormat="1" applyFont="1" applyFill="1" applyAlignment="1" applyProtection="1">
      <alignment/>
      <protection/>
    </xf>
    <xf numFmtId="4" fontId="37" fillId="0" borderId="0" xfId="0" applyNumberFormat="1" applyFont="1" applyFill="1" applyAlignment="1">
      <alignment/>
    </xf>
    <xf numFmtId="0" fontId="37" fillId="0" borderId="0" xfId="0" applyFont="1" applyFill="1" applyAlignment="1">
      <alignment/>
    </xf>
    <xf numFmtId="0" fontId="42" fillId="0" borderId="0" xfId="0" applyFont="1" applyFill="1" applyBorder="1" applyAlignment="1">
      <alignment vertical="center"/>
    </xf>
    <xf numFmtId="0" fontId="42" fillId="0" borderId="0" xfId="0" applyFont="1" applyFill="1" applyAlignment="1">
      <alignment vertical="center"/>
    </xf>
    <xf numFmtId="0" fontId="43" fillId="0" borderId="0" xfId="0" applyFont="1" applyFill="1" applyBorder="1" applyAlignment="1">
      <alignment vertical="center"/>
    </xf>
    <xf numFmtId="0" fontId="43" fillId="0" borderId="0" xfId="0" applyFont="1" applyFill="1" applyAlignment="1">
      <alignment vertical="center"/>
    </xf>
    <xf numFmtId="49" fontId="25" fillId="0" borderId="17" xfId="0" applyNumberFormat="1" applyFont="1" applyFill="1" applyBorder="1" applyAlignment="1">
      <alignment horizontal="center" vertical="center"/>
    </xf>
    <xf numFmtId="0" fontId="27" fillId="0" borderId="0" xfId="0" applyFont="1" applyFill="1" applyAlignment="1">
      <alignment/>
    </xf>
    <xf numFmtId="0" fontId="27" fillId="0" borderId="0" xfId="0" applyFont="1" applyFill="1" applyBorder="1" applyAlignment="1">
      <alignment horizontal="center" vertical="center"/>
    </xf>
    <xf numFmtId="49" fontId="35" fillId="0" borderId="22" xfId="0" applyNumberFormat="1" applyFont="1" applyFill="1" applyBorder="1" applyAlignment="1">
      <alignment vertical="center"/>
    </xf>
    <xf numFmtId="4" fontId="36" fillId="0" borderId="16" xfId="0" applyNumberFormat="1" applyFont="1" applyFill="1" applyBorder="1" applyAlignment="1">
      <alignment horizontal="right" vertical="center"/>
    </xf>
    <xf numFmtId="4" fontId="27" fillId="0" borderId="0" xfId="0" applyNumberFormat="1" applyFont="1" applyFill="1" applyBorder="1" applyAlignment="1" applyProtection="1">
      <alignment/>
      <protection/>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4" fontId="36" fillId="0" borderId="17" xfId="95" applyNumberFormat="1" applyFont="1" applyFill="1" applyBorder="1" applyAlignment="1">
      <alignment vertical="center"/>
      <protection/>
    </xf>
    <xf numFmtId="0" fontId="36" fillId="0" borderId="13" xfId="0" applyFont="1" applyFill="1" applyBorder="1" applyAlignment="1">
      <alignment horizontal="left" vertical="center" wrapText="1"/>
    </xf>
    <xf numFmtId="4" fontId="41" fillId="0" borderId="17" xfId="0" applyNumberFormat="1" applyFont="1" applyFill="1" applyBorder="1" applyAlignment="1">
      <alignment horizontal="right" vertical="center"/>
    </xf>
    <xf numFmtId="4" fontId="41" fillId="0" borderId="21" xfId="0" applyNumberFormat="1" applyFont="1" applyFill="1" applyBorder="1" applyAlignment="1">
      <alignment horizontal="right" vertical="center"/>
    </xf>
    <xf numFmtId="49" fontId="36" fillId="0" borderId="17" xfId="0" applyNumberFormat="1" applyFont="1" applyFill="1" applyBorder="1" applyAlignment="1">
      <alignment horizontal="center" vertical="center"/>
    </xf>
    <xf numFmtId="0" fontId="36" fillId="0" borderId="16" xfId="0" applyFont="1" applyFill="1" applyBorder="1" applyAlignment="1">
      <alignment vertical="center"/>
    </xf>
    <xf numFmtId="0" fontId="33" fillId="0" borderId="0" xfId="0" applyFont="1" applyFill="1" applyAlignment="1">
      <alignment vertical="center"/>
    </xf>
    <xf numFmtId="0" fontId="33" fillId="0" borderId="0" xfId="0" applyFont="1" applyFill="1" applyAlignment="1">
      <alignment horizontal="left" vertical="center" wrapText="1"/>
    </xf>
    <xf numFmtId="49" fontId="28" fillId="0" borderId="16" xfId="0" applyNumberFormat="1" applyFont="1" applyFill="1" applyBorder="1" applyAlignment="1">
      <alignment horizontal="left" vertical="center"/>
    </xf>
    <xf numFmtId="0" fontId="28" fillId="0" borderId="0" xfId="0" applyNumberFormat="1" applyFont="1" applyFill="1" applyAlignment="1" applyProtection="1">
      <alignment vertical="center"/>
      <protection/>
    </xf>
    <xf numFmtId="0" fontId="28" fillId="0" borderId="16"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49" fontId="28" fillId="0" borderId="17"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0" fontId="27" fillId="0" borderId="0" xfId="0" applyNumberFormat="1" applyFont="1" applyFill="1" applyAlignment="1" applyProtection="1">
      <alignment horizontal="center"/>
      <protection/>
    </xf>
    <xf numFmtId="0" fontId="0" fillId="0" borderId="0" xfId="0" applyFont="1" applyFill="1" applyBorder="1" applyAlignment="1">
      <alignment wrapText="1"/>
    </xf>
    <xf numFmtId="0" fontId="0" fillId="0" borderId="0" xfId="0" applyFont="1" applyFill="1" applyAlignment="1">
      <alignment wrapText="1"/>
    </xf>
    <xf numFmtId="3" fontId="27" fillId="0" borderId="0"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protection/>
    </xf>
    <xf numFmtId="4" fontId="0" fillId="0" borderId="0" xfId="0" applyNumberFormat="1" applyFont="1" applyFill="1" applyBorder="1" applyAlignment="1">
      <alignment horizontal="center" vertical="center"/>
    </xf>
    <xf numFmtId="4" fontId="36" fillId="0" borderId="17" xfId="95" applyNumberFormat="1" applyFont="1" applyFill="1" applyBorder="1" applyAlignment="1">
      <alignment/>
      <protection/>
    </xf>
    <xf numFmtId="4" fontId="41" fillId="0" borderId="17" xfId="0" applyNumberFormat="1" applyFont="1" applyFill="1" applyBorder="1" applyAlignment="1">
      <alignment horizontal="right"/>
    </xf>
    <xf numFmtId="0" fontId="27" fillId="0" borderId="0" xfId="0" applyNumberFormat="1" applyFont="1" applyFill="1" applyBorder="1" applyAlignment="1" applyProtection="1">
      <alignment horizontal="center"/>
      <protection/>
    </xf>
    <xf numFmtId="0" fontId="28" fillId="0" borderId="0" xfId="0" applyNumberFormat="1" applyFont="1" applyFill="1" applyAlignment="1" applyProtection="1">
      <alignment/>
      <protection/>
    </xf>
    <xf numFmtId="0" fontId="28" fillId="0" borderId="0" xfId="0" applyNumberFormat="1" applyFont="1" applyFill="1" applyAlignment="1" applyProtection="1">
      <alignment vertical="top"/>
      <protection/>
    </xf>
    <xf numFmtId="0" fontId="28" fillId="0" borderId="12" xfId="0" applyFont="1" applyFill="1" applyBorder="1" applyAlignment="1">
      <alignment horizontal="center"/>
    </xf>
    <xf numFmtId="0" fontId="28" fillId="0" borderId="0" xfId="0" applyFont="1" applyFill="1" applyAlignment="1">
      <alignment vertical="center" wrapText="1"/>
    </xf>
    <xf numFmtId="0" fontId="30" fillId="0" borderId="21" xfId="0" applyFont="1" applyFill="1" applyBorder="1" applyAlignment="1">
      <alignment horizontal="left" vertical="center" wrapText="1"/>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0" fontId="28" fillId="0" borderId="16" xfId="0" applyFont="1" applyFill="1" applyBorder="1" applyAlignment="1">
      <alignment vertical="center" wrapText="1"/>
    </xf>
    <xf numFmtId="0" fontId="30" fillId="0" borderId="0" xfId="0" applyFont="1" applyFill="1" applyAlignment="1">
      <alignment vertical="center" wrapText="1"/>
    </xf>
    <xf numFmtId="0" fontId="28" fillId="0" borderId="17" xfId="0" applyFont="1" applyFill="1" applyBorder="1" applyAlignment="1">
      <alignment horizontal="left" vertical="center" wrapText="1"/>
    </xf>
    <xf numFmtId="4" fontId="30" fillId="0" borderId="16" xfId="0" applyNumberFormat="1" applyFont="1" applyFill="1" applyBorder="1" applyAlignment="1">
      <alignment vertical="center" wrapText="1"/>
    </xf>
    <xf numFmtId="0" fontId="28" fillId="0" borderId="16" xfId="0" applyFont="1" applyFill="1" applyBorder="1" applyAlignment="1">
      <alignment vertical="center" wrapText="1"/>
    </xf>
    <xf numFmtId="0" fontId="28"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0" fontId="28" fillId="0" borderId="0" xfId="0" applyFont="1" applyFill="1" applyBorder="1" applyAlignment="1">
      <alignment wrapText="1"/>
    </xf>
    <xf numFmtId="0" fontId="28" fillId="0" borderId="0" xfId="0" applyNumberFormat="1" applyFont="1" applyFill="1" applyBorder="1" applyAlignment="1" applyProtection="1">
      <alignment/>
      <protection/>
    </xf>
    <xf numFmtId="0" fontId="28" fillId="0" borderId="18" xfId="0" applyFont="1" applyFill="1" applyBorder="1" applyAlignment="1">
      <alignment horizontal="left" vertical="center" wrapText="1"/>
    </xf>
    <xf numFmtId="0" fontId="0" fillId="4" borderId="0" xfId="0" applyNumberFormat="1" applyFont="1" applyFill="1" applyAlignment="1" applyProtection="1">
      <alignment horizontal="center"/>
      <protection/>
    </xf>
    <xf numFmtId="0" fontId="42" fillId="0" borderId="0" xfId="0" applyNumberFormat="1" applyFont="1" applyFill="1" applyAlignment="1" applyProtection="1">
      <alignment vertical="center"/>
      <protection/>
    </xf>
    <xf numFmtId="0" fontId="0" fillId="4" borderId="0" xfId="0" applyNumberFormat="1" applyFont="1" applyFill="1" applyAlignment="1" applyProtection="1">
      <alignment/>
      <protection/>
    </xf>
    <xf numFmtId="0" fontId="28" fillId="0" borderId="16" xfId="0" applyFont="1" applyFill="1" applyBorder="1" applyAlignment="1">
      <alignment horizontal="left" vertical="center" wrapText="1"/>
    </xf>
    <xf numFmtId="0" fontId="31" fillId="0" borderId="0" xfId="0" applyNumberFormat="1" applyFont="1" applyFill="1" applyAlignment="1" applyProtection="1">
      <alignment vertical="center"/>
      <protection/>
    </xf>
    <xf numFmtId="0" fontId="31" fillId="0" borderId="0" xfId="0" applyFont="1" applyFill="1" applyBorder="1" applyAlignment="1">
      <alignment vertical="center"/>
    </xf>
    <xf numFmtId="0" fontId="31" fillId="0" borderId="0" xfId="0" applyFont="1" applyFill="1" applyAlignment="1">
      <alignment vertical="center"/>
    </xf>
    <xf numFmtId="0" fontId="43" fillId="0" borderId="0" xfId="0" applyNumberFormat="1" applyFont="1" applyFill="1" applyAlignment="1" applyProtection="1">
      <alignment vertical="center"/>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27" fillId="0" borderId="0" xfId="0" applyFont="1" applyFill="1" applyAlignment="1">
      <alignment vertical="center" textRotation="180"/>
    </xf>
    <xf numFmtId="0" fontId="27" fillId="0" borderId="0" xfId="0" applyFont="1" applyFill="1" applyBorder="1" applyAlignment="1">
      <alignment vertical="center" textRotation="180"/>
    </xf>
    <xf numFmtId="0" fontId="50" fillId="0" borderId="0" xfId="0" applyFont="1" applyFill="1" applyBorder="1" applyAlignment="1">
      <alignment vertical="center"/>
    </xf>
    <xf numFmtId="0" fontId="5" fillId="0" borderId="0" xfId="0" applyNumberFormat="1" applyFont="1" applyFill="1" applyAlignment="1" applyProtection="1">
      <alignment horizontal="center"/>
      <protection/>
    </xf>
    <xf numFmtId="0" fontId="27" fillId="0" borderId="0" xfId="0" applyNumberFormat="1" applyFont="1" applyFill="1" applyBorder="1" applyAlignment="1" applyProtection="1">
      <alignment/>
      <protection/>
    </xf>
    <xf numFmtId="0" fontId="30" fillId="13" borderId="0" xfId="0" applyNumberFormat="1" applyFont="1" applyFill="1" applyBorder="1" applyAlignment="1" applyProtection="1">
      <alignment vertical="center"/>
      <protection/>
    </xf>
    <xf numFmtId="0" fontId="30" fillId="13" borderId="0" xfId="0" applyFont="1" applyFill="1" applyBorder="1" applyAlignment="1">
      <alignment vertical="center"/>
    </xf>
    <xf numFmtId="0" fontId="28" fillId="13" borderId="0" xfId="0" applyNumberFormat="1" applyFont="1" applyFill="1" applyAlignment="1" applyProtection="1">
      <alignment vertical="center"/>
      <protection/>
    </xf>
    <xf numFmtId="0" fontId="28" fillId="13" borderId="0" xfId="0" applyFont="1" applyFill="1" applyBorder="1" applyAlignment="1">
      <alignment vertical="center"/>
    </xf>
    <xf numFmtId="0" fontId="28" fillId="13" borderId="0" xfId="0" applyFont="1" applyFill="1" applyAlignment="1">
      <alignment vertical="center"/>
    </xf>
    <xf numFmtId="4" fontId="34" fillId="0" borderId="0" xfId="0" applyNumberFormat="1" applyFont="1" applyFill="1" applyBorder="1" applyAlignment="1" applyProtection="1">
      <alignment vertical="top" wrapText="1"/>
      <protection/>
    </xf>
    <xf numFmtId="4" fontId="35" fillId="0" borderId="0" xfId="95" applyNumberFormat="1" applyFont="1" applyFill="1" applyBorder="1" applyAlignment="1">
      <alignment vertical="center"/>
      <protection/>
    </xf>
    <xf numFmtId="49" fontId="30" fillId="0" borderId="17" xfId="0" applyNumberFormat="1" applyFont="1" applyFill="1" applyBorder="1" applyAlignment="1">
      <alignment horizontal="center" vertical="center"/>
    </xf>
    <xf numFmtId="0" fontId="30" fillId="0" borderId="17" xfId="0" applyNumberFormat="1" applyFont="1" applyFill="1" applyBorder="1" applyAlignment="1" applyProtection="1">
      <alignment horizontal="center" vertical="center"/>
      <protection/>
    </xf>
    <xf numFmtId="0" fontId="36" fillId="0" borderId="17" xfId="0" applyFont="1" applyFill="1" applyBorder="1" applyAlignment="1">
      <alignment horizontal="center" vertical="center" wrapText="1"/>
    </xf>
    <xf numFmtId="49" fontId="36" fillId="0" borderId="17" xfId="0" applyNumberFormat="1" applyFont="1" applyFill="1" applyBorder="1" applyAlignment="1">
      <alignment horizontal="center" vertical="center"/>
    </xf>
    <xf numFmtId="0" fontId="27" fillId="0" borderId="14" xfId="0" applyFont="1" applyFill="1" applyBorder="1" applyAlignment="1">
      <alignment horizontal="center" vertical="center" textRotation="180"/>
    </xf>
    <xf numFmtId="49" fontId="36" fillId="0" borderId="17" xfId="0" applyNumberFormat="1" applyFont="1" applyFill="1" applyBorder="1" applyAlignment="1" applyProtection="1">
      <alignment horizontal="center" vertical="center"/>
      <protection/>
    </xf>
    <xf numFmtId="49" fontId="36" fillId="0" borderId="21"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49" fontId="27" fillId="0" borderId="0" xfId="0" applyNumberFormat="1" applyFont="1" applyFill="1" applyBorder="1" applyAlignment="1">
      <alignment horizontal="center" vertical="center" textRotation="180"/>
    </xf>
    <xf numFmtId="49" fontId="27" fillId="0" borderId="14" xfId="0" applyNumberFormat="1" applyFont="1" applyFill="1" applyBorder="1" applyAlignment="1">
      <alignment horizontal="center" vertical="center" textRotation="180"/>
    </xf>
    <xf numFmtId="0" fontId="33" fillId="0" borderId="0" xfId="0" applyFont="1" applyFill="1" applyAlignment="1">
      <alignment horizontal="left" vertical="center" wrapText="1"/>
    </xf>
    <xf numFmtId="0" fontId="27" fillId="0" borderId="0" xfId="0" applyFont="1" applyFill="1" applyBorder="1" applyAlignment="1">
      <alignment horizontal="center" vertical="center" textRotation="180"/>
    </xf>
    <xf numFmtId="3" fontId="33" fillId="0" borderId="0" xfId="0" applyNumberFormat="1" applyFont="1" applyFill="1" applyBorder="1" applyAlignment="1">
      <alignment horizontal="center" vertical="center" wrapText="1"/>
    </xf>
    <xf numFmtId="0" fontId="33"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28"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left" vertical="center" wrapText="1"/>
    </xf>
    <xf numFmtId="0" fontId="28"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49" fontId="30" fillId="0" borderId="17" xfId="0" applyNumberFormat="1" applyFont="1" applyFill="1" applyBorder="1" applyAlignment="1" applyProtection="1">
      <alignment horizontal="center" vertical="center"/>
      <protection/>
    </xf>
    <xf numFmtId="49" fontId="30" fillId="0" borderId="21" xfId="0" applyNumberFormat="1" applyFont="1" applyFill="1" applyBorder="1" applyAlignment="1" applyProtection="1">
      <alignment horizontal="center" vertical="center"/>
      <protection/>
    </xf>
    <xf numFmtId="49" fontId="30" fillId="0" borderId="13" xfId="0" applyNumberFormat="1" applyFont="1" applyFill="1" applyBorder="1" applyAlignment="1" applyProtection="1">
      <alignment horizontal="center" vertical="center"/>
      <protection/>
    </xf>
    <xf numFmtId="49" fontId="30" fillId="0" borderId="15" xfId="0" applyNumberFormat="1" applyFont="1" applyFill="1" applyBorder="1" applyAlignment="1" applyProtection="1">
      <alignment horizontal="center" vertical="center"/>
      <protection/>
    </xf>
    <xf numFmtId="0" fontId="30" fillId="0" borderId="16"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7" fillId="0" borderId="0" xfId="0" applyFont="1" applyFill="1" applyAlignment="1">
      <alignment horizontal="center" vertical="center" textRotation="180"/>
    </xf>
    <xf numFmtId="49" fontId="36" fillId="0" borderId="15" xfId="0" applyNumberFormat="1" applyFont="1" applyFill="1" applyBorder="1" applyAlignment="1" applyProtection="1">
      <alignment horizontal="center" vertical="center"/>
      <protection/>
    </xf>
    <xf numFmtId="4" fontId="35" fillId="0" borderId="16"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36"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70"/>
  <sheetViews>
    <sheetView showGridLines="0" showZeros="0" tabSelected="1" view="pageBreakPreview" zoomScale="55" zoomScaleNormal="70" zoomScaleSheetLayoutView="55" zoomScalePageLayoutView="0" workbookViewId="0" topLeftCell="B1">
      <selection activeCell="M4" sqref="M4:Q4"/>
    </sheetView>
  </sheetViews>
  <sheetFormatPr defaultColWidth="9.16015625" defaultRowHeight="12.75"/>
  <cols>
    <col min="1" max="1" width="3.83203125" style="1" hidden="1" customWidth="1"/>
    <col min="2" max="2" width="16.5" style="42" customWidth="1"/>
    <col min="3" max="3" width="14.33203125" style="215" customWidth="1"/>
    <col min="4" max="4" width="13" style="42" customWidth="1"/>
    <col min="5" max="5" width="57.16015625" style="210" customWidth="1"/>
    <col min="6" max="6" width="22" style="1" customWidth="1"/>
    <col min="7" max="7" width="22.33203125" style="1" customWidth="1"/>
    <col min="8" max="8" width="20" style="1" customWidth="1"/>
    <col min="9" max="9" width="21.16015625" style="1" customWidth="1"/>
    <col min="10" max="10" width="20.16015625" style="1" customWidth="1"/>
    <col min="11" max="11" width="22.66015625" style="217" customWidth="1"/>
    <col min="12" max="12" width="19" style="1" customWidth="1"/>
    <col min="13" max="13" width="19.83203125" style="1" customWidth="1"/>
    <col min="14" max="14" width="17.83203125" style="1" customWidth="1"/>
    <col min="15" max="15" width="21.33203125" style="1" customWidth="1"/>
    <col min="16" max="16" width="22" style="1" customWidth="1"/>
    <col min="17" max="17" width="23.5" style="1" customWidth="1"/>
    <col min="18" max="18" width="13.5" style="108" customWidth="1"/>
    <col min="19" max="32" width="9.16015625" style="104" customWidth="1"/>
    <col min="33" max="16384" width="9.16015625" style="83" customWidth="1"/>
  </cols>
  <sheetData>
    <row r="1" spans="3:18" ht="26.25">
      <c r="C1" s="42"/>
      <c r="E1" s="198"/>
      <c r="K1" s="1"/>
      <c r="M1" s="251" t="s">
        <v>557</v>
      </c>
      <c r="N1" s="251"/>
      <c r="O1" s="251"/>
      <c r="P1" s="251"/>
      <c r="Q1" s="178"/>
      <c r="R1" s="249">
        <v>23</v>
      </c>
    </row>
    <row r="2" spans="3:18" ht="26.25">
      <c r="C2" s="42"/>
      <c r="E2" s="198"/>
      <c r="K2" s="1"/>
      <c r="M2" s="178" t="s">
        <v>546</v>
      </c>
      <c r="N2" s="178"/>
      <c r="O2" s="178"/>
      <c r="P2" s="178"/>
      <c r="Q2" s="178"/>
      <c r="R2" s="249"/>
    </row>
    <row r="3" spans="3:18" ht="26.25">
      <c r="C3" s="42"/>
      <c r="E3" s="198"/>
      <c r="K3" s="1"/>
      <c r="M3" s="248" t="s">
        <v>572</v>
      </c>
      <c r="N3" s="248"/>
      <c r="O3" s="248"/>
      <c r="P3" s="248"/>
      <c r="Q3" s="248"/>
      <c r="R3" s="249"/>
    </row>
    <row r="4" spans="1:32" s="8" customFormat="1" ht="26.25">
      <c r="A4" s="1"/>
      <c r="B4" s="42"/>
      <c r="C4" s="42"/>
      <c r="D4" s="42"/>
      <c r="E4" s="198"/>
      <c r="F4" s="1"/>
      <c r="G4" s="1"/>
      <c r="H4" s="1"/>
      <c r="I4" s="1"/>
      <c r="J4" s="1"/>
      <c r="K4" s="1"/>
      <c r="L4" s="1"/>
      <c r="M4" s="248"/>
      <c r="N4" s="248"/>
      <c r="O4" s="248"/>
      <c r="P4" s="248"/>
      <c r="Q4" s="248"/>
      <c r="R4" s="249"/>
      <c r="S4" s="105"/>
      <c r="T4" s="105"/>
      <c r="U4" s="105"/>
      <c r="V4" s="105"/>
      <c r="W4" s="106"/>
      <c r="X4" s="106"/>
      <c r="Y4" s="106"/>
      <c r="Z4" s="106"/>
      <c r="AA4" s="106"/>
      <c r="AB4" s="106"/>
      <c r="AC4" s="106"/>
      <c r="AD4" s="106"/>
      <c r="AE4" s="106"/>
      <c r="AF4" s="106"/>
    </row>
    <row r="5" spans="1:32" s="6" customFormat="1" ht="26.25">
      <c r="A5" s="5"/>
      <c r="B5" s="21"/>
      <c r="C5" s="21"/>
      <c r="D5" s="21"/>
      <c r="E5" s="199"/>
      <c r="F5" s="48"/>
      <c r="G5" s="48"/>
      <c r="H5" s="48"/>
      <c r="I5" s="48"/>
      <c r="J5" s="48"/>
      <c r="K5" s="48"/>
      <c r="L5" s="48"/>
      <c r="M5" s="248"/>
      <c r="N5" s="248"/>
      <c r="O5" s="248"/>
      <c r="P5" s="248"/>
      <c r="Q5" s="248"/>
      <c r="R5" s="249"/>
      <c r="S5" s="105"/>
      <c r="T5" s="105"/>
      <c r="U5" s="105"/>
      <c r="V5" s="105"/>
      <c r="W5" s="75"/>
      <c r="X5" s="75"/>
      <c r="Y5" s="75"/>
      <c r="Z5" s="75"/>
      <c r="AA5" s="75"/>
      <c r="AB5" s="75"/>
      <c r="AC5" s="75"/>
      <c r="AD5" s="75"/>
      <c r="AE5" s="75"/>
      <c r="AF5" s="75"/>
    </row>
    <row r="6" spans="1:32" s="6" customFormat="1" ht="26.25">
      <c r="A6" s="5"/>
      <c r="B6" s="21"/>
      <c r="C6" s="21"/>
      <c r="D6" s="21"/>
      <c r="E6" s="199"/>
      <c r="F6" s="48"/>
      <c r="G6" s="48"/>
      <c r="H6" s="48"/>
      <c r="I6" s="48"/>
      <c r="J6" s="48"/>
      <c r="K6" s="48"/>
      <c r="L6" s="48"/>
      <c r="M6" s="179"/>
      <c r="N6" s="179"/>
      <c r="O6" s="179"/>
      <c r="P6" s="179"/>
      <c r="Q6" s="179"/>
      <c r="R6" s="249"/>
      <c r="S6" s="105"/>
      <c r="T6" s="105"/>
      <c r="U6" s="105"/>
      <c r="V6" s="105"/>
      <c r="W6" s="75"/>
      <c r="X6" s="75"/>
      <c r="Y6" s="75"/>
      <c r="Z6" s="75"/>
      <c r="AA6" s="75"/>
      <c r="AB6" s="75"/>
      <c r="AC6" s="75"/>
      <c r="AD6" s="75"/>
      <c r="AE6" s="75"/>
      <c r="AF6" s="75"/>
    </row>
    <row r="7" spans="1:18" ht="69" customHeight="1">
      <c r="A7" s="9"/>
      <c r="B7" s="20"/>
      <c r="C7" s="20"/>
      <c r="D7" s="20"/>
      <c r="E7" s="252" t="s">
        <v>433</v>
      </c>
      <c r="F7" s="252"/>
      <c r="G7" s="252"/>
      <c r="H7" s="252"/>
      <c r="I7" s="252"/>
      <c r="J7" s="252"/>
      <c r="K7" s="252"/>
      <c r="L7" s="252"/>
      <c r="M7" s="252"/>
      <c r="N7" s="252"/>
      <c r="O7" s="252"/>
      <c r="P7" s="236"/>
      <c r="Q7" s="145"/>
      <c r="R7" s="249"/>
    </row>
    <row r="8" spans="3:18" ht="11.25" customHeight="1">
      <c r="C8" s="42"/>
      <c r="E8" s="200"/>
      <c r="F8" s="84"/>
      <c r="G8" s="84"/>
      <c r="H8" s="4"/>
      <c r="I8" s="2"/>
      <c r="J8" s="2"/>
      <c r="K8" s="229"/>
      <c r="L8" s="3"/>
      <c r="M8" s="3"/>
      <c r="N8" s="3"/>
      <c r="O8" s="3"/>
      <c r="P8" s="3"/>
      <c r="Q8" s="10" t="s">
        <v>10</v>
      </c>
      <c r="R8" s="249"/>
    </row>
    <row r="9" spans="1:32" s="12" customFormat="1" ht="21.75" customHeight="1">
      <c r="A9" s="11"/>
      <c r="B9" s="257" t="s">
        <v>427</v>
      </c>
      <c r="C9" s="257" t="s">
        <v>435</v>
      </c>
      <c r="D9" s="257" t="s">
        <v>253</v>
      </c>
      <c r="E9" s="253" t="s">
        <v>535</v>
      </c>
      <c r="F9" s="253" t="s">
        <v>0</v>
      </c>
      <c r="G9" s="253"/>
      <c r="H9" s="253"/>
      <c r="I9" s="253"/>
      <c r="J9" s="253"/>
      <c r="K9" s="253" t="s">
        <v>1</v>
      </c>
      <c r="L9" s="253"/>
      <c r="M9" s="253"/>
      <c r="N9" s="253"/>
      <c r="O9" s="253"/>
      <c r="P9" s="253"/>
      <c r="Q9" s="253" t="s">
        <v>2</v>
      </c>
      <c r="R9" s="249"/>
      <c r="S9" s="107"/>
      <c r="T9" s="107"/>
      <c r="U9" s="107"/>
      <c r="V9" s="107"/>
      <c r="W9" s="107"/>
      <c r="X9" s="107"/>
      <c r="Y9" s="107"/>
      <c r="Z9" s="107"/>
      <c r="AA9" s="107"/>
      <c r="AB9" s="107"/>
      <c r="AC9" s="107"/>
      <c r="AD9" s="107"/>
      <c r="AE9" s="107"/>
      <c r="AF9" s="107"/>
    </row>
    <row r="10" spans="1:32" s="12" customFormat="1" ht="16.5" customHeight="1">
      <c r="A10" s="13"/>
      <c r="B10" s="258"/>
      <c r="C10" s="258"/>
      <c r="D10" s="258"/>
      <c r="E10" s="253"/>
      <c r="F10" s="253" t="s">
        <v>3</v>
      </c>
      <c r="G10" s="264" t="s">
        <v>4</v>
      </c>
      <c r="H10" s="254" t="s">
        <v>5</v>
      </c>
      <c r="I10" s="254"/>
      <c r="J10" s="265" t="s">
        <v>6</v>
      </c>
      <c r="K10" s="255" t="s">
        <v>3</v>
      </c>
      <c r="L10" s="264" t="s">
        <v>4</v>
      </c>
      <c r="M10" s="254" t="s">
        <v>5</v>
      </c>
      <c r="N10" s="254"/>
      <c r="O10" s="265" t="s">
        <v>6</v>
      </c>
      <c r="P10" s="49" t="s">
        <v>5</v>
      </c>
      <c r="Q10" s="255"/>
      <c r="R10" s="249"/>
      <c r="S10" s="107"/>
      <c r="T10" s="107"/>
      <c r="U10" s="107"/>
      <c r="V10" s="107"/>
      <c r="W10" s="107"/>
      <c r="X10" s="107"/>
      <c r="Y10" s="107"/>
      <c r="Z10" s="107"/>
      <c r="AA10" s="107"/>
      <c r="AB10" s="107"/>
      <c r="AC10" s="107"/>
      <c r="AD10" s="107"/>
      <c r="AE10" s="107"/>
      <c r="AF10" s="107"/>
    </row>
    <row r="11" spans="1:32" s="12" customFormat="1" ht="20.25" customHeight="1">
      <c r="A11" s="14"/>
      <c r="B11" s="258"/>
      <c r="C11" s="258"/>
      <c r="D11" s="258"/>
      <c r="E11" s="253"/>
      <c r="F11" s="253"/>
      <c r="G11" s="264"/>
      <c r="H11" s="254" t="s">
        <v>7</v>
      </c>
      <c r="I11" s="254" t="s">
        <v>8</v>
      </c>
      <c r="J11" s="265"/>
      <c r="K11" s="255"/>
      <c r="L11" s="264"/>
      <c r="M11" s="254" t="s">
        <v>7</v>
      </c>
      <c r="N11" s="254" t="s">
        <v>8</v>
      </c>
      <c r="O11" s="265"/>
      <c r="P11" s="255" t="s">
        <v>9</v>
      </c>
      <c r="Q11" s="255"/>
      <c r="R11" s="249"/>
      <c r="S11" s="107"/>
      <c r="T11" s="107"/>
      <c r="U11" s="107"/>
      <c r="V11" s="107"/>
      <c r="W11" s="107"/>
      <c r="X11" s="107"/>
      <c r="Y11" s="107"/>
      <c r="Z11" s="107"/>
      <c r="AA11" s="107"/>
      <c r="AB11" s="107"/>
      <c r="AC11" s="107"/>
      <c r="AD11" s="107"/>
      <c r="AE11" s="107"/>
      <c r="AF11" s="107"/>
    </row>
    <row r="12" spans="1:32" s="12" customFormat="1" ht="43.5" customHeight="1">
      <c r="A12" s="15"/>
      <c r="B12" s="259"/>
      <c r="C12" s="259"/>
      <c r="D12" s="259"/>
      <c r="E12" s="253"/>
      <c r="F12" s="253"/>
      <c r="G12" s="264"/>
      <c r="H12" s="254"/>
      <c r="I12" s="254"/>
      <c r="J12" s="265"/>
      <c r="K12" s="255"/>
      <c r="L12" s="264"/>
      <c r="M12" s="254"/>
      <c r="N12" s="254"/>
      <c r="O12" s="265"/>
      <c r="P12" s="255"/>
      <c r="Q12" s="255"/>
      <c r="R12" s="249"/>
      <c r="S12" s="107"/>
      <c r="T12" s="107"/>
      <c r="U12" s="107"/>
      <c r="V12" s="107"/>
      <c r="W12" s="107"/>
      <c r="X12" s="107"/>
      <c r="Y12" s="107"/>
      <c r="Z12" s="107"/>
      <c r="AA12" s="107"/>
      <c r="AB12" s="107"/>
      <c r="AC12" s="107"/>
      <c r="AD12" s="107"/>
      <c r="AE12" s="107"/>
      <c r="AF12" s="107"/>
    </row>
    <row r="13" spans="1:32" s="116" customFormat="1" ht="21" customHeight="1">
      <c r="A13" s="113"/>
      <c r="B13" s="131" t="s">
        <v>28</v>
      </c>
      <c r="C13" s="131"/>
      <c r="D13" s="131"/>
      <c r="E13" s="132" t="s">
        <v>185</v>
      </c>
      <c r="F13" s="126">
        <f>F14</f>
        <v>87535904</v>
      </c>
      <c r="G13" s="126">
        <f aca="true" t="shared" si="0" ref="G13:P13">G14</f>
        <v>78533404</v>
      </c>
      <c r="H13" s="126">
        <f t="shared" si="0"/>
        <v>41014842</v>
      </c>
      <c r="I13" s="126">
        <f t="shared" si="0"/>
        <v>3926428</v>
      </c>
      <c r="J13" s="126">
        <f t="shared" si="0"/>
        <v>9002500</v>
      </c>
      <c r="K13" s="126">
        <f t="shared" si="0"/>
        <v>56068277</v>
      </c>
      <c r="L13" s="126">
        <f t="shared" si="0"/>
        <v>547577</v>
      </c>
      <c r="M13" s="126">
        <f t="shared" si="0"/>
        <v>242690</v>
      </c>
      <c r="N13" s="126">
        <f t="shared" si="0"/>
        <v>100128</v>
      </c>
      <c r="O13" s="126">
        <f t="shared" si="0"/>
        <v>55520700</v>
      </c>
      <c r="P13" s="126">
        <f t="shared" si="0"/>
        <v>55520700</v>
      </c>
      <c r="Q13" s="126">
        <f>F13+K13</f>
        <v>143604181</v>
      </c>
      <c r="R13" s="249"/>
      <c r="S13" s="115"/>
      <c r="T13" s="115"/>
      <c r="U13" s="115"/>
      <c r="V13" s="115"/>
      <c r="W13" s="115"/>
      <c r="X13" s="115"/>
      <c r="Y13" s="115"/>
      <c r="Z13" s="115"/>
      <c r="AA13" s="115"/>
      <c r="AB13" s="115"/>
      <c r="AC13" s="115"/>
      <c r="AD13" s="115"/>
      <c r="AE13" s="115"/>
      <c r="AF13" s="115"/>
    </row>
    <row r="14" spans="1:32" s="221" customFormat="1" ht="21.75" customHeight="1">
      <c r="A14" s="219"/>
      <c r="B14" s="133" t="s">
        <v>29</v>
      </c>
      <c r="C14" s="133"/>
      <c r="D14" s="133"/>
      <c r="E14" s="134" t="s">
        <v>185</v>
      </c>
      <c r="F14" s="135">
        <f>F15+F16+F18+F21+F23+F24+F27+F29+F32+F35+F38+F41+F42+F44+F45+F47+F48+F49+F51+F52+F54+F62+F63+F53</f>
        <v>87535904</v>
      </c>
      <c r="G14" s="135">
        <f aca="true" t="shared" si="1" ref="G14:P14">G15+G16+G18+G21+G23+G24+G27+G29+G32+G35+G38+G41+G42+G44+G45+G47+G48+G49+G51+G52+G54+G62+G63+G53</f>
        <v>78533404</v>
      </c>
      <c r="H14" s="135">
        <f t="shared" si="1"/>
        <v>41014842</v>
      </c>
      <c r="I14" s="135">
        <f t="shared" si="1"/>
        <v>3926428</v>
      </c>
      <c r="J14" s="135">
        <f t="shared" si="1"/>
        <v>9002500</v>
      </c>
      <c r="K14" s="135">
        <f t="shared" si="1"/>
        <v>56068277</v>
      </c>
      <c r="L14" s="135">
        <f t="shared" si="1"/>
        <v>547577</v>
      </c>
      <c r="M14" s="135">
        <f t="shared" si="1"/>
        <v>242690</v>
      </c>
      <c r="N14" s="135">
        <f t="shared" si="1"/>
        <v>100128</v>
      </c>
      <c r="O14" s="135">
        <f t="shared" si="1"/>
        <v>55520700</v>
      </c>
      <c r="P14" s="135">
        <f t="shared" si="1"/>
        <v>55520700</v>
      </c>
      <c r="Q14" s="118">
        <f>F14+K14</f>
        <v>143604181</v>
      </c>
      <c r="R14" s="249"/>
      <c r="S14" s="220"/>
      <c r="T14" s="220"/>
      <c r="U14" s="220"/>
      <c r="V14" s="220"/>
      <c r="W14" s="220"/>
      <c r="X14" s="220"/>
      <c r="Y14" s="220"/>
      <c r="Z14" s="220"/>
      <c r="AA14" s="220"/>
      <c r="AB14" s="220"/>
      <c r="AC14" s="220"/>
      <c r="AD14" s="220"/>
      <c r="AE14" s="220"/>
      <c r="AF14" s="220"/>
    </row>
    <row r="15" spans="1:32" s="17" customFormat="1" ht="30.75" customHeight="1">
      <c r="A15" s="181"/>
      <c r="B15" s="110" t="s">
        <v>30</v>
      </c>
      <c r="C15" s="110" t="s">
        <v>251</v>
      </c>
      <c r="D15" s="110" t="s">
        <v>252</v>
      </c>
      <c r="E15" s="111" t="s">
        <v>536</v>
      </c>
      <c r="F15" s="118">
        <f>G15+J15</f>
        <v>45088900</v>
      </c>
      <c r="G15" s="118">
        <f>43871100+271100-342800+1289500</f>
        <v>45088900</v>
      </c>
      <c r="H15" s="118">
        <f>29623100+968500</f>
        <v>30591600</v>
      </c>
      <c r="I15" s="118">
        <f>1899200+271100</f>
        <v>2170300</v>
      </c>
      <c r="J15" s="118"/>
      <c r="K15" s="118">
        <f>L15+O15</f>
        <v>4364700</v>
      </c>
      <c r="L15" s="118"/>
      <c r="M15" s="118"/>
      <c r="N15" s="118"/>
      <c r="O15" s="118">
        <f>4500000-135300</f>
        <v>4364700</v>
      </c>
      <c r="P15" s="118">
        <f>4500000-135300</f>
        <v>4364700</v>
      </c>
      <c r="Q15" s="118">
        <f aca="true" t="shared" si="2" ref="Q15:Q73">F15+K15</f>
        <v>49453600</v>
      </c>
      <c r="R15" s="249"/>
      <c r="S15" s="44"/>
      <c r="T15" s="44"/>
      <c r="U15" s="44"/>
      <c r="V15" s="44"/>
      <c r="W15" s="44"/>
      <c r="X15" s="44"/>
      <c r="Y15" s="44"/>
      <c r="Z15" s="44"/>
      <c r="AA15" s="44"/>
      <c r="AB15" s="44"/>
      <c r="AC15" s="44"/>
      <c r="AD15" s="44"/>
      <c r="AE15" s="44"/>
      <c r="AF15" s="44"/>
    </row>
    <row r="16" spans="1:32" s="17" customFormat="1" ht="162.75" customHeight="1">
      <c r="A16" s="16"/>
      <c r="B16" s="147" t="s">
        <v>200</v>
      </c>
      <c r="C16" s="147" t="s">
        <v>390</v>
      </c>
      <c r="D16" s="147"/>
      <c r="E16" s="111" t="s">
        <v>108</v>
      </c>
      <c r="F16" s="118">
        <f>F17</f>
        <v>15000</v>
      </c>
      <c r="G16" s="118">
        <f aca="true" t="shared" si="3" ref="G16:P16">G17</f>
        <v>15000</v>
      </c>
      <c r="H16" s="118">
        <f t="shared" si="3"/>
        <v>0</v>
      </c>
      <c r="I16" s="118">
        <f t="shared" si="3"/>
        <v>0</v>
      </c>
      <c r="J16" s="118">
        <f t="shared" si="3"/>
        <v>0</v>
      </c>
      <c r="K16" s="118">
        <f t="shared" si="3"/>
        <v>0</v>
      </c>
      <c r="L16" s="118">
        <f t="shared" si="3"/>
        <v>0</v>
      </c>
      <c r="M16" s="118">
        <f t="shared" si="3"/>
        <v>0</v>
      </c>
      <c r="N16" s="118">
        <f t="shared" si="3"/>
        <v>0</v>
      </c>
      <c r="O16" s="118">
        <f t="shared" si="3"/>
        <v>0</v>
      </c>
      <c r="P16" s="118">
        <f t="shared" si="3"/>
        <v>0</v>
      </c>
      <c r="Q16" s="118">
        <f t="shared" si="2"/>
        <v>15000</v>
      </c>
      <c r="R16" s="249"/>
      <c r="S16" s="44"/>
      <c r="T16" s="44"/>
      <c r="U16" s="44"/>
      <c r="V16" s="44"/>
      <c r="W16" s="44"/>
      <c r="X16" s="44"/>
      <c r="Y16" s="44"/>
      <c r="Z16" s="44"/>
      <c r="AA16" s="44"/>
      <c r="AB16" s="44"/>
      <c r="AC16" s="44"/>
      <c r="AD16" s="44"/>
      <c r="AE16" s="44"/>
      <c r="AF16" s="44"/>
    </row>
    <row r="17" spans="1:32" s="36" customFormat="1" ht="36.75" customHeight="1">
      <c r="A17" s="35"/>
      <c r="B17" s="39" t="s">
        <v>201</v>
      </c>
      <c r="C17" s="39" t="s">
        <v>342</v>
      </c>
      <c r="D17" s="39" t="s">
        <v>262</v>
      </c>
      <c r="E17" s="32" t="s">
        <v>23</v>
      </c>
      <c r="F17" s="119">
        <f>G17+J17</f>
        <v>15000</v>
      </c>
      <c r="G17" s="119">
        <v>15000</v>
      </c>
      <c r="H17" s="119"/>
      <c r="I17" s="119"/>
      <c r="J17" s="119"/>
      <c r="K17" s="119"/>
      <c r="L17" s="119"/>
      <c r="M17" s="119"/>
      <c r="N17" s="119"/>
      <c r="O17" s="119"/>
      <c r="P17" s="119"/>
      <c r="Q17" s="119">
        <f t="shared" si="2"/>
        <v>15000</v>
      </c>
      <c r="R17" s="249"/>
      <c r="S17" s="34"/>
      <c r="T17" s="34"/>
      <c r="U17" s="34"/>
      <c r="V17" s="34"/>
      <c r="W17" s="34"/>
      <c r="X17" s="34"/>
      <c r="Y17" s="34"/>
      <c r="Z17" s="34"/>
      <c r="AA17" s="34"/>
      <c r="AB17" s="34"/>
      <c r="AC17" s="34"/>
      <c r="AD17" s="34"/>
      <c r="AE17" s="34"/>
      <c r="AF17" s="34"/>
    </row>
    <row r="18" spans="1:32" s="17" customFormat="1" ht="36" customHeight="1">
      <c r="A18" s="25"/>
      <c r="B18" s="29" t="s">
        <v>31</v>
      </c>
      <c r="C18" s="29" t="s">
        <v>410</v>
      </c>
      <c r="D18" s="29"/>
      <c r="E18" s="26" t="s">
        <v>32</v>
      </c>
      <c r="F18" s="118">
        <f>F19+F20</f>
        <v>1503600</v>
      </c>
      <c r="G18" s="118">
        <f aca="true" t="shared" si="4" ref="G18:P18">G19+G20</f>
        <v>1503600</v>
      </c>
      <c r="H18" s="118">
        <f t="shared" si="4"/>
        <v>1114600</v>
      </c>
      <c r="I18" s="118">
        <f>I19+I20</f>
        <v>62600</v>
      </c>
      <c r="J18" s="118">
        <f t="shared" si="4"/>
        <v>0</v>
      </c>
      <c r="K18" s="118">
        <f t="shared" si="4"/>
        <v>0</v>
      </c>
      <c r="L18" s="118">
        <f t="shared" si="4"/>
        <v>0</v>
      </c>
      <c r="M18" s="118">
        <f t="shared" si="4"/>
        <v>0</v>
      </c>
      <c r="N18" s="118">
        <f t="shared" si="4"/>
        <v>0</v>
      </c>
      <c r="O18" s="118">
        <f t="shared" si="4"/>
        <v>0</v>
      </c>
      <c r="P18" s="118">
        <f t="shared" si="4"/>
        <v>0</v>
      </c>
      <c r="Q18" s="118">
        <f t="shared" si="2"/>
        <v>1503600</v>
      </c>
      <c r="R18" s="249"/>
      <c r="S18" s="44"/>
      <c r="T18" s="44"/>
      <c r="U18" s="44"/>
      <c r="V18" s="44"/>
      <c r="W18" s="44"/>
      <c r="X18" s="44"/>
      <c r="Y18" s="44"/>
      <c r="Z18" s="44"/>
      <c r="AA18" s="44"/>
      <c r="AB18" s="44"/>
      <c r="AC18" s="44"/>
      <c r="AD18" s="44"/>
      <c r="AE18" s="44"/>
      <c r="AF18" s="44"/>
    </row>
    <row r="19" spans="1:32" s="36" customFormat="1" ht="24" customHeight="1">
      <c r="A19" s="35"/>
      <c r="B19" s="39" t="s">
        <v>33</v>
      </c>
      <c r="C19" s="39" t="s">
        <v>411</v>
      </c>
      <c r="D19" s="39" t="s">
        <v>394</v>
      </c>
      <c r="E19" s="22" t="s">
        <v>36</v>
      </c>
      <c r="F19" s="119">
        <f>G19+J19</f>
        <v>1455600</v>
      </c>
      <c r="G19" s="119">
        <f>1464500-8900</f>
        <v>1455600</v>
      </c>
      <c r="H19" s="119">
        <f>1128900-14300</f>
        <v>1114600</v>
      </c>
      <c r="I19" s="119">
        <f>53800+8800</f>
        <v>62600</v>
      </c>
      <c r="J19" s="119"/>
      <c r="K19" s="119">
        <f>L19+O19</f>
        <v>0</v>
      </c>
      <c r="L19" s="119"/>
      <c r="M19" s="119"/>
      <c r="N19" s="119"/>
      <c r="O19" s="119"/>
      <c r="P19" s="119"/>
      <c r="Q19" s="119">
        <f t="shared" si="2"/>
        <v>1455600</v>
      </c>
      <c r="R19" s="249"/>
      <c r="S19" s="34"/>
      <c r="T19" s="34"/>
      <c r="U19" s="34"/>
      <c r="V19" s="34"/>
      <c r="W19" s="34"/>
      <c r="X19" s="34"/>
      <c r="Y19" s="34"/>
      <c r="Z19" s="34"/>
      <c r="AA19" s="34"/>
      <c r="AB19" s="34"/>
      <c r="AC19" s="34"/>
      <c r="AD19" s="34"/>
      <c r="AE19" s="34"/>
      <c r="AF19" s="34"/>
    </row>
    <row r="20" spans="1:32" s="36" customFormat="1" ht="30">
      <c r="A20" s="35"/>
      <c r="B20" s="39" t="s">
        <v>34</v>
      </c>
      <c r="C20" s="39" t="s">
        <v>412</v>
      </c>
      <c r="D20" s="39" t="s">
        <v>394</v>
      </c>
      <c r="E20" s="22" t="s">
        <v>37</v>
      </c>
      <c r="F20" s="119">
        <f>G20+J20</f>
        <v>48000</v>
      </c>
      <c r="G20" s="119">
        <v>48000</v>
      </c>
      <c r="H20" s="119"/>
      <c r="I20" s="119"/>
      <c r="J20" s="119"/>
      <c r="K20" s="119">
        <f>L20+O20</f>
        <v>0</v>
      </c>
      <c r="L20" s="119"/>
      <c r="M20" s="119"/>
      <c r="N20" s="119"/>
      <c r="O20" s="119"/>
      <c r="P20" s="119"/>
      <c r="Q20" s="119">
        <f t="shared" si="2"/>
        <v>48000</v>
      </c>
      <c r="R20" s="249"/>
      <c r="S20" s="34"/>
      <c r="T20" s="34"/>
      <c r="U20" s="34"/>
      <c r="V20" s="34"/>
      <c r="W20" s="34"/>
      <c r="X20" s="34"/>
      <c r="Y20" s="34"/>
      <c r="Z20" s="34"/>
      <c r="AA20" s="34"/>
      <c r="AB20" s="34"/>
      <c r="AC20" s="34"/>
      <c r="AD20" s="34"/>
      <c r="AE20" s="34"/>
      <c r="AF20" s="34"/>
    </row>
    <row r="21" spans="1:32" s="36" customFormat="1" ht="30" customHeight="1">
      <c r="A21" s="35"/>
      <c r="B21" s="29" t="s">
        <v>35</v>
      </c>
      <c r="C21" s="29" t="s">
        <v>413</v>
      </c>
      <c r="D21" s="29" t="s">
        <v>394</v>
      </c>
      <c r="E21" s="111" t="s">
        <v>497</v>
      </c>
      <c r="F21" s="118">
        <f>F22</f>
        <v>744135</v>
      </c>
      <c r="G21" s="118">
        <f aca="true" t="shared" si="5" ref="G21:P21">G22</f>
        <v>744135</v>
      </c>
      <c r="H21" s="118">
        <f t="shared" si="5"/>
        <v>0</v>
      </c>
      <c r="I21" s="118">
        <f t="shared" si="5"/>
        <v>0</v>
      </c>
      <c r="J21" s="118">
        <f t="shared" si="5"/>
        <v>0</v>
      </c>
      <c r="K21" s="118">
        <f t="shared" si="5"/>
        <v>0</v>
      </c>
      <c r="L21" s="118">
        <f t="shared" si="5"/>
        <v>0</v>
      </c>
      <c r="M21" s="118">
        <f t="shared" si="5"/>
        <v>0</v>
      </c>
      <c r="N21" s="118">
        <f t="shared" si="5"/>
        <v>0</v>
      </c>
      <c r="O21" s="118">
        <f t="shared" si="5"/>
        <v>0</v>
      </c>
      <c r="P21" s="118">
        <f t="shared" si="5"/>
        <v>0</v>
      </c>
      <c r="Q21" s="118">
        <f>F21+K21</f>
        <v>744135</v>
      </c>
      <c r="R21" s="249"/>
      <c r="S21" s="34"/>
      <c r="T21" s="34"/>
      <c r="U21" s="34"/>
      <c r="V21" s="34"/>
      <c r="W21" s="34"/>
      <c r="X21" s="34"/>
      <c r="Y21" s="34"/>
      <c r="Z21" s="34"/>
      <c r="AA21" s="34"/>
      <c r="AB21" s="34"/>
      <c r="AC21" s="34"/>
      <c r="AD21" s="34"/>
      <c r="AE21" s="34"/>
      <c r="AF21" s="34"/>
    </row>
    <row r="22" spans="1:32" s="36" customFormat="1" ht="57" customHeight="1">
      <c r="A22" s="35"/>
      <c r="B22" s="39" t="s">
        <v>528</v>
      </c>
      <c r="C22" s="39" t="s">
        <v>529</v>
      </c>
      <c r="D22" s="39" t="s">
        <v>394</v>
      </c>
      <c r="E22" s="32" t="s">
        <v>534</v>
      </c>
      <c r="F22" s="119">
        <f>G22+J22</f>
        <v>744135</v>
      </c>
      <c r="G22" s="119">
        <f>700000+150000-105865</f>
        <v>744135</v>
      </c>
      <c r="H22" s="119"/>
      <c r="I22" s="119"/>
      <c r="J22" s="119"/>
      <c r="K22" s="119">
        <f>L22+O22</f>
        <v>0</v>
      </c>
      <c r="L22" s="119"/>
      <c r="M22" s="119"/>
      <c r="N22" s="119"/>
      <c r="O22" s="119"/>
      <c r="P22" s="119"/>
      <c r="Q22" s="119">
        <f>F22+K22</f>
        <v>744135</v>
      </c>
      <c r="R22" s="249"/>
      <c r="S22" s="34"/>
      <c r="T22" s="34"/>
      <c r="U22" s="34"/>
      <c r="V22" s="34"/>
      <c r="W22" s="34"/>
      <c r="X22" s="34"/>
      <c r="Y22" s="34"/>
      <c r="Z22" s="34"/>
      <c r="AA22" s="34"/>
      <c r="AB22" s="34"/>
      <c r="AC22" s="34"/>
      <c r="AD22" s="34"/>
      <c r="AE22" s="34"/>
      <c r="AF22" s="34"/>
    </row>
    <row r="23" spans="1:32" s="36" customFormat="1" ht="60" customHeight="1">
      <c r="A23" s="35"/>
      <c r="B23" s="29" t="s">
        <v>38</v>
      </c>
      <c r="C23" s="29" t="s">
        <v>415</v>
      </c>
      <c r="D23" s="29" t="s">
        <v>394</v>
      </c>
      <c r="E23" s="201" t="s">
        <v>39</v>
      </c>
      <c r="F23" s="118">
        <f>G23+J23</f>
        <v>401800</v>
      </c>
      <c r="G23" s="118">
        <v>401800</v>
      </c>
      <c r="H23" s="118"/>
      <c r="I23" s="118"/>
      <c r="J23" s="118"/>
      <c r="K23" s="118">
        <f>L23+O23</f>
        <v>0</v>
      </c>
      <c r="L23" s="118"/>
      <c r="M23" s="118"/>
      <c r="N23" s="118"/>
      <c r="O23" s="118"/>
      <c r="P23" s="118"/>
      <c r="Q23" s="118">
        <f t="shared" si="2"/>
        <v>401800</v>
      </c>
      <c r="R23" s="249"/>
      <c r="S23" s="34"/>
      <c r="T23" s="34"/>
      <c r="U23" s="34"/>
      <c r="V23" s="34"/>
      <c r="W23" s="34"/>
      <c r="X23" s="34"/>
      <c r="Y23" s="34"/>
      <c r="Z23" s="34"/>
      <c r="AA23" s="34"/>
      <c r="AB23" s="34"/>
      <c r="AC23" s="34"/>
      <c r="AD23" s="34"/>
      <c r="AE23" s="34"/>
      <c r="AF23" s="34"/>
    </row>
    <row r="24" spans="1:32" s="36" customFormat="1" ht="27" customHeight="1">
      <c r="A24" s="35"/>
      <c r="B24" s="29" t="s">
        <v>40</v>
      </c>
      <c r="C24" s="29" t="s">
        <v>409</v>
      </c>
      <c r="D24" s="29" t="s">
        <v>264</v>
      </c>
      <c r="E24" s="111" t="s">
        <v>11</v>
      </c>
      <c r="F24" s="118">
        <f>F25+F26</f>
        <v>191854</v>
      </c>
      <c r="G24" s="118">
        <f>G25+G26</f>
        <v>191854</v>
      </c>
      <c r="H24" s="118">
        <f>H25+H26</f>
        <v>0</v>
      </c>
      <c r="I24" s="118">
        <f>I25+I26</f>
        <v>0</v>
      </c>
      <c r="J24" s="118">
        <f>J25+J26</f>
        <v>0</v>
      </c>
      <c r="K24" s="118">
        <f>K25</f>
        <v>0</v>
      </c>
      <c r="L24" s="118">
        <f>L25+L26</f>
        <v>0</v>
      </c>
      <c r="M24" s="118">
        <f>M25+M26</f>
        <v>0</v>
      </c>
      <c r="N24" s="118">
        <f>N25+N26</f>
        <v>0</v>
      </c>
      <c r="O24" s="118">
        <f>O25+O26</f>
        <v>0</v>
      </c>
      <c r="P24" s="118">
        <f>P25+P26</f>
        <v>0</v>
      </c>
      <c r="Q24" s="118">
        <f t="shared" si="2"/>
        <v>191854</v>
      </c>
      <c r="R24" s="249"/>
      <c r="S24" s="34"/>
      <c r="T24" s="34"/>
      <c r="U24" s="34"/>
      <c r="V24" s="34"/>
      <c r="W24" s="34"/>
      <c r="X24" s="34"/>
      <c r="Y24" s="34"/>
      <c r="Z24" s="34"/>
      <c r="AA24" s="34"/>
      <c r="AB24" s="34"/>
      <c r="AC24" s="34"/>
      <c r="AD24" s="34"/>
      <c r="AE24" s="34"/>
      <c r="AF24" s="34"/>
    </row>
    <row r="25" spans="1:32" s="36" customFormat="1" ht="45">
      <c r="A25" s="35"/>
      <c r="B25" s="39" t="s">
        <v>40</v>
      </c>
      <c r="C25" s="39" t="s">
        <v>409</v>
      </c>
      <c r="D25" s="39" t="s">
        <v>264</v>
      </c>
      <c r="E25" s="32" t="s">
        <v>424</v>
      </c>
      <c r="F25" s="119">
        <f>G25+J25</f>
        <v>143854</v>
      </c>
      <c r="G25" s="119">
        <v>143854</v>
      </c>
      <c r="H25" s="119"/>
      <c r="I25" s="119"/>
      <c r="J25" s="119"/>
      <c r="K25" s="119">
        <f>L25+O25</f>
        <v>0</v>
      </c>
      <c r="L25" s="119"/>
      <c r="M25" s="119"/>
      <c r="N25" s="119"/>
      <c r="O25" s="119"/>
      <c r="P25" s="119"/>
      <c r="Q25" s="119">
        <f t="shared" si="2"/>
        <v>143854</v>
      </c>
      <c r="R25" s="249"/>
      <c r="S25" s="34"/>
      <c r="T25" s="34"/>
      <c r="U25" s="34"/>
      <c r="V25" s="34"/>
      <c r="W25" s="34"/>
      <c r="X25" s="34"/>
      <c r="Y25" s="34"/>
      <c r="Z25" s="34"/>
      <c r="AA25" s="34"/>
      <c r="AB25" s="34"/>
      <c r="AC25" s="34"/>
      <c r="AD25" s="34"/>
      <c r="AE25" s="34"/>
      <c r="AF25" s="34"/>
    </row>
    <row r="26" spans="1:32" s="36" customFormat="1" ht="43.5" customHeight="1">
      <c r="A26" s="35"/>
      <c r="B26" s="39" t="s">
        <v>40</v>
      </c>
      <c r="C26" s="39" t="s">
        <v>409</v>
      </c>
      <c r="D26" s="39" t="s">
        <v>264</v>
      </c>
      <c r="E26" s="32" t="s">
        <v>425</v>
      </c>
      <c r="F26" s="119">
        <f>G26+J26</f>
        <v>48000</v>
      </c>
      <c r="G26" s="119">
        <v>48000</v>
      </c>
      <c r="H26" s="119"/>
      <c r="I26" s="119"/>
      <c r="J26" s="119"/>
      <c r="K26" s="119">
        <f>L26+O26</f>
        <v>0</v>
      </c>
      <c r="L26" s="119"/>
      <c r="M26" s="119"/>
      <c r="N26" s="119"/>
      <c r="O26" s="119"/>
      <c r="P26" s="119"/>
      <c r="Q26" s="119">
        <f t="shared" si="2"/>
        <v>48000</v>
      </c>
      <c r="R26" s="249"/>
      <c r="S26" s="34"/>
      <c r="T26" s="34"/>
      <c r="U26" s="34"/>
      <c r="V26" s="34"/>
      <c r="W26" s="34"/>
      <c r="X26" s="34"/>
      <c r="Y26" s="34"/>
      <c r="Z26" s="34"/>
      <c r="AA26" s="34"/>
      <c r="AB26" s="34"/>
      <c r="AC26" s="34"/>
      <c r="AD26" s="34"/>
      <c r="AE26" s="34"/>
      <c r="AF26" s="34"/>
    </row>
    <row r="27" spans="1:32" s="17" customFormat="1" ht="24.75" customHeight="1">
      <c r="A27" s="25"/>
      <c r="B27" s="29" t="s">
        <v>41</v>
      </c>
      <c r="C27" s="29" t="s">
        <v>414</v>
      </c>
      <c r="D27" s="29" t="s">
        <v>394</v>
      </c>
      <c r="E27" s="26" t="s">
        <v>12</v>
      </c>
      <c r="F27" s="118">
        <f>F28</f>
        <v>711500</v>
      </c>
      <c r="G27" s="118">
        <f>G28</f>
        <v>711500</v>
      </c>
      <c r="H27" s="118">
        <f>H28</f>
        <v>469400</v>
      </c>
      <c r="I27" s="118">
        <f>I28</f>
        <v>109900</v>
      </c>
      <c r="J27" s="118">
        <f>J28</f>
        <v>0</v>
      </c>
      <c r="K27" s="118">
        <f aca="true" t="shared" si="6" ref="K27:P27">K28</f>
        <v>10000</v>
      </c>
      <c r="L27" s="118">
        <f t="shared" si="6"/>
        <v>0</v>
      </c>
      <c r="M27" s="118">
        <f t="shared" si="6"/>
        <v>0</v>
      </c>
      <c r="N27" s="118">
        <f t="shared" si="6"/>
        <v>0</v>
      </c>
      <c r="O27" s="118">
        <f t="shared" si="6"/>
        <v>10000</v>
      </c>
      <c r="P27" s="118">
        <f t="shared" si="6"/>
        <v>10000</v>
      </c>
      <c r="Q27" s="118">
        <f t="shared" si="2"/>
        <v>721500</v>
      </c>
      <c r="R27" s="249"/>
      <c r="S27" s="44"/>
      <c r="T27" s="44"/>
      <c r="U27" s="44"/>
      <c r="V27" s="44"/>
      <c r="W27" s="44"/>
      <c r="X27" s="44"/>
      <c r="Y27" s="44"/>
      <c r="Z27" s="44"/>
      <c r="AA27" s="44"/>
      <c r="AB27" s="44"/>
      <c r="AC27" s="44"/>
      <c r="AD27" s="44"/>
      <c r="AE27" s="44"/>
      <c r="AF27" s="44"/>
    </row>
    <row r="28" spans="1:32" s="36" customFormat="1" ht="35.25" customHeight="1">
      <c r="A28" s="35"/>
      <c r="B28" s="39" t="s">
        <v>41</v>
      </c>
      <c r="C28" s="39" t="s">
        <v>414</v>
      </c>
      <c r="D28" s="39" t="s">
        <v>394</v>
      </c>
      <c r="E28" s="22" t="s">
        <v>207</v>
      </c>
      <c r="F28" s="119">
        <f>G28+J28</f>
        <v>711500</v>
      </c>
      <c r="G28" s="118">
        <f>712000-500</f>
        <v>711500</v>
      </c>
      <c r="H28" s="118">
        <f>481800-12400</f>
        <v>469400</v>
      </c>
      <c r="I28" s="118">
        <f>95400+14500</f>
        <v>109900</v>
      </c>
      <c r="J28" s="119"/>
      <c r="K28" s="119">
        <f>L28+O28</f>
        <v>10000</v>
      </c>
      <c r="L28" s="119"/>
      <c r="M28" s="119"/>
      <c r="N28" s="119"/>
      <c r="O28" s="119">
        <v>10000</v>
      </c>
      <c r="P28" s="119">
        <v>10000</v>
      </c>
      <c r="Q28" s="119">
        <f t="shared" si="2"/>
        <v>721500</v>
      </c>
      <c r="R28" s="249"/>
      <c r="S28" s="34"/>
      <c r="T28" s="34"/>
      <c r="U28" s="34"/>
      <c r="V28" s="34"/>
      <c r="W28" s="34"/>
      <c r="X28" s="34"/>
      <c r="Y28" s="34"/>
      <c r="Z28" s="34"/>
      <c r="AA28" s="34"/>
      <c r="AB28" s="34"/>
      <c r="AC28" s="34"/>
      <c r="AD28" s="34"/>
      <c r="AE28" s="34"/>
      <c r="AF28" s="34"/>
    </row>
    <row r="29" spans="1:32" s="17" customFormat="1" ht="23.25" customHeight="1">
      <c r="A29" s="25"/>
      <c r="B29" s="29" t="s">
        <v>43</v>
      </c>
      <c r="C29" s="29" t="s">
        <v>312</v>
      </c>
      <c r="D29" s="29" t="s">
        <v>313</v>
      </c>
      <c r="E29" s="111" t="s">
        <v>42</v>
      </c>
      <c r="F29" s="118">
        <f>F30+F31</f>
        <v>2689115</v>
      </c>
      <c r="G29" s="118">
        <f aca="true" t="shared" si="7" ref="G29:P29">G30+G31</f>
        <v>2689115</v>
      </c>
      <c r="H29" s="118">
        <f t="shared" si="7"/>
        <v>1456900</v>
      </c>
      <c r="I29" s="118">
        <f t="shared" si="7"/>
        <v>137310</v>
      </c>
      <c r="J29" s="118">
        <f t="shared" si="7"/>
        <v>0</v>
      </c>
      <c r="K29" s="118">
        <f t="shared" si="7"/>
        <v>122000</v>
      </c>
      <c r="L29" s="118">
        <f t="shared" si="7"/>
        <v>0</v>
      </c>
      <c r="M29" s="118">
        <f t="shared" si="7"/>
        <v>0</v>
      </c>
      <c r="N29" s="118">
        <f t="shared" si="7"/>
        <v>0</v>
      </c>
      <c r="O29" s="118">
        <f t="shared" si="7"/>
        <v>122000</v>
      </c>
      <c r="P29" s="118">
        <f t="shared" si="7"/>
        <v>122000</v>
      </c>
      <c r="Q29" s="118">
        <f t="shared" si="2"/>
        <v>2811115</v>
      </c>
      <c r="R29" s="249"/>
      <c r="S29" s="44"/>
      <c r="T29" s="44"/>
      <c r="U29" s="44"/>
      <c r="V29" s="44"/>
      <c r="W29" s="44"/>
      <c r="X29" s="44"/>
      <c r="Y29" s="44"/>
      <c r="Z29" s="44"/>
      <c r="AA29" s="44"/>
      <c r="AB29" s="44"/>
      <c r="AC29" s="44"/>
      <c r="AD29" s="44"/>
      <c r="AE29" s="44"/>
      <c r="AF29" s="44"/>
    </row>
    <row r="30" spans="1:32" s="36" customFormat="1" ht="32.25" customHeight="1">
      <c r="A30" s="35"/>
      <c r="B30" s="39" t="s">
        <v>43</v>
      </c>
      <c r="C30" s="39" t="s">
        <v>312</v>
      </c>
      <c r="D30" s="31" t="s">
        <v>313</v>
      </c>
      <c r="E30" s="37" t="s">
        <v>248</v>
      </c>
      <c r="F30" s="119">
        <f>G30</f>
        <v>1198295</v>
      </c>
      <c r="G30" s="168">
        <f>944700+150000-16270+39600+74265+6000</f>
        <v>1198295</v>
      </c>
      <c r="H30" s="70">
        <f>599500-19100</f>
        <v>580400</v>
      </c>
      <c r="I30" s="70">
        <f>37920+7020</f>
        <v>44940</v>
      </c>
      <c r="J30" s="124"/>
      <c r="K30" s="119">
        <f>L30+O30</f>
        <v>102000</v>
      </c>
      <c r="L30" s="119"/>
      <c r="M30" s="119"/>
      <c r="N30" s="119"/>
      <c r="O30" s="124">
        <f>80000+22000</f>
        <v>102000</v>
      </c>
      <c r="P30" s="124">
        <f>80000+22000</f>
        <v>102000</v>
      </c>
      <c r="Q30" s="124">
        <f t="shared" si="2"/>
        <v>1300295</v>
      </c>
      <c r="R30" s="249"/>
      <c r="S30" s="34"/>
      <c r="T30" s="34"/>
      <c r="U30" s="34"/>
      <c r="V30" s="34"/>
      <c r="W30" s="34"/>
      <c r="X30" s="34"/>
      <c r="Y30" s="34"/>
      <c r="Z30" s="34"/>
      <c r="AA30" s="34"/>
      <c r="AB30" s="34"/>
      <c r="AC30" s="34"/>
      <c r="AD30" s="34"/>
      <c r="AE30" s="34"/>
      <c r="AF30" s="34"/>
    </row>
    <row r="31" spans="1:32" s="36" customFormat="1" ht="30" customHeight="1">
      <c r="A31" s="35"/>
      <c r="B31" s="39" t="s">
        <v>43</v>
      </c>
      <c r="C31" s="39" t="s">
        <v>312</v>
      </c>
      <c r="D31" s="31" t="s">
        <v>313</v>
      </c>
      <c r="E31" s="37" t="s">
        <v>438</v>
      </c>
      <c r="F31" s="119">
        <f>G31</f>
        <v>1490820</v>
      </c>
      <c r="G31" s="168">
        <f>1349800+50000-25580+85000+31600</f>
        <v>1490820</v>
      </c>
      <c r="H31" s="70">
        <f>909610-33110</f>
        <v>876500</v>
      </c>
      <c r="I31" s="70">
        <f>77610+14760</f>
        <v>92370</v>
      </c>
      <c r="J31" s="177"/>
      <c r="K31" s="119">
        <f>L31+O31</f>
        <v>20000</v>
      </c>
      <c r="L31" s="177"/>
      <c r="M31" s="177"/>
      <c r="N31" s="177"/>
      <c r="O31" s="124">
        <v>20000</v>
      </c>
      <c r="P31" s="124">
        <v>20000</v>
      </c>
      <c r="Q31" s="124">
        <f t="shared" si="2"/>
        <v>1510820</v>
      </c>
      <c r="R31" s="249"/>
      <c r="S31" s="34"/>
      <c r="T31" s="34"/>
      <c r="U31" s="34"/>
      <c r="V31" s="34"/>
      <c r="W31" s="34"/>
      <c r="X31" s="34"/>
      <c r="Y31" s="34"/>
      <c r="Z31" s="34"/>
      <c r="AA31" s="34"/>
      <c r="AB31" s="34"/>
      <c r="AC31" s="34"/>
      <c r="AD31" s="34"/>
      <c r="AE31" s="34"/>
      <c r="AF31" s="34"/>
    </row>
    <row r="32" spans="1:32" s="17" customFormat="1" ht="23.25" customHeight="1">
      <c r="A32" s="25"/>
      <c r="B32" s="24" t="s">
        <v>44</v>
      </c>
      <c r="C32" s="23" t="s">
        <v>322</v>
      </c>
      <c r="D32" s="23"/>
      <c r="E32" s="180" t="s">
        <v>45</v>
      </c>
      <c r="F32" s="121">
        <f>F33+F34</f>
        <v>1700000</v>
      </c>
      <c r="G32" s="121">
        <f aca="true" t="shared" si="8" ref="G32:P32">G33+G34</f>
        <v>1700000</v>
      </c>
      <c r="H32" s="121">
        <f t="shared" si="8"/>
        <v>0</v>
      </c>
      <c r="I32" s="121">
        <f t="shared" si="8"/>
        <v>0</v>
      </c>
      <c r="J32" s="121">
        <f t="shared" si="8"/>
        <v>0</v>
      </c>
      <c r="K32" s="121">
        <f t="shared" si="8"/>
        <v>0</v>
      </c>
      <c r="L32" s="121">
        <f t="shared" si="8"/>
        <v>0</v>
      </c>
      <c r="M32" s="121">
        <f t="shared" si="8"/>
        <v>0</v>
      </c>
      <c r="N32" s="121">
        <f t="shared" si="8"/>
        <v>0</v>
      </c>
      <c r="O32" s="121">
        <f t="shared" si="8"/>
        <v>0</v>
      </c>
      <c r="P32" s="121">
        <f t="shared" si="8"/>
        <v>0</v>
      </c>
      <c r="Q32" s="121">
        <f t="shared" si="2"/>
        <v>1700000</v>
      </c>
      <c r="R32" s="249"/>
      <c r="S32" s="44"/>
      <c r="T32" s="44"/>
      <c r="U32" s="44"/>
      <c r="V32" s="44"/>
      <c r="W32" s="44"/>
      <c r="X32" s="44"/>
      <c r="Y32" s="44"/>
      <c r="Z32" s="44"/>
      <c r="AA32" s="44"/>
      <c r="AB32" s="44"/>
      <c r="AC32" s="44"/>
      <c r="AD32" s="44"/>
      <c r="AE32" s="44"/>
      <c r="AF32" s="44"/>
    </row>
    <row r="33" spans="1:32" s="36" customFormat="1" ht="30">
      <c r="A33" s="35"/>
      <c r="B33" s="50" t="s">
        <v>46</v>
      </c>
      <c r="C33" s="80" t="s">
        <v>323</v>
      </c>
      <c r="D33" s="80" t="s">
        <v>324</v>
      </c>
      <c r="E33" s="202" t="s">
        <v>48</v>
      </c>
      <c r="F33" s="122">
        <f>G33+J33</f>
        <v>900000</v>
      </c>
      <c r="G33" s="118">
        <f>600000+300000</f>
        <v>900000</v>
      </c>
      <c r="H33" s="123"/>
      <c r="I33" s="123"/>
      <c r="J33" s="123"/>
      <c r="K33" s="122">
        <f>L33+O33</f>
        <v>0</v>
      </c>
      <c r="L33" s="122"/>
      <c r="M33" s="122"/>
      <c r="N33" s="122"/>
      <c r="O33" s="123"/>
      <c r="P33" s="123"/>
      <c r="Q33" s="124">
        <f t="shared" si="2"/>
        <v>900000</v>
      </c>
      <c r="R33" s="249"/>
      <c r="S33" s="34"/>
      <c r="T33" s="34"/>
      <c r="U33" s="34"/>
      <c r="V33" s="34"/>
      <c r="W33" s="34"/>
      <c r="X33" s="34"/>
      <c r="Y33" s="34"/>
      <c r="Z33" s="34"/>
      <c r="AA33" s="34"/>
      <c r="AB33" s="34"/>
      <c r="AC33" s="34"/>
      <c r="AD33" s="34"/>
      <c r="AE33" s="34"/>
      <c r="AF33" s="34"/>
    </row>
    <row r="34" spans="1:32" s="36" customFormat="1" ht="30">
      <c r="A34" s="35"/>
      <c r="B34" s="50" t="s">
        <v>47</v>
      </c>
      <c r="C34" s="50" t="s">
        <v>325</v>
      </c>
      <c r="D34" s="50" t="s">
        <v>324</v>
      </c>
      <c r="E34" s="22" t="s">
        <v>14</v>
      </c>
      <c r="F34" s="119">
        <f>G34+J34</f>
        <v>800000</v>
      </c>
      <c r="G34" s="118">
        <f>600000+200000</f>
        <v>800000</v>
      </c>
      <c r="H34" s="124"/>
      <c r="I34" s="124"/>
      <c r="J34" s="124"/>
      <c r="K34" s="119">
        <f>L34+O34</f>
        <v>0</v>
      </c>
      <c r="L34" s="119"/>
      <c r="M34" s="119"/>
      <c r="N34" s="119"/>
      <c r="O34" s="124"/>
      <c r="P34" s="124"/>
      <c r="Q34" s="124">
        <f t="shared" si="2"/>
        <v>800000</v>
      </c>
      <c r="R34" s="249"/>
      <c r="S34" s="34"/>
      <c r="T34" s="34"/>
      <c r="U34" s="34"/>
      <c r="V34" s="34"/>
      <c r="W34" s="34"/>
      <c r="X34" s="34"/>
      <c r="Y34" s="34"/>
      <c r="Z34" s="34"/>
      <c r="AA34" s="34"/>
      <c r="AB34" s="34"/>
      <c r="AC34" s="34"/>
      <c r="AD34" s="34"/>
      <c r="AE34" s="34"/>
      <c r="AF34" s="34"/>
    </row>
    <row r="35" spans="1:32" s="161" customFormat="1" ht="27" customHeight="1">
      <c r="A35" s="216"/>
      <c r="B35" s="81" t="s">
        <v>505</v>
      </c>
      <c r="C35" s="81" t="s">
        <v>504</v>
      </c>
      <c r="D35" s="81"/>
      <c r="E35" s="111" t="s">
        <v>512</v>
      </c>
      <c r="F35" s="118">
        <f>F36+F37</f>
        <v>12989606</v>
      </c>
      <c r="G35" s="118">
        <f aca="true" t="shared" si="9" ref="G35:P35">G36+G37</f>
        <v>12989606</v>
      </c>
      <c r="H35" s="118">
        <f t="shared" si="9"/>
        <v>5039983</v>
      </c>
      <c r="I35" s="118">
        <f t="shared" si="9"/>
        <v>618400</v>
      </c>
      <c r="J35" s="118">
        <f t="shared" si="9"/>
        <v>0</v>
      </c>
      <c r="K35" s="119">
        <f>L35+O35</f>
        <v>249000</v>
      </c>
      <c r="L35" s="118">
        <f>L36+L37</f>
        <v>0</v>
      </c>
      <c r="M35" s="118">
        <f>M36+M37</f>
        <v>0</v>
      </c>
      <c r="N35" s="118">
        <f t="shared" si="9"/>
        <v>0</v>
      </c>
      <c r="O35" s="118">
        <f t="shared" si="9"/>
        <v>249000</v>
      </c>
      <c r="P35" s="118">
        <f t="shared" si="9"/>
        <v>249000</v>
      </c>
      <c r="Q35" s="118">
        <f t="shared" si="2"/>
        <v>13238606</v>
      </c>
      <c r="R35" s="247" t="s">
        <v>547</v>
      </c>
      <c r="S35" s="160"/>
      <c r="T35" s="160"/>
      <c r="U35" s="160"/>
      <c r="V35" s="160"/>
      <c r="W35" s="160"/>
      <c r="X35" s="160"/>
      <c r="Y35" s="160"/>
      <c r="Z35" s="160"/>
      <c r="AA35" s="160"/>
      <c r="AB35" s="160"/>
      <c r="AC35" s="160"/>
      <c r="AD35" s="160"/>
      <c r="AE35" s="160"/>
      <c r="AF35" s="160"/>
    </row>
    <row r="36" spans="1:32" s="163" customFormat="1" ht="39" customHeight="1">
      <c r="A36" s="222"/>
      <c r="B36" s="50" t="s">
        <v>508</v>
      </c>
      <c r="C36" s="50" t="s">
        <v>506</v>
      </c>
      <c r="D36" s="50" t="s">
        <v>324</v>
      </c>
      <c r="E36" s="32" t="s">
        <v>49</v>
      </c>
      <c r="F36" s="119">
        <f>G36+J36</f>
        <v>7146306</v>
      </c>
      <c r="G36" s="119">
        <f>7111640-53334+88000</f>
        <v>7146306</v>
      </c>
      <c r="H36" s="119">
        <f>5155600-115617</f>
        <v>5039983</v>
      </c>
      <c r="I36" s="119">
        <f>516982+101418</f>
        <v>618400</v>
      </c>
      <c r="J36" s="124"/>
      <c r="K36" s="119">
        <f>L36+O36</f>
        <v>249000</v>
      </c>
      <c r="L36" s="119"/>
      <c r="M36" s="119"/>
      <c r="N36" s="119"/>
      <c r="O36" s="124">
        <f>239000+10000</f>
        <v>249000</v>
      </c>
      <c r="P36" s="124">
        <f>239000+10000</f>
        <v>249000</v>
      </c>
      <c r="Q36" s="124">
        <f t="shared" si="2"/>
        <v>7395306</v>
      </c>
      <c r="R36" s="247"/>
      <c r="S36" s="162"/>
      <c r="T36" s="162"/>
      <c r="U36" s="162"/>
      <c r="V36" s="162"/>
      <c r="W36" s="162"/>
      <c r="X36" s="162"/>
      <c r="Y36" s="162"/>
      <c r="Z36" s="162"/>
      <c r="AA36" s="162"/>
      <c r="AB36" s="162"/>
      <c r="AC36" s="162"/>
      <c r="AD36" s="162"/>
      <c r="AE36" s="162"/>
      <c r="AF36" s="162"/>
    </row>
    <row r="37" spans="1:32" s="163" customFormat="1" ht="33" customHeight="1">
      <c r="A37" s="222"/>
      <c r="B37" s="50" t="s">
        <v>509</v>
      </c>
      <c r="C37" s="50" t="s">
        <v>507</v>
      </c>
      <c r="D37" s="50" t="s">
        <v>324</v>
      </c>
      <c r="E37" s="32" t="s">
        <v>50</v>
      </c>
      <c r="F37" s="119">
        <f>G37+J37</f>
        <v>5843300</v>
      </c>
      <c r="G37" s="119">
        <f>5968000+10200-152900+18000</f>
        <v>5843300</v>
      </c>
      <c r="H37" s="124"/>
      <c r="I37" s="124"/>
      <c r="J37" s="124"/>
      <c r="K37" s="119">
        <f>L37+O37</f>
        <v>0</v>
      </c>
      <c r="L37" s="119"/>
      <c r="M37" s="119"/>
      <c r="N37" s="119"/>
      <c r="O37" s="124"/>
      <c r="P37" s="124"/>
      <c r="Q37" s="124">
        <f t="shared" si="2"/>
        <v>5843300</v>
      </c>
      <c r="R37" s="247"/>
      <c r="S37" s="162"/>
      <c r="T37" s="162"/>
      <c r="U37" s="162"/>
      <c r="V37" s="162"/>
      <c r="W37" s="162"/>
      <c r="X37" s="162"/>
      <c r="Y37" s="162"/>
      <c r="Z37" s="162"/>
      <c r="AA37" s="162"/>
      <c r="AB37" s="162"/>
      <c r="AC37" s="162"/>
      <c r="AD37" s="162"/>
      <c r="AE37" s="162"/>
      <c r="AF37" s="162"/>
    </row>
    <row r="38" spans="1:32" s="36" customFormat="1" ht="24" customHeight="1">
      <c r="A38" s="35"/>
      <c r="B38" s="24" t="s">
        <v>51</v>
      </c>
      <c r="C38" s="24" t="s">
        <v>326</v>
      </c>
      <c r="D38" s="24"/>
      <c r="E38" s="26" t="s">
        <v>498</v>
      </c>
      <c r="F38" s="118">
        <f>F39+F40</f>
        <v>5791737</v>
      </c>
      <c r="G38" s="118">
        <f aca="true" t="shared" si="10" ref="G38:Q38">G39+G40</f>
        <v>5791737</v>
      </c>
      <c r="H38" s="118">
        <f t="shared" si="10"/>
        <v>1376959</v>
      </c>
      <c r="I38" s="118">
        <f t="shared" si="10"/>
        <v>512490</v>
      </c>
      <c r="J38" s="118">
        <f t="shared" si="10"/>
        <v>0</v>
      </c>
      <c r="K38" s="118">
        <f t="shared" si="10"/>
        <v>454700</v>
      </c>
      <c r="L38" s="118">
        <f t="shared" si="10"/>
        <v>415700</v>
      </c>
      <c r="M38" s="118">
        <f t="shared" si="10"/>
        <v>242690</v>
      </c>
      <c r="N38" s="118">
        <f t="shared" si="10"/>
        <v>99128</v>
      </c>
      <c r="O38" s="118">
        <f t="shared" si="10"/>
        <v>39000</v>
      </c>
      <c r="P38" s="118">
        <f t="shared" si="10"/>
        <v>39000</v>
      </c>
      <c r="Q38" s="118">
        <f t="shared" si="10"/>
        <v>6246437</v>
      </c>
      <c r="R38" s="247"/>
      <c r="S38" s="34"/>
      <c r="T38" s="34"/>
      <c r="U38" s="34"/>
      <c r="V38" s="34"/>
      <c r="W38" s="34"/>
      <c r="X38" s="34"/>
      <c r="Y38" s="34"/>
      <c r="Z38" s="34"/>
      <c r="AA38" s="34"/>
      <c r="AB38" s="34"/>
      <c r="AC38" s="34"/>
      <c r="AD38" s="34"/>
      <c r="AE38" s="34"/>
      <c r="AF38" s="34"/>
    </row>
    <row r="39" spans="1:32" s="36" customFormat="1" ht="45.75" customHeight="1">
      <c r="A39" s="35"/>
      <c r="B39" s="50" t="s">
        <v>499</v>
      </c>
      <c r="C39" s="50" t="s">
        <v>500</v>
      </c>
      <c r="D39" s="50" t="s">
        <v>324</v>
      </c>
      <c r="E39" s="22" t="s">
        <v>501</v>
      </c>
      <c r="F39" s="119">
        <f>G39+J39</f>
        <v>2691590</v>
      </c>
      <c r="G39" s="119">
        <f>2281250+350000+60340</f>
        <v>2691590</v>
      </c>
      <c r="H39" s="119">
        <f>1399000-22041</f>
        <v>1376959</v>
      </c>
      <c r="I39" s="119">
        <f>425260+87230</f>
        <v>512490</v>
      </c>
      <c r="J39" s="124"/>
      <c r="K39" s="119">
        <f>L39+O39</f>
        <v>454700</v>
      </c>
      <c r="L39" s="119">
        <v>415700</v>
      </c>
      <c r="M39" s="119">
        <v>242690</v>
      </c>
      <c r="N39" s="119">
        <v>99128</v>
      </c>
      <c r="O39" s="124">
        <v>39000</v>
      </c>
      <c r="P39" s="124">
        <v>39000</v>
      </c>
      <c r="Q39" s="124">
        <f>F39+K39</f>
        <v>3146290</v>
      </c>
      <c r="R39" s="247"/>
      <c r="S39" s="34"/>
      <c r="T39" s="34"/>
      <c r="U39" s="34"/>
      <c r="V39" s="34"/>
      <c r="W39" s="34"/>
      <c r="X39" s="34"/>
      <c r="Y39" s="34"/>
      <c r="Z39" s="34"/>
      <c r="AA39" s="34"/>
      <c r="AB39" s="34"/>
      <c r="AC39" s="34"/>
      <c r="AD39" s="34"/>
      <c r="AE39" s="34"/>
      <c r="AF39" s="34"/>
    </row>
    <row r="40" spans="1:32" s="36" customFormat="1" ht="45" customHeight="1">
      <c r="A40" s="35"/>
      <c r="B40" s="31" t="s">
        <v>532</v>
      </c>
      <c r="C40" s="31" t="s">
        <v>503</v>
      </c>
      <c r="D40" s="31" t="s">
        <v>324</v>
      </c>
      <c r="E40" s="203" t="s">
        <v>502</v>
      </c>
      <c r="F40" s="119">
        <f>G40+J40</f>
        <v>3100147</v>
      </c>
      <c r="G40" s="119">
        <f>2965750+20000-53973+53170+115200</f>
        <v>3100147</v>
      </c>
      <c r="H40" s="124"/>
      <c r="I40" s="124"/>
      <c r="J40" s="124"/>
      <c r="K40" s="119">
        <f>L40+O40</f>
        <v>0</v>
      </c>
      <c r="L40" s="119"/>
      <c r="M40" s="119"/>
      <c r="N40" s="119"/>
      <c r="O40" s="124"/>
      <c r="P40" s="124"/>
      <c r="Q40" s="124">
        <f>F40+K40</f>
        <v>3100147</v>
      </c>
      <c r="R40" s="247"/>
      <c r="S40" s="34"/>
      <c r="T40" s="34"/>
      <c r="U40" s="34"/>
      <c r="V40" s="34"/>
      <c r="W40" s="34"/>
      <c r="X40" s="34"/>
      <c r="Y40" s="34"/>
      <c r="Z40" s="34"/>
      <c r="AA40" s="34"/>
      <c r="AB40" s="34"/>
      <c r="AC40" s="34"/>
      <c r="AD40" s="34"/>
      <c r="AE40" s="34"/>
      <c r="AF40" s="34"/>
    </row>
    <row r="41" spans="1:32" s="17" customFormat="1" ht="22.5" customHeight="1">
      <c r="A41" s="25"/>
      <c r="B41" s="24" t="s">
        <v>195</v>
      </c>
      <c r="C41" s="24" t="s">
        <v>337</v>
      </c>
      <c r="D41" s="24" t="s">
        <v>338</v>
      </c>
      <c r="E41" s="111" t="s">
        <v>194</v>
      </c>
      <c r="F41" s="118">
        <f>G41+J41</f>
        <v>1604000</v>
      </c>
      <c r="G41" s="118"/>
      <c r="H41" s="118"/>
      <c r="I41" s="118"/>
      <c r="J41" s="118">
        <v>1604000</v>
      </c>
      <c r="K41" s="118"/>
      <c r="L41" s="118"/>
      <c r="M41" s="118"/>
      <c r="N41" s="118"/>
      <c r="O41" s="118"/>
      <c r="P41" s="118"/>
      <c r="Q41" s="118">
        <f t="shared" si="2"/>
        <v>1604000</v>
      </c>
      <c r="R41" s="247"/>
      <c r="S41" s="44"/>
      <c r="T41" s="44"/>
      <c r="U41" s="44"/>
      <c r="V41" s="44"/>
      <c r="W41" s="44"/>
      <c r="X41" s="44"/>
      <c r="Y41" s="44"/>
      <c r="Z41" s="44"/>
      <c r="AA41" s="44"/>
      <c r="AB41" s="44"/>
      <c r="AC41" s="44"/>
      <c r="AD41" s="44"/>
      <c r="AE41" s="44"/>
      <c r="AF41" s="44"/>
    </row>
    <row r="42" spans="1:32" s="17" customFormat="1" ht="30">
      <c r="A42" s="16"/>
      <c r="B42" s="81" t="s">
        <v>197</v>
      </c>
      <c r="C42" s="81" t="s">
        <v>422</v>
      </c>
      <c r="D42" s="81"/>
      <c r="E42" s="111" t="s">
        <v>196</v>
      </c>
      <c r="F42" s="118">
        <f>F43</f>
        <v>4820000</v>
      </c>
      <c r="G42" s="118">
        <f>G43</f>
        <v>0</v>
      </c>
      <c r="H42" s="118">
        <f aca="true" t="shared" si="11" ref="H42:P42">H43</f>
        <v>0</v>
      </c>
      <c r="I42" s="118">
        <f t="shared" si="11"/>
        <v>0</v>
      </c>
      <c r="J42" s="118">
        <f t="shared" si="11"/>
        <v>4820000</v>
      </c>
      <c r="K42" s="118">
        <f t="shared" si="11"/>
        <v>0</v>
      </c>
      <c r="L42" s="118">
        <f t="shared" si="11"/>
        <v>0</v>
      </c>
      <c r="M42" s="118">
        <f t="shared" si="11"/>
        <v>0</v>
      </c>
      <c r="N42" s="118">
        <f t="shared" si="11"/>
        <v>0</v>
      </c>
      <c r="O42" s="118">
        <f t="shared" si="11"/>
        <v>0</v>
      </c>
      <c r="P42" s="118">
        <f t="shared" si="11"/>
        <v>0</v>
      </c>
      <c r="Q42" s="118">
        <f t="shared" si="2"/>
        <v>4820000</v>
      </c>
      <c r="R42" s="247"/>
      <c r="S42" s="44"/>
      <c r="T42" s="44"/>
      <c r="U42" s="44"/>
      <c r="V42" s="44"/>
      <c r="W42" s="44"/>
      <c r="X42" s="44"/>
      <c r="Y42" s="44"/>
      <c r="Z42" s="44"/>
      <c r="AA42" s="44"/>
      <c r="AB42" s="44"/>
      <c r="AC42" s="44"/>
      <c r="AD42" s="44"/>
      <c r="AE42" s="44"/>
      <c r="AF42" s="44"/>
    </row>
    <row r="43" spans="1:32" s="36" customFormat="1" ht="30">
      <c r="A43" s="35"/>
      <c r="B43" s="50" t="s">
        <v>198</v>
      </c>
      <c r="C43" s="50" t="s">
        <v>340</v>
      </c>
      <c r="D43" s="50" t="s">
        <v>341</v>
      </c>
      <c r="E43" s="32" t="s">
        <v>199</v>
      </c>
      <c r="F43" s="119">
        <f>G43+J43</f>
        <v>4820000</v>
      </c>
      <c r="G43" s="119"/>
      <c r="H43" s="119"/>
      <c r="I43" s="119"/>
      <c r="J43" s="119">
        <v>4820000</v>
      </c>
      <c r="K43" s="119"/>
      <c r="L43" s="119"/>
      <c r="M43" s="119"/>
      <c r="N43" s="119"/>
      <c r="O43" s="119"/>
      <c r="P43" s="119"/>
      <c r="Q43" s="119">
        <f t="shared" si="2"/>
        <v>4820000</v>
      </c>
      <c r="R43" s="247"/>
      <c r="S43" s="34"/>
      <c r="T43" s="34"/>
      <c r="U43" s="34"/>
      <c r="V43" s="34"/>
      <c r="W43" s="34"/>
      <c r="X43" s="34"/>
      <c r="Y43" s="34"/>
      <c r="Z43" s="34"/>
      <c r="AA43" s="34"/>
      <c r="AB43" s="34"/>
      <c r="AC43" s="34"/>
      <c r="AD43" s="34"/>
      <c r="AE43" s="34"/>
      <c r="AF43" s="34"/>
    </row>
    <row r="44" spans="1:32" s="17" customFormat="1" ht="24.75" customHeight="1">
      <c r="A44" s="25"/>
      <c r="B44" s="24" t="s">
        <v>53</v>
      </c>
      <c r="C44" s="24" t="s">
        <v>343</v>
      </c>
      <c r="D44" s="24" t="s">
        <v>344</v>
      </c>
      <c r="E44" s="26" t="s">
        <v>15</v>
      </c>
      <c r="F44" s="118">
        <f>G44+J44</f>
        <v>2578500</v>
      </c>
      <c r="G44" s="118"/>
      <c r="H44" s="118"/>
      <c r="I44" s="118"/>
      <c r="J44" s="118">
        <v>2578500</v>
      </c>
      <c r="K44" s="118">
        <f>L44+O44</f>
        <v>2000000</v>
      </c>
      <c r="L44" s="118"/>
      <c r="M44" s="118"/>
      <c r="N44" s="118"/>
      <c r="O44" s="118">
        <v>2000000</v>
      </c>
      <c r="P44" s="118">
        <v>2000000</v>
      </c>
      <c r="Q44" s="118">
        <f t="shared" si="2"/>
        <v>4578500</v>
      </c>
      <c r="R44" s="247"/>
      <c r="S44" s="44"/>
      <c r="T44" s="44"/>
      <c r="U44" s="44"/>
      <c r="V44" s="44"/>
      <c r="W44" s="44"/>
      <c r="X44" s="44"/>
      <c r="Y44" s="44"/>
      <c r="Z44" s="44"/>
      <c r="AA44" s="44"/>
      <c r="AB44" s="44"/>
      <c r="AC44" s="44"/>
      <c r="AD44" s="44"/>
      <c r="AE44" s="44"/>
      <c r="AF44" s="44"/>
    </row>
    <row r="45" spans="1:32" s="17" customFormat="1" ht="20.25" customHeight="1">
      <c r="A45" s="16"/>
      <c r="B45" s="81" t="s">
        <v>189</v>
      </c>
      <c r="C45" s="81" t="s">
        <v>317</v>
      </c>
      <c r="D45" s="81"/>
      <c r="E45" s="26" t="s">
        <v>188</v>
      </c>
      <c r="F45" s="118">
        <f>F46</f>
        <v>198000</v>
      </c>
      <c r="G45" s="118">
        <f aca="true" t="shared" si="12" ref="G45:P45">G46</f>
        <v>198000</v>
      </c>
      <c r="H45" s="118">
        <f t="shared" si="12"/>
        <v>0</v>
      </c>
      <c r="I45" s="118">
        <f t="shared" si="12"/>
        <v>0</v>
      </c>
      <c r="J45" s="118">
        <f t="shared" si="12"/>
        <v>0</v>
      </c>
      <c r="K45" s="118">
        <f t="shared" si="12"/>
        <v>0</v>
      </c>
      <c r="L45" s="118">
        <f t="shared" si="12"/>
        <v>0</v>
      </c>
      <c r="M45" s="118">
        <f t="shared" si="12"/>
        <v>0</v>
      </c>
      <c r="N45" s="118">
        <f t="shared" si="12"/>
        <v>0</v>
      </c>
      <c r="O45" s="118">
        <f t="shared" si="12"/>
        <v>0</v>
      </c>
      <c r="P45" s="118">
        <f t="shared" si="12"/>
        <v>0</v>
      </c>
      <c r="Q45" s="118">
        <f t="shared" si="2"/>
        <v>198000</v>
      </c>
      <c r="R45" s="247"/>
      <c r="S45" s="44"/>
      <c r="T45" s="44"/>
      <c r="U45" s="44"/>
      <c r="V45" s="44"/>
      <c r="W45" s="44"/>
      <c r="X45" s="44"/>
      <c r="Y45" s="44"/>
      <c r="Z45" s="44"/>
      <c r="AA45" s="44"/>
      <c r="AB45" s="44"/>
      <c r="AC45" s="44"/>
      <c r="AD45" s="44"/>
      <c r="AE45" s="44"/>
      <c r="AF45" s="44"/>
    </row>
    <row r="46" spans="1:32" s="36" customFormat="1" ht="19.5" customHeight="1">
      <c r="A46" s="35"/>
      <c r="B46" s="50" t="s">
        <v>191</v>
      </c>
      <c r="C46" s="50" t="s">
        <v>318</v>
      </c>
      <c r="D46" s="50" t="s">
        <v>319</v>
      </c>
      <c r="E46" s="22" t="s">
        <v>190</v>
      </c>
      <c r="F46" s="119">
        <f>G46+J46</f>
        <v>198000</v>
      </c>
      <c r="G46" s="119">
        <v>198000</v>
      </c>
      <c r="H46" s="119"/>
      <c r="I46" s="119"/>
      <c r="J46" s="119"/>
      <c r="K46" s="119"/>
      <c r="L46" s="119"/>
      <c r="M46" s="119"/>
      <c r="N46" s="119"/>
      <c r="O46" s="119"/>
      <c r="P46" s="119"/>
      <c r="Q46" s="119">
        <f t="shared" si="2"/>
        <v>198000</v>
      </c>
      <c r="R46" s="247"/>
      <c r="S46" s="34"/>
      <c r="T46" s="34"/>
      <c r="U46" s="34"/>
      <c r="V46" s="34"/>
      <c r="W46" s="34"/>
      <c r="X46" s="34"/>
      <c r="Y46" s="34"/>
      <c r="Z46" s="34"/>
      <c r="AA46" s="34"/>
      <c r="AB46" s="34"/>
      <c r="AC46" s="34"/>
      <c r="AD46" s="34"/>
      <c r="AE46" s="34"/>
      <c r="AF46" s="34"/>
    </row>
    <row r="47" spans="1:32" s="17" customFormat="1" ht="30">
      <c r="A47" s="25"/>
      <c r="B47" s="24" t="s">
        <v>55</v>
      </c>
      <c r="C47" s="24" t="s">
        <v>349</v>
      </c>
      <c r="D47" s="24" t="s">
        <v>350</v>
      </c>
      <c r="E47" s="111" t="s">
        <v>54</v>
      </c>
      <c r="F47" s="118">
        <f>G47+J47</f>
        <v>82200</v>
      </c>
      <c r="G47" s="118">
        <v>82200</v>
      </c>
      <c r="H47" s="118"/>
      <c r="I47" s="118"/>
      <c r="J47" s="118"/>
      <c r="K47" s="118">
        <f>L47+O47</f>
        <v>32000</v>
      </c>
      <c r="L47" s="118"/>
      <c r="M47" s="118"/>
      <c r="N47" s="118"/>
      <c r="O47" s="118">
        <v>32000</v>
      </c>
      <c r="P47" s="118">
        <v>32000</v>
      </c>
      <c r="Q47" s="118">
        <f t="shared" si="2"/>
        <v>114200</v>
      </c>
      <c r="R47" s="247"/>
      <c r="S47" s="44"/>
      <c r="T47" s="44"/>
      <c r="U47" s="44"/>
      <c r="V47" s="44"/>
      <c r="W47" s="44"/>
      <c r="X47" s="44"/>
      <c r="Y47" s="44"/>
      <c r="Z47" s="44"/>
      <c r="AA47" s="44"/>
      <c r="AB47" s="44"/>
      <c r="AC47" s="44"/>
      <c r="AD47" s="44"/>
      <c r="AE47" s="44"/>
      <c r="AF47" s="44"/>
    </row>
    <row r="48" spans="1:32" s="17" customFormat="1" ht="30">
      <c r="A48" s="16"/>
      <c r="B48" s="81" t="s">
        <v>57</v>
      </c>
      <c r="C48" s="81" t="s">
        <v>351</v>
      </c>
      <c r="D48" s="81" t="s">
        <v>330</v>
      </c>
      <c r="E48" s="111" t="s">
        <v>56</v>
      </c>
      <c r="F48" s="118">
        <f>G48+J48</f>
        <v>0</v>
      </c>
      <c r="G48" s="118"/>
      <c r="H48" s="118"/>
      <c r="I48" s="118"/>
      <c r="J48" s="118"/>
      <c r="K48" s="118">
        <f>L48+O48</f>
        <v>43886000</v>
      </c>
      <c r="L48" s="118"/>
      <c r="M48" s="118"/>
      <c r="N48" s="118"/>
      <c r="O48" s="118">
        <f>9100000+20000000+1082000+13704000</f>
        <v>43886000</v>
      </c>
      <c r="P48" s="118">
        <f>9100000+20000000+1082000+13704000</f>
        <v>43886000</v>
      </c>
      <c r="Q48" s="118">
        <f t="shared" si="2"/>
        <v>43886000</v>
      </c>
      <c r="R48" s="247"/>
      <c r="S48" s="44"/>
      <c r="T48" s="44"/>
      <c r="U48" s="44"/>
      <c r="V48" s="44"/>
      <c r="W48" s="44"/>
      <c r="X48" s="44"/>
      <c r="Y48" s="44"/>
      <c r="Z48" s="44"/>
      <c r="AA48" s="44"/>
      <c r="AB48" s="44"/>
      <c r="AC48" s="44"/>
      <c r="AD48" s="44"/>
      <c r="AE48" s="44"/>
      <c r="AF48" s="44"/>
    </row>
    <row r="49" spans="1:32" s="17" customFormat="1" ht="15.75">
      <c r="A49" s="16"/>
      <c r="B49" s="81" t="s">
        <v>58</v>
      </c>
      <c r="C49" s="81" t="s">
        <v>352</v>
      </c>
      <c r="D49" s="81" t="s">
        <v>350</v>
      </c>
      <c r="E49" s="111" t="s">
        <v>16</v>
      </c>
      <c r="F49" s="118">
        <f>F50</f>
        <v>639800</v>
      </c>
      <c r="G49" s="118">
        <f aca="true" t="shared" si="13" ref="G49:P49">G50</f>
        <v>639800</v>
      </c>
      <c r="H49" s="118">
        <f t="shared" si="13"/>
        <v>0</v>
      </c>
      <c r="I49" s="118">
        <f t="shared" si="13"/>
        <v>0</v>
      </c>
      <c r="J49" s="118">
        <f t="shared" si="13"/>
        <v>0</v>
      </c>
      <c r="K49" s="118">
        <f t="shared" si="13"/>
        <v>0</v>
      </c>
      <c r="L49" s="118">
        <f t="shared" si="13"/>
        <v>0</v>
      </c>
      <c r="M49" s="118">
        <f t="shared" si="13"/>
        <v>0</v>
      </c>
      <c r="N49" s="118">
        <f t="shared" si="13"/>
        <v>0</v>
      </c>
      <c r="O49" s="118">
        <f t="shared" si="13"/>
        <v>0</v>
      </c>
      <c r="P49" s="118">
        <f t="shared" si="13"/>
        <v>0</v>
      </c>
      <c r="Q49" s="118">
        <f t="shared" si="2"/>
        <v>639800</v>
      </c>
      <c r="R49" s="247"/>
      <c r="S49" s="44"/>
      <c r="T49" s="44"/>
      <c r="U49" s="44"/>
      <c r="V49" s="44"/>
      <c r="W49" s="44"/>
      <c r="X49" s="44"/>
      <c r="Y49" s="44"/>
      <c r="Z49" s="44"/>
      <c r="AA49" s="44"/>
      <c r="AB49" s="44"/>
      <c r="AC49" s="44"/>
      <c r="AD49" s="44"/>
      <c r="AE49" s="44"/>
      <c r="AF49" s="44"/>
    </row>
    <row r="50" spans="1:32" s="36" customFormat="1" ht="38.25" customHeight="1">
      <c r="A50" s="35"/>
      <c r="B50" s="50" t="s">
        <v>58</v>
      </c>
      <c r="C50" s="50" t="s">
        <v>352</v>
      </c>
      <c r="D50" s="50" t="s">
        <v>350</v>
      </c>
      <c r="E50" s="32" t="s">
        <v>202</v>
      </c>
      <c r="F50" s="119">
        <f>G50+J50</f>
        <v>639800</v>
      </c>
      <c r="G50" s="119">
        <f>143300-3500+500000</f>
        <v>639800</v>
      </c>
      <c r="H50" s="119"/>
      <c r="I50" s="119"/>
      <c r="J50" s="119"/>
      <c r="K50" s="119">
        <f>L50+O50</f>
        <v>0</v>
      </c>
      <c r="L50" s="119"/>
      <c r="M50" s="119"/>
      <c r="N50" s="119"/>
      <c r="O50" s="119"/>
      <c r="P50" s="119"/>
      <c r="Q50" s="119">
        <f t="shared" si="2"/>
        <v>639800</v>
      </c>
      <c r="R50" s="247"/>
      <c r="S50" s="34"/>
      <c r="T50" s="34"/>
      <c r="U50" s="34"/>
      <c r="V50" s="34"/>
      <c r="W50" s="34"/>
      <c r="X50" s="34"/>
      <c r="Y50" s="34"/>
      <c r="Z50" s="34"/>
      <c r="AA50" s="34"/>
      <c r="AB50" s="34"/>
      <c r="AC50" s="34"/>
      <c r="AD50" s="34"/>
      <c r="AE50" s="34"/>
      <c r="AF50" s="34"/>
    </row>
    <row r="51" spans="1:32" s="17" customFormat="1" ht="45">
      <c r="A51" s="25"/>
      <c r="B51" s="24" t="s">
        <v>62</v>
      </c>
      <c r="C51" s="24" t="s">
        <v>359</v>
      </c>
      <c r="D51" s="24" t="s">
        <v>360</v>
      </c>
      <c r="E51" s="26" t="s">
        <v>61</v>
      </c>
      <c r="F51" s="118">
        <f>G51+J51</f>
        <v>345692</v>
      </c>
      <c r="G51" s="118">
        <f>207600+1792+136300</f>
        <v>345692</v>
      </c>
      <c r="H51" s="118"/>
      <c r="I51" s="118">
        <v>5300</v>
      </c>
      <c r="J51" s="118"/>
      <c r="K51" s="118">
        <f>L51+O51</f>
        <v>385000</v>
      </c>
      <c r="L51" s="118"/>
      <c r="M51" s="118"/>
      <c r="N51" s="118"/>
      <c r="O51" s="118">
        <v>385000</v>
      </c>
      <c r="P51" s="118">
        <v>385000</v>
      </c>
      <c r="Q51" s="118">
        <f t="shared" si="2"/>
        <v>730692</v>
      </c>
      <c r="R51" s="247"/>
      <c r="S51" s="44"/>
      <c r="T51" s="44"/>
      <c r="U51" s="44"/>
      <c r="V51" s="44"/>
      <c r="W51" s="44"/>
      <c r="X51" s="44"/>
      <c r="Y51" s="44"/>
      <c r="Z51" s="44"/>
      <c r="AA51" s="44"/>
      <c r="AB51" s="44"/>
      <c r="AC51" s="44"/>
      <c r="AD51" s="44"/>
      <c r="AE51" s="44"/>
      <c r="AF51" s="44"/>
    </row>
    <row r="52" spans="1:32" s="17" customFormat="1" ht="19.5" customHeight="1">
      <c r="A52" s="16"/>
      <c r="B52" s="81" t="s">
        <v>60</v>
      </c>
      <c r="C52" s="81" t="s">
        <v>361</v>
      </c>
      <c r="D52" s="81" t="s">
        <v>362</v>
      </c>
      <c r="E52" s="26" t="s">
        <v>59</v>
      </c>
      <c r="F52" s="118">
        <f>G52+J52</f>
        <v>1271578</v>
      </c>
      <c r="G52" s="118">
        <f>1308300-38420+1698</f>
        <v>1271578</v>
      </c>
      <c r="H52" s="118">
        <f>997400-32000</f>
        <v>965400</v>
      </c>
      <c r="I52" s="118">
        <f>46420+480+1698</f>
        <v>48598</v>
      </c>
      <c r="J52" s="118"/>
      <c r="K52" s="118">
        <f>L52+O52</f>
        <v>4900</v>
      </c>
      <c r="L52" s="118">
        <v>4900</v>
      </c>
      <c r="M52" s="118"/>
      <c r="N52" s="118">
        <v>1000</v>
      </c>
      <c r="O52" s="118"/>
      <c r="P52" s="118"/>
      <c r="Q52" s="118">
        <f t="shared" si="2"/>
        <v>1276478</v>
      </c>
      <c r="R52" s="247"/>
      <c r="S52" s="44"/>
      <c r="T52" s="44"/>
      <c r="U52" s="44"/>
      <c r="V52" s="44"/>
      <c r="W52" s="44"/>
      <c r="X52" s="44"/>
      <c r="Y52" s="44"/>
      <c r="Z52" s="44"/>
      <c r="AA52" s="44"/>
      <c r="AB52" s="44"/>
      <c r="AC52" s="44"/>
      <c r="AD52" s="44"/>
      <c r="AE52" s="44"/>
      <c r="AF52" s="44"/>
    </row>
    <row r="53" spans="1:32" s="235" customFormat="1" ht="49.5" customHeight="1">
      <c r="A53" s="233"/>
      <c r="B53" s="81" t="s">
        <v>560</v>
      </c>
      <c r="C53" s="81" t="s">
        <v>562</v>
      </c>
      <c r="D53" s="81" t="s">
        <v>251</v>
      </c>
      <c r="E53" s="26" t="s">
        <v>561</v>
      </c>
      <c r="F53" s="118"/>
      <c r="G53" s="118"/>
      <c r="H53" s="118"/>
      <c r="I53" s="118"/>
      <c r="J53" s="118"/>
      <c r="K53" s="118">
        <f>L53+O53</f>
        <v>1320000</v>
      </c>
      <c r="L53" s="118"/>
      <c r="M53" s="118"/>
      <c r="N53" s="118"/>
      <c r="O53" s="118">
        <v>1320000</v>
      </c>
      <c r="P53" s="118">
        <v>1320000</v>
      </c>
      <c r="Q53" s="118">
        <f>F53+K53</f>
        <v>1320000</v>
      </c>
      <c r="R53" s="247"/>
      <c r="S53" s="234"/>
      <c r="T53" s="234"/>
      <c r="U53" s="234"/>
      <c r="V53" s="234"/>
      <c r="W53" s="234"/>
      <c r="X53" s="234"/>
      <c r="Y53" s="234"/>
      <c r="Z53" s="234"/>
      <c r="AA53" s="234"/>
      <c r="AB53" s="234"/>
      <c r="AC53" s="234"/>
      <c r="AD53" s="234"/>
      <c r="AE53" s="234"/>
      <c r="AF53" s="234"/>
    </row>
    <row r="54" spans="1:32" s="17" customFormat="1" ht="21.75" customHeight="1">
      <c r="A54" s="16"/>
      <c r="B54" s="81" t="s">
        <v>63</v>
      </c>
      <c r="C54" s="81" t="s">
        <v>379</v>
      </c>
      <c r="D54" s="81" t="s">
        <v>375</v>
      </c>
      <c r="E54" s="26" t="s">
        <v>12</v>
      </c>
      <c r="F54" s="118">
        <f>F55+F56+F57+F58+F59+F60+F61</f>
        <v>4168887</v>
      </c>
      <c r="G54" s="118">
        <f aca="true" t="shared" si="14" ref="G54:Q54">G55+G56+G57+G58+G59+G60+G61</f>
        <v>4168887</v>
      </c>
      <c r="H54" s="118">
        <f t="shared" si="14"/>
        <v>0</v>
      </c>
      <c r="I54" s="118">
        <f t="shared" si="14"/>
        <v>261530</v>
      </c>
      <c r="J54" s="118">
        <f t="shared" si="14"/>
        <v>0</v>
      </c>
      <c r="K54" s="118">
        <f t="shared" si="14"/>
        <v>3113000</v>
      </c>
      <c r="L54" s="118">
        <f t="shared" si="14"/>
        <v>0</v>
      </c>
      <c r="M54" s="118">
        <f t="shared" si="14"/>
        <v>0</v>
      </c>
      <c r="N54" s="118">
        <f t="shared" si="14"/>
        <v>0</v>
      </c>
      <c r="O54" s="118">
        <f t="shared" si="14"/>
        <v>3113000</v>
      </c>
      <c r="P54" s="118">
        <f t="shared" si="14"/>
        <v>3113000</v>
      </c>
      <c r="Q54" s="118">
        <f t="shared" si="14"/>
        <v>7281887</v>
      </c>
      <c r="R54" s="247"/>
      <c r="S54" s="44"/>
      <c r="T54" s="44"/>
      <c r="U54" s="44"/>
      <c r="V54" s="44"/>
      <c r="W54" s="44"/>
      <c r="X54" s="44"/>
      <c r="Y54" s="44"/>
      <c r="Z54" s="44"/>
      <c r="AA54" s="44"/>
      <c r="AB54" s="44"/>
      <c r="AC54" s="44"/>
      <c r="AD54" s="44"/>
      <c r="AE54" s="44"/>
      <c r="AF54" s="44"/>
    </row>
    <row r="55" spans="1:32" s="36" customFormat="1" ht="33.75" customHeight="1">
      <c r="A55" s="35"/>
      <c r="B55" s="50" t="s">
        <v>63</v>
      </c>
      <c r="C55" s="50" t="s">
        <v>379</v>
      </c>
      <c r="D55" s="31" t="s">
        <v>375</v>
      </c>
      <c r="E55" s="204" t="s">
        <v>245</v>
      </c>
      <c r="F55" s="119">
        <f aca="true" t="shared" si="15" ref="F55:F62">G55+J55</f>
        <v>648028</v>
      </c>
      <c r="G55" s="119">
        <f>607700+38239+2089</f>
        <v>648028</v>
      </c>
      <c r="H55" s="124"/>
      <c r="I55" s="119">
        <f>223291+38239</f>
        <v>261530</v>
      </c>
      <c r="J55" s="119"/>
      <c r="K55" s="119">
        <f aca="true" t="shared" si="16" ref="K55:K62">L55+O55</f>
        <v>0</v>
      </c>
      <c r="L55" s="119"/>
      <c r="M55" s="119"/>
      <c r="N55" s="119"/>
      <c r="O55" s="119"/>
      <c r="P55" s="119"/>
      <c r="Q55" s="119">
        <f t="shared" si="2"/>
        <v>648028</v>
      </c>
      <c r="R55" s="247"/>
      <c r="S55" s="34"/>
      <c r="T55" s="34"/>
      <c r="U55" s="34"/>
      <c r="V55" s="34"/>
      <c r="W55" s="34"/>
      <c r="X55" s="34"/>
      <c r="Y55" s="34"/>
      <c r="Z55" s="34"/>
      <c r="AA55" s="34"/>
      <c r="AB55" s="34"/>
      <c r="AC55" s="34"/>
      <c r="AD55" s="34"/>
      <c r="AE55" s="34"/>
      <c r="AF55" s="34"/>
    </row>
    <row r="56" spans="1:32" s="36" customFormat="1" ht="31.5" customHeight="1">
      <c r="A56" s="35"/>
      <c r="B56" s="50" t="s">
        <v>63</v>
      </c>
      <c r="C56" s="50" t="s">
        <v>379</v>
      </c>
      <c r="D56" s="31" t="s">
        <v>375</v>
      </c>
      <c r="E56" s="204" t="s">
        <v>432</v>
      </c>
      <c r="F56" s="119">
        <f t="shared" si="15"/>
        <v>160580</v>
      </c>
      <c r="G56" s="119">
        <f>80290+80290</f>
        <v>160580</v>
      </c>
      <c r="H56" s="124"/>
      <c r="I56" s="124"/>
      <c r="J56" s="119"/>
      <c r="K56" s="119">
        <f t="shared" si="16"/>
        <v>0</v>
      </c>
      <c r="L56" s="119"/>
      <c r="M56" s="119"/>
      <c r="N56" s="119"/>
      <c r="O56" s="119"/>
      <c r="P56" s="119"/>
      <c r="Q56" s="119">
        <f t="shared" si="2"/>
        <v>160580</v>
      </c>
      <c r="R56" s="247"/>
      <c r="S56" s="34"/>
      <c r="T56" s="34"/>
      <c r="U56" s="34"/>
      <c r="V56" s="34"/>
      <c r="W56" s="34"/>
      <c r="X56" s="34"/>
      <c r="Y56" s="34"/>
      <c r="Z56" s="34"/>
      <c r="AA56" s="34"/>
      <c r="AB56" s="34"/>
      <c r="AC56" s="34"/>
      <c r="AD56" s="34"/>
      <c r="AE56" s="34"/>
      <c r="AF56" s="34"/>
    </row>
    <row r="57" spans="1:32" s="36" customFormat="1" ht="45">
      <c r="A57" s="35"/>
      <c r="B57" s="50" t="s">
        <v>63</v>
      </c>
      <c r="C57" s="50" t="s">
        <v>379</v>
      </c>
      <c r="D57" s="31" t="s">
        <v>375</v>
      </c>
      <c r="E57" s="204" t="s">
        <v>518</v>
      </c>
      <c r="F57" s="119">
        <f t="shared" si="15"/>
        <v>843700</v>
      </c>
      <c r="G57" s="119">
        <f>194200+843700-194200</f>
        <v>843700</v>
      </c>
      <c r="H57" s="124"/>
      <c r="I57" s="124"/>
      <c r="J57" s="119"/>
      <c r="K57" s="119">
        <f t="shared" si="16"/>
        <v>3087000</v>
      </c>
      <c r="L57" s="119"/>
      <c r="M57" s="119"/>
      <c r="N57" s="119"/>
      <c r="O57" s="119">
        <f>90000+2997000</f>
        <v>3087000</v>
      </c>
      <c r="P57" s="119">
        <f>90000+2997000</f>
        <v>3087000</v>
      </c>
      <c r="Q57" s="119">
        <f t="shared" si="2"/>
        <v>3930700</v>
      </c>
      <c r="R57" s="247"/>
      <c r="S57" s="34"/>
      <c r="T57" s="34"/>
      <c r="U57" s="34"/>
      <c r="V57" s="34"/>
      <c r="W57" s="34"/>
      <c r="X57" s="34"/>
      <c r="Y57" s="34"/>
      <c r="Z57" s="34"/>
      <c r="AA57" s="34"/>
      <c r="AB57" s="34"/>
      <c r="AC57" s="34"/>
      <c r="AD57" s="34"/>
      <c r="AE57" s="34"/>
      <c r="AF57" s="34"/>
    </row>
    <row r="58" spans="1:32" s="36" customFormat="1" ht="42.75" customHeight="1">
      <c r="A58" s="35"/>
      <c r="B58" s="50" t="s">
        <v>63</v>
      </c>
      <c r="C58" s="50" t="s">
        <v>379</v>
      </c>
      <c r="D58" s="31" t="s">
        <v>375</v>
      </c>
      <c r="E58" s="204" t="s">
        <v>202</v>
      </c>
      <c r="F58" s="119">
        <f t="shared" si="15"/>
        <v>1012400</v>
      </c>
      <c r="G58" s="119">
        <f>962400+50000</f>
        <v>1012400</v>
      </c>
      <c r="H58" s="124"/>
      <c r="I58" s="124"/>
      <c r="J58" s="119"/>
      <c r="K58" s="119">
        <f t="shared" si="16"/>
        <v>26000</v>
      </c>
      <c r="L58" s="119"/>
      <c r="M58" s="119"/>
      <c r="N58" s="119"/>
      <c r="O58" s="119">
        <v>26000</v>
      </c>
      <c r="P58" s="119">
        <v>26000</v>
      </c>
      <c r="Q58" s="119">
        <f t="shared" si="2"/>
        <v>1038400</v>
      </c>
      <c r="R58" s="247"/>
      <c r="S58" s="34"/>
      <c r="T58" s="34"/>
      <c r="U58" s="34"/>
      <c r="V58" s="34"/>
      <c r="W58" s="34"/>
      <c r="X58" s="34"/>
      <c r="Y58" s="34"/>
      <c r="Z58" s="34"/>
      <c r="AA58" s="34"/>
      <c r="AB58" s="34"/>
      <c r="AC58" s="34"/>
      <c r="AD58" s="34"/>
      <c r="AE58" s="34"/>
      <c r="AF58" s="34"/>
    </row>
    <row r="59" spans="1:32" s="36" customFormat="1" ht="36.75" customHeight="1">
      <c r="A59" s="35"/>
      <c r="B59" s="50" t="s">
        <v>63</v>
      </c>
      <c r="C59" s="50" t="s">
        <v>379</v>
      </c>
      <c r="D59" s="31" t="s">
        <v>375</v>
      </c>
      <c r="E59" s="204" t="s">
        <v>203</v>
      </c>
      <c r="F59" s="119">
        <f t="shared" si="15"/>
        <v>1279179</v>
      </c>
      <c r="G59" s="119">
        <f>1229100+80000-29921</f>
        <v>1279179</v>
      </c>
      <c r="H59" s="124"/>
      <c r="I59" s="124"/>
      <c r="J59" s="119"/>
      <c r="K59" s="119">
        <f t="shared" si="16"/>
        <v>0</v>
      </c>
      <c r="L59" s="119"/>
      <c r="M59" s="119"/>
      <c r="N59" s="119"/>
      <c r="O59" s="119"/>
      <c r="P59" s="119"/>
      <c r="Q59" s="119">
        <f t="shared" si="2"/>
        <v>1279179</v>
      </c>
      <c r="R59" s="247"/>
      <c r="S59" s="34"/>
      <c r="T59" s="34"/>
      <c r="U59" s="34"/>
      <c r="V59" s="34"/>
      <c r="W59" s="34"/>
      <c r="X59" s="34"/>
      <c r="Y59" s="34"/>
      <c r="Z59" s="34"/>
      <c r="AA59" s="34"/>
      <c r="AB59" s="34"/>
      <c r="AC59" s="34"/>
      <c r="AD59" s="34"/>
      <c r="AE59" s="34"/>
      <c r="AF59" s="34"/>
    </row>
    <row r="60" spans="1:32" s="36" customFormat="1" ht="46.5" customHeight="1">
      <c r="A60" s="35"/>
      <c r="B60" s="50" t="s">
        <v>63</v>
      </c>
      <c r="C60" s="50" t="s">
        <v>379</v>
      </c>
      <c r="D60" s="31" t="s">
        <v>375</v>
      </c>
      <c r="E60" s="204" t="s">
        <v>520</v>
      </c>
      <c r="F60" s="119">
        <f t="shared" si="15"/>
        <v>125000</v>
      </c>
      <c r="G60" s="119">
        <f>100000+25000</f>
        <v>125000</v>
      </c>
      <c r="H60" s="124"/>
      <c r="I60" s="124"/>
      <c r="J60" s="119"/>
      <c r="K60" s="119">
        <f t="shared" si="16"/>
        <v>0</v>
      </c>
      <c r="L60" s="119"/>
      <c r="M60" s="119"/>
      <c r="N60" s="119"/>
      <c r="O60" s="119"/>
      <c r="P60" s="119"/>
      <c r="Q60" s="119">
        <f>F60+K60</f>
        <v>125000</v>
      </c>
      <c r="R60" s="247"/>
      <c r="S60" s="34"/>
      <c r="T60" s="34"/>
      <c r="U60" s="34"/>
      <c r="V60" s="34"/>
      <c r="W60" s="34"/>
      <c r="X60" s="34"/>
      <c r="Y60" s="34"/>
      <c r="Z60" s="34"/>
      <c r="AA60" s="34"/>
      <c r="AB60" s="34"/>
      <c r="AC60" s="34"/>
      <c r="AD60" s="34"/>
      <c r="AE60" s="34"/>
      <c r="AF60" s="34"/>
    </row>
    <row r="61" spans="1:32" s="36" customFormat="1" ht="59.25" customHeight="1">
      <c r="A61" s="35"/>
      <c r="B61" s="50" t="s">
        <v>63</v>
      </c>
      <c r="C61" s="50" t="s">
        <v>379</v>
      </c>
      <c r="D61" s="31" t="s">
        <v>375</v>
      </c>
      <c r="E61" s="204" t="s">
        <v>533</v>
      </c>
      <c r="F61" s="119">
        <f t="shared" si="15"/>
        <v>100000</v>
      </c>
      <c r="G61" s="119">
        <v>100000</v>
      </c>
      <c r="H61" s="124"/>
      <c r="I61" s="124"/>
      <c r="J61" s="119"/>
      <c r="K61" s="119">
        <f t="shared" si="16"/>
        <v>0</v>
      </c>
      <c r="L61" s="119"/>
      <c r="M61" s="119"/>
      <c r="N61" s="119"/>
      <c r="O61" s="119"/>
      <c r="P61" s="119"/>
      <c r="Q61" s="119">
        <f>F61+K61</f>
        <v>100000</v>
      </c>
      <c r="R61" s="247"/>
      <c r="S61" s="34"/>
      <c r="T61" s="34"/>
      <c r="U61" s="34"/>
      <c r="V61" s="34"/>
      <c r="W61" s="34"/>
      <c r="X61" s="34"/>
      <c r="Y61" s="34"/>
      <c r="Z61" s="34"/>
      <c r="AA61" s="34"/>
      <c r="AB61" s="34"/>
      <c r="AC61" s="34"/>
      <c r="AD61" s="34"/>
      <c r="AE61" s="34"/>
      <c r="AF61" s="34"/>
    </row>
    <row r="62" spans="1:32" s="17" customFormat="1" ht="35.25" customHeight="1">
      <c r="A62" s="25"/>
      <c r="B62" s="29" t="s">
        <v>222</v>
      </c>
      <c r="C62" s="29" t="s">
        <v>371</v>
      </c>
      <c r="D62" s="29" t="s">
        <v>372</v>
      </c>
      <c r="E62" s="111" t="s">
        <v>216</v>
      </c>
      <c r="F62" s="118">
        <f t="shared" si="15"/>
        <v>0</v>
      </c>
      <c r="G62" s="118"/>
      <c r="H62" s="120"/>
      <c r="I62" s="120"/>
      <c r="J62" s="118"/>
      <c r="K62" s="118">
        <f t="shared" si="16"/>
        <v>58563</v>
      </c>
      <c r="L62" s="118">
        <v>58563</v>
      </c>
      <c r="M62" s="118"/>
      <c r="N62" s="118"/>
      <c r="O62" s="118"/>
      <c r="P62" s="118"/>
      <c r="Q62" s="118">
        <f t="shared" si="2"/>
        <v>58563</v>
      </c>
      <c r="R62" s="247"/>
      <c r="S62" s="44"/>
      <c r="T62" s="44"/>
      <c r="U62" s="44"/>
      <c r="V62" s="44"/>
      <c r="W62" s="44"/>
      <c r="X62" s="44"/>
      <c r="Y62" s="44"/>
      <c r="Z62" s="44"/>
      <c r="AA62" s="44"/>
      <c r="AB62" s="44"/>
      <c r="AC62" s="44"/>
      <c r="AD62" s="44"/>
      <c r="AE62" s="44"/>
      <c r="AF62" s="44"/>
    </row>
    <row r="63" spans="1:32" s="17" customFormat="1" ht="60">
      <c r="A63" s="16"/>
      <c r="B63" s="81" t="s">
        <v>524</v>
      </c>
      <c r="C63" s="81" t="s">
        <v>374</v>
      </c>
      <c r="D63" s="81" t="s">
        <v>375</v>
      </c>
      <c r="E63" s="111" t="s">
        <v>17</v>
      </c>
      <c r="F63" s="118">
        <f>G63+J63</f>
        <v>0</v>
      </c>
      <c r="G63" s="118"/>
      <c r="H63" s="118"/>
      <c r="I63" s="118"/>
      <c r="J63" s="118"/>
      <c r="K63" s="118">
        <f>L63+O63</f>
        <v>68414</v>
      </c>
      <c r="L63" s="118">
        <v>68414</v>
      </c>
      <c r="M63" s="118"/>
      <c r="N63" s="118"/>
      <c r="O63" s="118"/>
      <c r="P63" s="118"/>
      <c r="Q63" s="118">
        <f t="shared" si="2"/>
        <v>68414</v>
      </c>
      <c r="R63" s="247"/>
      <c r="S63" s="44"/>
      <c r="T63" s="44"/>
      <c r="U63" s="44"/>
      <c r="V63" s="44"/>
      <c r="W63" s="44"/>
      <c r="X63" s="44"/>
      <c r="Y63" s="44"/>
      <c r="Z63" s="44"/>
      <c r="AA63" s="44"/>
      <c r="AB63" s="44"/>
      <c r="AC63" s="44"/>
      <c r="AD63" s="44"/>
      <c r="AE63" s="44"/>
      <c r="AF63" s="44"/>
    </row>
    <row r="64" spans="1:32" s="116" customFormat="1" ht="32.25" customHeight="1">
      <c r="A64" s="113"/>
      <c r="B64" s="18" t="s">
        <v>74</v>
      </c>
      <c r="C64" s="18"/>
      <c r="D64" s="18"/>
      <c r="E64" s="19" t="s">
        <v>64</v>
      </c>
      <c r="F64" s="126">
        <f>F65</f>
        <v>663074399</v>
      </c>
      <c r="G64" s="126">
        <f aca="true" t="shared" si="17" ref="G64:P64">G65</f>
        <v>663074399</v>
      </c>
      <c r="H64" s="126">
        <f t="shared" si="17"/>
        <v>413147038</v>
      </c>
      <c r="I64" s="126">
        <f t="shared" si="17"/>
        <v>82426707</v>
      </c>
      <c r="J64" s="126">
        <f t="shared" si="17"/>
        <v>0</v>
      </c>
      <c r="K64" s="126">
        <f t="shared" si="17"/>
        <v>56652246</v>
      </c>
      <c r="L64" s="126">
        <f t="shared" si="17"/>
        <v>39500266</v>
      </c>
      <c r="M64" s="126">
        <f t="shared" si="17"/>
        <v>2314390</v>
      </c>
      <c r="N64" s="126">
        <f t="shared" si="17"/>
        <v>2237685</v>
      </c>
      <c r="O64" s="126">
        <f t="shared" si="17"/>
        <v>17151980</v>
      </c>
      <c r="P64" s="126">
        <f t="shared" si="17"/>
        <v>16939060</v>
      </c>
      <c r="Q64" s="126">
        <f t="shared" si="2"/>
        <v>719726645</v>
      </c>
      <c r="R64" s="247"/>
      <c r="S64" s="115"/>
      <c r="T64" s="115"/>
      <c r="U64" s="115"/>
      <c r="V64" s="115"/>
      <c r="W64" s="115"/>
      <c r="X64" s="115"/>
      <c r="Y64" s="115"/>
      <c r="Z64" s="115"/>
      <c r="AA64" s="115"/>
      <c r="AB64" s="115"/>
      <c r="AC64" s="115"/>
      <c r="AD64" s="115"/>
      <c r="AE64" s="115"/>
      <c r="AF64" s="115"/>
    </row>
    <row r="65" spans="1:32" s="221" customFormat="1" ht="28.5" customHeight="1">
      <c r="A65" s="219"/>
      <c r="B65" s="136" t="s">
        <v>293</v>
      </c>
      <c r="C65" s="136"/>
      <c r="D65" s="136"/>
      <c r="E65" s="137" t="s">
        <v>64</v>
      </c>
      <c r="F65" s="135">
        <f aca="true" t="shared" si="18" ref="F65:P65">F67+F68+F69+F71+F73+F75+F78+F79+F80+F81+F82+F84+F85+F86+F76+F89+F90+F88</f>
        <v>663074399</v>
      </c>
      <c r="G65" s="135">
        <f t="shared" si="18"/>
        <v>663074399</v>
      </c>
      <c r="H65" s="135">
        <f t="shared" si="18"/>
        <v>413147038</v>
      </c>
      <c r="I65" s="135">
        <f t="shared" si="18"/>
        <v>82426707</v>
      </c>
      <c r="J65" s="135">
        <f t="shared" si="18"/>
        <v>0</v>
      </c>
      <c r="K65" s="135">
        <f t="shared" si="18"/>
        <v>56652246</v>
      </c>
      <c r="L65" s="135">
        <f t="shared" si="18"/>
        <v>39500266</v>
      </c>
      <c r="M65" s="135">
        <f t="shared" si="18"/>
        <v>2314390</v>
      </c>
      <c r="N65" s="135">
        <f t="shared" si="18"/>
        <v>2237685</v>
      </c>
      <c r="O65" s="135">
        <f t="shared" si="18"/>
        <v>17151980</v>
      </c>
      <c r="P65" s="135">
        <f t="shared" si="18"/>
        <v>16939060</v>
      </c>
      <c r="Q65" s="135">
        <f t="shared" si="2"/>
        <v>719726645</v>
      </c>
      <c r="R65" s="247"/>
      <c r="S65" s="220"/>
      <c r="T65" s="220"/>
      <c r="U65" s="220"/>
      <c r="V65" s="220"/>
      <c r="W65" s="220"/>
      <c r="X65" s="220"/>
      <c r="Y65" s="220"/>
      <c r="Z65" s="220"/>
      <c r="AA65" s="220"/>
      <c r="AB65" s="220"/>
      <c r="AC65" s="220"/>
      <c r="AD65" s="220"/>
      <c r="AE65" s="220"/>
      <c r="AF65" s="220"/>
    </row>
    <row r="66" spans="1:32" s="17" customFormat="1" ht="15.75">
      <c r="A66" s="181"/>
      <c r="B66" s="112"/>
      <c r="C66" s="112"/>
      <c r="D66" s="112"/>
      <c r="E66" s="111" t="s">
        <v>527</v>
      </c>
      <c r="F66" s="118">
        <f>F70+F72+F74+F77</f>
        <v>225191499</v>
      </c>
      <c r="G66" s="118">
        <f aca="true" t="shared" si="19" ref="G66:Q66">G70+G72+G74+G77</f>
        <v>225191499</v>
      </c>
      <c r="H66" s="118">
        <f t="shared" si="19"/>
        <v>184750800</v>
      </c>
      <c r="I66" s="118">
        <f t="shared" si="19"/>
        <v>0</v>
      </c>
      <c r="J66" s="118">
        <f t="shared" si="19"/>
        <v>0</v>
      </c>
      <c r="K66" s="118">
        <f t="shared" si="19"/>
        <v>0</v>
      </c>
      <c r="L66" s="118">
        <f t="shared" si="19"/>
        <v>0</v>
      </c>
      <c r="M66" s="118">
        <f t="shared" si="19"/>
        <v>0</v>
      </c>
      <c r="N66" s="118">
        <f t="shared" si="19"/>
        <v>0</v>
      </c>
      <c r="O66" s="118">
        <f t="shared" si="19"/>
        <v>0</v>
      </c>
      <c r="P66" s="118">
        <f t="shared" si="19"/>
        <v>0</v>
      </c>
      <c r="Q66" s="118">
        <f t="shared" si="19"/>
        <v>225191499</v>
      </c>
      <c r="R66" s="247"/>
      <c r="S66" s="44"/>
      <c r="T66" s="44"/>
      <c r="U66" s="44"/>
      <c r="V66" s="44"/>
      <c r="W66" s="44"/>
      <c r="X66" s="44"/>
      <c r="Y66" s="44"/>
      <c r="Z66" s="44"/>
      <c r="AA66" s="44"/>
      <c r="AB66" s="44"/>
      <c r="AC66" s="44"/>
      <c r="AD66" s="44"/>
      <c r="AE66" s="44"/>
      <c r="AF66" s="44"/>
    </row>
    <row r="67" spans="1:32" s="17" customFormat="1" ht="45" customHeight="1">
      <c r="A67" s="16"/>
      <c r="B67" s="147" t="s">
        <v>75</v>
      </c>
      <c r="C67" s="147" t="s">
        <v>251</v>
      </c>
      <c r="D67" s="147" t="s">
        <v>252</v>
      </c>
      <c r="E67" s="111" t="s">
        <v>536</v>
      </c>
      <c r="F67" s="118">
        <f>G67+J67</f>
        <v>1584300</v>
      </c>
      <c r="G67" s="118">
        <f>1611100+3800-30600</f>
        <v>1584300</v>
      </c>
      <c r="H67" s="118">
        <v>1204000</v>
      </c>
      <c r="I67" s="118">
        <f>27800+3800</f>
        <v>31600</v>
      </c>
      <c r="J67" s="118"/>
      <c r="K67" s="118">
        <f aca="true" t="shared" si="20" ref="K67:K90">L67+O67</f>
        <v>26000</v>
      </c>
      <c r="L67" s="118"/>
      <c r="M67" s="118"/>
      <c r="N67" s="118"/>
      <c r="O67" s="118">
        <v>26000</v>
      </c>
      <c r="P67" s="118">
        <v>26000</v>
      </c>
      <c r="Q67" s="118">
        <f t="shared" si="2"/>
        <v>1610300</v>
      </c>
      <c r="R67" s="247" t="s">
        <v>548</v>
      </c>
      <c r="S67" s="44"/>
      <c r="T67" s="44"/>
      <c r="U67" s="44"/>
      <c r="V67" s="44"/>
      <c r="W67" s="44"/>
      <c r="X67" s="44"/>
      <c r="Y67" s="44"/>
      <c r="Z67" s="44"/>
      <c r="AA67" s="44"/>
      <c r="AB67" s="44"/>
      <c r="AC67" s="44"/>
      <c r="AD67" s="44"/>
      <c r="AE67" s="44"/>
      <c r="AF67" s="44"/>
    </row>
    <row r="68" spans="1:32" s="17" customFormat="1" ht="15.75">
      <c r="A68" s="16"/>
      <c r="B68" s="147" t="s">
        <v>76</v>
      </c>
      <c r="C68" s="147" t="s">
        <v>256</v>
      </c>
      <c r="D68" s="147" t="s">
        <v>257</v>
      </c>
      <c r="E68" s="111" t="s">
        <v>65</v>
      </c>
      <c r="F68" s="118">
        <f aca="true" t="shared" si="21" ref="F68:F90">G68+J68</f>
        <v>171376155</v>
      </c>
      <c r="G68" s="118">
        <f>163141450+2165415+5876790+51000+141500</f>
        <v>171376155</v>
      </c>
      <c r="H68" s="118">
        <f>100618010-1602190+4119690</f>
        <v>103135510</v>
      </c>
      <c r="I68" s="118">
        <f>22380176+4118459</f>
        <v>26498635</v>
      </c>
      <c r="J68" s="118"/>
      <c r="K68" s="118">
        <f t="shared" si="20"/>
        <v>17271071</v>
      </c>
      <c r="L68" s="118">
        <v>12650071</v>
      </c>
      <c r="M68" s="118"/>
      <c r="N68" s="118"/>
      <c r="O68" s="118">
        <f>4227000+46000+188000+49500+110500</f>
        <v>4621000</v>
      </c>
      <c r="P68" s="118">
        <f>4227000+46000+188000+49500+110500</f>
        <v>4621000</v>
      </c>
      <c r="Q68" s="118">
        <f t="shared" si="2"/>
        <v>188647226</v>
      </c>
      <c r="R68" s="247"/>
      <c r="S68" s="44"/>
      <c r="T68" s="44"/>
      <c r="U68" s="44"/>
      <c r="V68" s="44"/>
      <c r="W68" s="44"/>
      <c r="X68" s="44"/>
      <c r="Y68" s="44"/>
      <c r="Z68" s="44"/>
      <c r="AA68" s="44"/>
      <c r="AB68" s="44"/>
      <c r="AC68" s="44"/>
      <c r="AD68" s="44"/>
      <c r="AE68" s="44"/>
      <c r="AF68" s="44"/>
    </row>
    <row r="69" spans="1:32" s="17" customFormat="1" ht="62.25" customHeight="1">
      <c r="A69" s="16"/>
      <c r="B69" s="147" t="s">
        <v>77</v>
      </c>
      <c r="C69" s="147" t="s">
        <v>258</v>
      </c>
      <c r="D69" s="147" t="s">
        <v>259</v>
      </c>
      <c r="E69" s="111" t="s">
        <v>66</v>
      </c>
      <c r="F69" s="118">
        <f t="shared" si="21"/>
        <v>364903556</v>
      </c>
      <c r="G69" s="118">
        <f>362559505+533346-1088948+2698990+102400+94253+4010</f>
        <v>364903556</v>
      </c>
      <c r="H69" s="118">
        <f>242583267-6488417+1311790+61809+349731</f>
        <v>237818180</v>
      </c>
      <c r="I69" s="118">
        <f>35734805+6813932</f>
        <v>42548737</v>
      </c>
      <c r="J69" s="118"/>
      <c r="K69" s="118">
        <f t="shared" si="20"/>
        <v>27935737</v>
      </c>
      <c r="L69" s="118">
        <v>20411137</v>
      </c>
      <c r="M69" s="118">
        <v>519938</v>
      </c>
      <c r="N69" s="118">
        <v>41716</v>
      </c>
      <c r="O69" s="118">
        <f>6800000+11000+500000+50000+140600+23000</f>
        <v>7524600</v>
      </c>
      <c r="P69" s="118">
        <f>6800000+11000+500000+50000+140600+23000</f>
        <v>7524600</v>
      </c>
      <c r="Q69" s="118">
        <f t="shared" si="2"/>
        <v>392839293</v>
      </c>
      <c r="R69" s="247"/>
      <c r="S69" s="44"/>
      <c r="T69" s="44"/>
      <c r="U69" s="44"/>
      <c r="V69" s="44"/>
      <c r="W69" s="44"/>
      <c r="X69" s="44"/>
      <c r="Y69" s="44"/>
      <c r="Z69" s="44"/>
      <c r="AA69" s="44"/>
      <c r="AB69" s="44"/>
      <c r="AC69" s="44"/>
      <c r="AD69" s="44"/>
      <c r="AE69" s="44"/>
      <c r="AF69" s="44"/>
    </row>
    <row r="70" spans="1:32" s="17" customFormat="1" ht="15.75">
      <c r="A70" s="16"/>
      <c r="B70" s="148"/>
      <c r="C70" s="148"/>
      <c r="D70" s="148"/>
      <c r="E70" s="111" t="s">
        <v>527</v>
      </c>
      <c r="F70" s="118">
        <f t="shared" si="21"/>
        <v>201642749</v>
      </c>
      <c r="G70" s="118">
        <f>200852388+533346+151062+11700+94253</f>
        <v>201642749</v>
      </c>
      <c r="H70" s="118">
        <f>164897345+123995+9610+349731+61809</f>
        <v>165442490</v>
      </c>
      <c r="I70" s="118"/>
      <c r="J70" s="118"/>
      <c r="K70" s="118">
        <f t="shared" si="20"/>
        <v>0</v>
      </c>
      <c r="L70" s="118"/>
      <c r="M70" s="118"/>
      <c r="N70" s="118"/>
      <c r="O70" s="118"/>
      <c r="P70" s="118"/>
      <c r="Q70" s="118">
        <f t="shared" si="2"/>
        <v>201642749</v>
      </c>
      <c r="R70" s="247"/>
      <c r="S70" s="44"/>
      <c r="T70" s="44"/>
      <c r="U70" s="44"/>
      <c r="V70" s="44"/>
      <c r="W70" s="44"/>
      <c r="X70" s="44"/>
      <c r="Y70" s="44"/>
      <c r="Z70" s="44"/>
      <c r="AA70" s="44"/>
      <c r="AB70" s="44"/>
      <c r="AC70" s="44"/>
      <c r="AD70" s="44"/>
      <c r="AE70" s="44"/>
      <c r="AF70" s="44"/>
    </row>
    <row r="71" spans="1:32" s="17" customFormat="1" ht="30">
      <c r="A71" s="16"/>
      <c r="B71" s="147" t="s">
        <v>78</v>
      </c>
      <c r="C71" s="147" t="s">
        <v>260</v>
      </c>
      <c r="D71" s="147" t="s">
        <v>259</v>
      </c>
      <c r="E71" s="111" t="s">
        <v>67</v>
      </c>
      <c r="F71" s="118">
        <f t="shared" si="21"/>
        <v>638957</v>
      </c>
      <c r="G71" s="118">
        <f>664457-25500</f>
        <v>638957</v>
      </c>
      <c r="H71" s="118">
        <f>544295-20905</f>
        <v>523390</v>
      </c>
      <c r="I71" s="118"/>
      <c r="J71" s="118"/>
      <c r="K71" s="118">
        <f t="shared" si="20"/>
        <v>0</v>
      </c>
      <c r="L71" s="118"/>
      <c r="M71" s="118"/>
      <c r="N71" s="118"/>
      <c r="O71" s="118"/>
      <c r="P71" s="118"/>
      <c r="Q71" s="118">
        <f t="shared" si="2"/>
        <v>638957</v>
      </c>
      <c r="R71" s="247"/>
      <c r="S71" s="44"/>
      <c r="T71" s="44"/>
      <c r="U71" s="44"/>
      <c r="V71" s="44"/>
      <c r="W71" s="44"/>
      <c r="X71" s="44"/>
      <c r="Y71" s="44"/>
      <c r="Z71" s="44"/>
      <c r="AA71" s="44"/>
      <c r="AB71" s="44"/>
      <c r="AC71" s="44"/>
      <c r="AD71" s="44"/>
      <c r="AE71" s="44"/>
      <c r="AF71" s="44"/>
    </row>
    <row r="72" spans="1:32" s="17" customFormat="1" ht="24.75" customHeight="1">
      <c r="A72" s="16"/>
      <c r="B72" s="148"/>
      <c r="C72" s="148"/>
      <c r="D72" s="148"/>
      <c r="E72" s="111" t="s">
        <v>527</v>
      </c>
      <c r="F72" s="118">
        <f t="shared" si="21"/>
        <v>638540</v>
      </c>
      <c r="G72" s="118">
        <f>664040-25500</f>
        <v>638540</v>
      </c>
      <c r="H72" s="118">
        <f>544295-20905</f>
        <v>523390</v>
      </c>
      <c r="I72" s="118"/>
      <c r="J72" s="118"/>
      <c r="K72" s="118">
        <f t="shared" si="20"/>
        <v>0</v>
      </c>
      <c r="L72" s="118"/>
      <c r="M72" s="118"/>
      <c r="N72" s="118"/>
      <c r="O72" s="118"/>
      <c r="P72" s="118">
        <f>O71-O72</f>
        <v>0</v>
      </c>
      <c r="Q72" s="118">
        <f t="shared" si="2"/>
        <v>638540</v>
      </c>
      <c r="R72" s="247"/>
      <c r="S72" s="44"/>
      <c r="T72" s="44"/>
      <c r="U72" s="44"/>
      <c r="V72" s="44"/>
      <c r="W72" s="44"/>
      <c r="X72" s="44"/>
      <c r="Y72" s="44"/>
      <c r="Z72" s="44"/>
      <c r="AA72" s="44"/>
      <c r="AB72" s="44"/>
      <c r="AC72" s="44"/>
      <c r="AD72" s="44"/>
      <c r="AE72" s="44"/>
      <c r="AF72" s="44"/>
    </row>
    <row r="73" spans="1:32" s="17" customFormat="1" ht="81.75" customHeight="1">
      <c r="A73" s="16"/>
      <c r="B73" s="147" t="s">
        <v>79</v>
      </c>
      <c r="C73" s="147" t="s">
        <v>262</v>
      </c>
      <c r="D73" s="147" t="s">
        <v>263</v>
      </c>
      <c r="E73" s="111" t="s">
        <v>68</v>
      </c>
      <c r="F73" s="118">
        <f t="shared" si="21"/>
        <v>6896064</v>
      </c>
      <c r="G73" s="118">
        <f>6891455-2891+7500</f>
        <v>6896064</v>
      </c>
      <c r="H73" s="118">
        <f>4779004-111844</f>
        <v>4667160</v>
      </c>
      <c r="I73" s="118">
        <f>624309+133327</f>
        <v>757636</v>
      </c>
      <c r="J73" s="118"/>
      <c r="K73" s="118">
        <f t="shared" si="20"/>
        <v>150000</v>
      </c>
      <c r="L73" s="118"/>
      <c r="M73" s="118"/>
      <c r="N73" s="118"/>
      <c r="O73" s="118">
        <v>150000</v>
      </c>
      <c r="P73" s="118">
        <v>150000</v>
      </c>
      <c r="Q73" s="118">
        <f t="shared" si="2"/>
        <v>7046064</v>
      </c>
      <c r="R73" s="247"/>
      <c r="S73" s="44"/>
      <c r="T73" s="44"/>
      <c r="U73" s="44"/>
      <c r="V73" s="44"/>
      <c r="W73" s="44"/>
      <c r="X73" s="44"/>
      <c r="Y73" s="44"/>
      <c r="Z73" s="44"/>
      <c r="AA73" s="44"/>
      <c r="AB73" s="44"/>
      <c r="AC73" s="44"/>
      <c r="AD73" s="44"/>
      <c r="AE73" s="44"/>
      <c r="AF73" s="44"/>
    </row>
    <row r="74" spans="1:32" s="17" customFormat="1" ht="21" customHeight="1">
      <c r="A74" s="16"/>
      <c r="B74" s="148"/>
      <c r="C74" s="148"/>
      <c r="D74" s="148"/>
      <c r="E74" s="111" t="s">
        <v>527</v>
      </c>
      <c r="F74" s="118">
        <f t="shared" si="21"/>
        <v>4502510</v>
      </c>
      <c r="G74" s="118">
        <f>4628072-125562</f>
        <v>4502510</v>
      </c>
      <c r="H74" s="118">
        <f>3799730-103090</f>
        <v>3696640</v>
      </c>
      <c r="I74" s="118"/>
      <c r="J74" s="118"/>
      <c r="K74" s="118">
        <f t="shared" si="20"/>
        <v>0</v>
      </c>
      <c r="L74" s="118"/>
      <c r="M74" s="118"/>
      <c r="N74" s="118"/>
      <c r="O74" s="118"/>
      <c r="P74" s="118"/>
      <c r="Q74" s="118">
        <f aca="true" t="shared" si="22" ref="Q74:Q137">F74+K74</f>
        <v>4502510</v>
      </c>
      <c r="R74" s="247"/>
      <c r="S74" s="44"/>
      <c r="T74" s="44"/>
      <c r="U74" s="44"/>
      <c r="V74" s="44"/>
      <c r="W74" s="44"/>
      <c r="X74" s="44"/>
      <c r="Y74" s="44"/>
      <c r="Z74" s="44"/>
      <c r="AA74" s="44"/>
      <c r="AB74" s="44"/>
      <c r="AC74" s="44"/>
      <c r="AD74" s="44"/>
      <c r="AE74" s="44"/>
      <c r="AF74" s="44"/>
    </row>
    <row r="75" spans="1:32" s="17" customFormat="1" ht="51" customHeight="1">
      <c r="A75" s="16"/>
      <c r="B75" s="147" t="s">
        <v>80</v>
      </c>
      <c r="C75" s="147" t="s">
        <v>264</v>
      </c>
      <c r="D75" s="147" t="s">
        <v>265</v>
      </c>
      <c r="E75" s="111" t="s">
        <v>69</v>
      </c>
      <c r="F75" s="118">
        <f t="shared" si="21"/>
        <v>19713951</v>
      </c>
      <c r="G75" s="118">
        <f>18595670+20000+106781+991500</f>
        <v>19713951</v>
      </c>
      <c r="H75" s="118">
        <f>13003634-293514+795600</f>
        <v>13505720</v>
      </c>
      <c r="I75" s="118">
        <f>2389241+464267</f>
        <v>2853508</v>
      </c>
      <c r="J75" s="118"/>
      <c r="K75" s="118">
        <f t="shared" si="20"/>
        <v>627090</v>
      </c>
      <c r="L75" s="118">
        <v>27090</v>
      </c>
      <c r="M75" s="118">
        <v>21312</v>
      </c>
      <c r="N75" s="118">
        <v>1090</v>
      </c>
      <c r="O75" s="118">
        <v>600000</v>
      </c>
      <c r="P75" s="118">
        <v>600000</v>
      </c>
      <c r="Q75" s="118">
        <f t="shared" si="22"/>
        <v>20341041</v>
      </c>
      <c r="R75" s="247"/>
      <c r="S75" s="44"/>
      <c r="T75" s="44"/>
      <c r="U75" s="44"/>
      <c r="V75" s="44"/>
      <c r="W75" s="44"/>
      <c r="X75" s="44"/>
      <c r="Y75" s="44"/>
      <c r="Z75" s="44"/>
      <c r="AA75" s="44"/>
      <c r="AB75" s="44"/>
      <c r="AC75" s="44"/>
      <c r="AD75" s="44"/>
      <c r="AE75" s="44"/>
      <c r="AF75" s="44"/>
    </row>
    <row r="76" spans="1:32" s="17" customFormat="1" ht="30" customHeight="1">
      <c r="A76" s="16"/>
      <c r="B76" s="147" t="s">
        <v>215</v>
      </c>
      <c r="C76" s="147" t="s">
        <v>266</v>
      </c>
      <c r="D76" s="147" t="s">
        <v>267</v>
      </c>
      <c r="E76" s="111" t="s">
        <v>496</v>
      </c>
      <c r="F76" s="118">
        <f t="shared" si="21"/>
        <v>79760930</v>
      </c>
      <c r="G76" s="118">
        <f>73603700+233500-433501+6092255+155976+100000+9000</f>
        <v>79760930</v>
      </c>
      <c r="H76" s="118">
        <f>42260100-959000+1991000</f>
        <v>43292100</v>
      </c>
      <c r="I76" s="118">
        <f>8069650+721099+100000</f>
        <v>8890749</v>
      </c>
      <c r="J76" s="118"/>
      <c r="K76" s="118">
        <f t="shared" si="20"/>
        <v>6315288</v>
      </c>
      <c r="L76" s="118">
        <v>6147168</v>
      </c>
      <c r="M76" s="118">
        <v>1773140</v>
      </c>
      <c r="N76" s="118">
        <v>2194879</v>
      </c>
      <c r="O76" s="118">
        <v>168120</v>
      </c>
      <c r="P76" s="118"/>
      <c r="Q76" s="118">
        <f t="shared" si="22"/>
        <v>86076218</v>
      </c>
      <c r="R76" s="247"/>
      <c r="S76" s="44"/>
      <c r="T76" s="44"/>
      <c r="U76" s="44"/>
      <c r="V76" s="44"/>
      <c r="W76" s="44"/>
      <c r="X76" s="44"/>
      <c r="Y76" s="44"/>
      <c r="Z76" s="44"/>
      <c r="AA76" s="44"/>
      <c r="AB76" s="44"/>
      <c r="AC76" s="44"/>
      <c r="AD76" s="44"/>
      <c r="AE76" s="44"/>
      <c r="AF76" s="44"/>
    </row>
    <row r="77" spans="1:32" s="17" customFormat="1" ht="15.75">
      <c r="A77" s="16"/>
      <c r="B77" s="147"/>
      <c r="C77" s="147"/>
      <c r="D77" s="147"/>
      <c r="E77" s="111" t="s">
        <v>527</v>
      </c>
      <c r="F77" s="118">
        <f t="shared" si="21"/>
        <v>18407700</v>
      </c>
      <c r="G77" s="118">
        <f>18366200+41500</f>
        <v>18407700</v>
      </c>
      <c r="H77" s="118">
        <f>15054300+33980</f>
        <v>15088280</v>
      </c>
      <c r="I77" s="118"/>
      <c r="J77" s="118"/>
      <c r="K77" s="118">
        <f t="shared" si="20"/>
        <v>0</v>
      </c>
      <c r="L77" s="118"/>
      <c r="M77" s="118"/>
      <c r="N77" s="118"/>
      <c r="O77" s="118"/>
      <c r="P77" s="118"/>
      <c r="Q77" s="118">
        <f t="shared" si="22"/>
        <v>18407700</v>
      </c>
      <c r="R77" s="247"/>
      <c r="S77" s="44"/>
      <c r="T77" s="44"/>
      <c r="U77" s="44"/>
      <c r="V77" s="44"/>
      <c r="W77" s="44"/>
      <c r="X77" s="44"/>
      <c r="Y77" s="44"/>
      <c r="Z77" s="44"/>
      <c r="AA77" s="44"/>
      <c r="AB77" s="44"/>
      <c r="AC77" s="44"/>
      <c r="AD77" s="44"/>
      <c r="AE77" s="44"/>
      <c r="AF77" s="44"/>
    </row>
    <row r="78" spans="1:32" s="17" customFormat="1" ht="35.25" customHeight="1">
      <c r="A78" s="16"/>
      <c r="B78" s="147" t="s">
        <v>81</v>
      </c>
      <c r="C78" s="147" t="s">
        <v>268</v>
      </c>
      <c r="D78" s="147" t="s">
        <v>269</v>
      </c>
      <c r="E78" s="111" t="s">
        <v>70</v>
      </c>
      <c r="F78" s="118">
        <f t="shared" si="21"/>
        <v>2730571</v>
      </c>
      <c r="G78" s="118">
        <f>2597420-63949+197100</f>
        <v>2730571</v>
      </c>
      <c r="H78" s="118">
        <f>2008070-69620+161500</f>
        <v>2099950</v>
      </c>
      <c r="I78" s="118">
        <f>105754+20986</f>
        <v>126740</v>
      </c>
      <c r="J78" s="118"/>
      <c r="K78" s="118">
        <f t="shared" si="20"/>
        <v>23000</v>
      </c>
      <c r="L78" s="118"/>
      <c r="M78" s="118"/>
      <c r="N78" s="118"/>
      <c r="O78" s="118">
        <v>23000</v>
      </c>
      <c r="P78" s="118">
        <v>23000</v>
      </c>
      <c r="Q78" s="118">
        <f t="shared" si="22"/>
        <v>2753571</v>
      </c>
      <c r="R78" s="247"/>
      <c r="S78" s="44"/>
      <c r="T78" s="44"/>
      <c r="U78" s="44"/>
      <c r="V78" s="44"/>
      <c r="W78" s="44"/>
      <c r="X78" s="44"/>
      <c r="Y78" s="44"/>
      <c r="Z78" s="44"/>
      <c r="AA78" s="44"/>
      <c r="AB78" s="44"/>
      <c r="AC78" s="44"/>
      <c r="AD78" s="44"/>
      <c r="AE78" s="44"/>
      <c r="AF78" s="44"/>
    </row>
    <row r="79" spans="1:32" s="17" customFormat="1" ht="20.25" customHeight="1">
      <c r="A79" s="16"/>
      <c r="B79" s="147" t="s">
        <v>82</v>
      </c>
      <c r="C79" s="147" t="s">
        <v>270</v>
      </c>
      <c r="D79" s="147" t="s">
        <v>269</v>
      </c>
      <c r="E79" s="111" t="s">
        <v>71</v>
      </c>
      <c r="F79" s="118">
        <f t="shared" si="21"/>
        <v>2303946</v>
      </c>
      <c r="G79" s="118">
        <f>2368630-64684</f>
        <v>2303946</v>
      </c>
      <c r="H79" s="118">
        <f>1722350-63370</f>
        <v>1658980</v>
      </c>
      <c r="I79" s="118">
        <f>103297+12613</f>
        <v>115910</v>
      </c>
      <c r="J79" s="118"/>
      <c r="K79" s="118">
        <f t="shared" si="20"/>
        <v>50000</v>
      </c>
      <c r="L79" s="118"/>
      <c r="M79" s="118"/>
      <c r="N79" s="118"/>
      <c r="O79" s="118">
        <v>50000</v>
      </c>
      <c r="P79" s="118">
        <v>50000</v>
      </c>
      <c r="Q79" s="118">
        <f t="shared" si="22"/>
        <v>2353946</v>
      </c>
      <c r="R79" s="247"/>
      <c r="S79" s="44"/>
      <c r="T79" s="44"/>
      <c r="U79" s="44"/>
      <c r="V79" s="44"/>
      <c r="W79" s="44"/>
      <c r="X79" s="44"/>
      <c r="Y79" s="44"/>
      <c r="Z79" s="44"/>
      <c r="AA79" s="44"/>
      <c r="AB79" s="44"/>
      <c r="AC79" s="44"/>
      <c r="AD79" s="44"/>
      <c r="AE79" s="44"/>
      <c r="AF79" s="44"/>
    </row>
    <row r="80" spans="1:32" s="17" customFormat="1" ht="34.5" customHeight="1">
      <c r="A80" s="16"/>
      <c r="B80" s="147" t="s">
        <v>83</v>
      </c>
      <c r="C80" s="147" t="s">
        <v>271</v>
      </c>
      <c r="D80" s="147" t="s">
        <v>269</v>
      </c>
      <c r="E80" s="111" t="s">
        <v>72</v>
      </c>
      <c r="F80" s="118">
        <f t="shared" si="21"/>
        <v>220318</v>
      </c>
      <c r="G80" s="118">
        <f>228260-7942</f>
        <v>220318</v>
      </c>
      <c r="H80" s="118">
        <f>179690-6850</f>
        <v>172840</v>
      </c>
      <c r="I80" s="118">
        <f>5487+410</f>
        <v>5897</v>
      </c>
      <c r="J80" s="118"/>
      <c r="K80" s="118">
        <f t="shared" si="20"/>
        <v>0</v>
      </c>
      <c r="L80" s="118"/>
      <c r="M80" s="118"/>
      <c r="N80" s="118"/>
      <c r="O80" s="118"/>
      <c r="P80" s="118"/>
      <c r="Q80" s="118">
        <f t="shared" si="22"/>
        <v>220318</v>
      </c>
      <c r="R80" s="247"/>
      <c r="S80" s="44"/>
      <c r="T80" s="44"/>
      <c r="U80" s="44"/>
      <c r="V80" s="44"/>
      <c r="W80" s="44"/>
      <c r="X80" s="44"/>
      <c r="Y80" s="44"/>
      <c r="Z80" s="44"/>
      <c r="AA80" s="44"/>
      <c r="AB80" s="44"/>
      <c r="AC80" s="44"/>
      <c r="AD80" s="44"/>
      <c r="AE80" s="44"/>
      <c r="AF80" s="44"/>
    </row>
    <row r="81" spans="1:32" s="17" customFormat="1" ht="19.5" customHeight="1">
      <c r="A81" s="16"/>
      <c r="B81" s="147" t="s">
        <v>84</v>
      </c>
      <c r="C81" s="147" t="s">
        <v>272</v>
      </c>
      <c r="D81" s="147" t="s">
        <v>269</v>
      </c>
      <c r="E81" s="111" t="s">
        <v>73</v>
      </c>
      <c r="F81" s="118">
        <f t="shared" si="21"/>
        <v>3547833</v>
      </c>
      <c r="G81" s="118">
        <f>3386183-28082+189732</f>
        <v>3547833</v>
      </c>
      <c r="H81" s="118">
        <f>2356460-58640+116500</f>
        <v>2414320</v>
      </c>
      <c r="I81" s="118">
        <f>312869+43166</f>
        <v>356035</v>
      </c>
      <c r="J81" s="118"/>
      <c r="K81" s="118">
        <f t="shared" si="20"/>
        <v>150000</v>
      </c>
      <c r="L81" s="118"/>
      <c r="M81" s="118"/>
      <c r="N81" s="118"/>
      <c r="O81" s="118">
        <v>150000</v>
      </c>
      <c r="P81" s="118">
        <v>150000</v>
      </c>
      <c r="Q81" s="118">
        <f t="shared" si="22"/>
        <v>3697833</v>
      </c>
      <c r="R81" s="247"/>
      <c r="S81" s="44"/>
      <c r="T81" s="44"/>
      <c r="U81" s="44"/>
      <c r="V81" s="44"/>
      <c r="W81" s="44"/>
      <c r="X81" s="44"/>
      <c r="Y81" s="44"/>
      <c r="Z81" s="44"/>
      <c r="AA81" s="44"/>
      <c r="AB81" s="44"/>
      <c r="AC81" s="44"/>
      <c r="AD81" s="44"/>
      <c r="AE81" s="44"/>
      <c r="AF81" s="44"/>
    </row>
    <row r="82" spans="1:32" s="17" customFormat="1" ht="18.75" customHeight="1">
      <c r="A82" s="16"/>
      <c r="B82" s="147" t="s">
        <v>85</v>
      </c>
      <c r="C82" s="147" t="s">
        <v>273</v>
      </c>
      <c r="D82" s="147" t="s">
        <v>269</v>
      </c>
      <c r="E82" s="111" t="s">
        <v>18</v>
      </c>
      <c r="F82" s="118">
        <f t="shared" si="21"/>
        <v>73780</v>
      </c>
      <c r="G82" s="118">
        <f aca="true" t="shared" si="23" ref="G82:P82">G83</f>
        <v>73780</v>
      </c>
      <c r="H82" s="118">
        <f t="shared" si="23"/>
        <v>0</v>
      </c>
      <c r="I82" s="118">
        <f t="shared" si="23"/>
        <v>0</v>
      </c>
      <c r="J82" s="118">
        <f t="shared" si="23"/>
        <v>0</v>
      </c>
      <c r="K82" s="118">
        <f t="shared" si="23"/>
        <v>0</v>
      </c>
      <c r="L82" s="118">
        <f t="shared" si="23"/>
        <v>0</v>
      </c>
      <c r="M82" s="118">
        <f t="shared" si="23"/>
        <v>0</v>
      </c>
      <c r="N82" s="118">
        <f t="shared" si="23"/>
        <v>0</v>
      </c>
      <c r="O82" s="118">
        <f t="shared" si="23"/>
        <v>0</v>
      </c>
      <c r="P82" s="118">
        <f t="shared" si="23"/>
        <v>0</v>
      </c>
      <c r="Q82" s="118">
        <f t="shared" si="22"/>
        <v>73780</v>
      </c>
      <c r="R82" s="247"/>
      <c r="S82" s="44"/>
      <c r="T82" s="44"/>
      <c r="U82" s="44"/>
      <c r="V82" s="44"/>
      <c r="W82" s="44"/>
      <c r="X82" s="44"/>
      <c r="Y82" s="44"/>
      <c r="Z82" s="44"/>
      <c r="AA82" s="44"/>
      <c r="AB82" s="44"/>
      <c r="AC82" s="44"/>
      <c r="AD82" s="44"/>
      <c r="AE82" s="44"/>
      <c r="AF82" s="44"/>
    </row>
    <row r="83" spans="1:32" s="36" customFormat="1" ht="36.75" customHeight="1">
      <c r="A83" s="35"/>
      <c r="B83" s="39" t="s">
        <v>85</v>
      </c>
      <c r="C83" s="39" t="s">
        <v>273</v>
      </c>
      <c r="D83" s="39" t="s">
        <v>269</v>
      </c>
      <c r="E83" s="37" t="s">
        <v>209</v>
      </c>
      <c r="F83" s="119">
        <f t="shared" si="21"/>
        <v>73780</v>
      </c>
      <c r="G83" s="119">
        <v>73780</v>
      </c>
      <c r="H83" s="119"/>
      <c r="I83" s="119"/>
      <c r="J83" s="119"/>
      <c r="K83" s="119">
        <f t="shared" si="20"/>
        <v>0</v>
      </c>
      <c r="L83" s="119"/>
      <c r="M83" s="119"/>
      <c r="N83" s="119"/>
      <c r="O83" s="119"/>
      <c r="P83" s="119"/>
      <c r="Q83" s="119">
        <f t="shared" si="22"/>
        <v>73780</v>
      </c>
      <c r="R83" s="247"/>
      <c r="S83" s="34"/>
      <c r="T83" s="34"/>
      <c r="U83" s="34"/>
      <c r="V83" s="34"/>
      <c r="W83" s="34"/>
      <c r="X83" s="34"/>
      <c r="Y83" s="34"/>
      <c r="Z83" s="34"/>
      <c r="AA83" s="34"/>
      <c r="AB83" s="34"/>
      <c r="AC83" s="34"/>
      <c r="AD83" s="34"/>
      <c r="AE83" s="34"/>
      <c r="AF83" s="34"/>
    </row>
    <row r="84" spans="1:32" s="17" customFormat="1" ht="46.5" customHeight="1">
      <c r="A84" s="25"/>
      <c r="B84" s="29" t="s">
        <v>87</v>
      </c>
      <c r="C84" s="29" t="s">
        <v>274</v>
      </c>
      <c r="D84" s="29" t="s">
        <v>269</v>
      </c>
      <c r="E84" s="26" t="s">
        <v>86</v>
      </c>
      <c r="F84" s="118">
        <f t="shared" si="21"/>
        <v>57920</v>
      </c>
      <c r="G84" s="118">
        <f>38010+19910</f>
        <v>57920</v>
      </c>
      <c r="H84" s="118"/>
      <c r="I84" s="118"/>
      <c r="J84" s="118"/>
      <c r="K84" s="118">
        <f t="shared" si="20"/>
        <v>0</v>
      </c>
      <c r="L84" s="118"/>
      <c r="M84" s="118"/>
      <c r="N84" s="118"/>
      <c r="O84" s="118"/>
      <c r="P84" s="118"/>
      <c r="Q84" s="118">
        <f t="shared" si="22"/>
        <v>57920</v>
      </c>
      <c r="R84" s="247"/>
      <c r="S84" s="44"/>
      <c r="T84" s="44"/>
      <c r="U84" s="44"/>
      <c r="V84" s="44"/>
      <c r="W84" s="44"/>
      <c r="X84" s="44"/>
      <c r="Y84" s="44"/>
      <c r="Z84" s="44"/>
      <c r="AA84" s="44"/>
      <c r="AB84" s="44"/>
      <c r="AC84" s="44"/>
      <c r="AD84" s="44"/>
      <c r="AE84" s="44"/>
      <c r="AF84" s="44"/>
    </row>
    <row r="85" spans="1:32" s="17" customFormat="1" ht="63.75" customHeight="1">
      <c r="A85" s="16"/>
      <c r="B85" s="147" t="s">
        <v>88</v>
      </c>
      <c r="C85" s="147" t="s">
        <v>415</v>
      </c>
      <c r="D85" s="147" t="s">
        <v>394</v>
      </c>
      <c r="E85" s="205" t="s">
        <v>39</v>
      </c>
      <c r="F85" s="118">
        <f t="shared" si="21"/>
        <v>5000000</v>
      </c>
      <c r="G85" s="118">
        <v>5000000</v>
      </c>
      <c r="H85" s="118"/>
      <c r="I85" s="118"/>
      <c r="J85" s="118"/>
      <c r="K85" s="118">
        <f t="shared" si="20"/>
        <v>0</v>
      </c>
      <c r="L85" s="118"/>
      <c r="M85" s="118"/>
      <c r="N85" s="118"/>
      <c r="O85" s="118"/>
      <c r="P85" s="118"/>
      <c r="Q85" s="118">
        <f t="shared" si="22"/>
        <v>5000000</v>
      </c>
      <c r="R85" s="247"/>
      <c r="S85" s="44"/>
      <c r="T85" s="44"/>
      <c r="U85" s="44"/>
      <c r="V85" s="44"/>
      <c r="W85" s="44"/>
      <c r="X85" s="44"/>
      <c r="Y85" s="44"/>
      <c r="Z85" s="44"/>
      <c r="AA85" s="44"/>
      <c r="AB85" s="44"/>
      <c r="AC85" s="44"/>
      <c r="AD85" s="44"/>
      <c r="AE85" s="44"/>
      <c r="AF85" s="44"/>
    </row>
    <row r="86" spans="1:32" s="17" customFormat="1" ht="23.25" customHeight="1">
      <c r="A86" s="16"/>
      <c r="B86" s="147" t="s">
        <v>513</v>
      </c>
      <c r="C86" s="147" t="s">
        <v>504</v>
      </c>
      <c r="D86" s="147"/>
      <c r="E86" s="205" t="s">
        <v>512</v>
      </c>
      <c r="F86" s="118">
        <f t="shared" si="21"/>
        <v>3696618</v>
      </c>
      <c r="G86" s="118">
        <f aca="true" t="shared" si="24" ref="G86:P86">G87</f>
        <v>3696618</v>
      </c>
      <c r="H86" s="118">
        <f t="shared" si="24"/>
        <v>2654888</v>
      </c>
      <c r="I86" s="118">
        <f t="shared" si="24"/>
        <v>241260</v>
      </c>
      <c r="J86" s="118">
        <f t="shared" si="24"/>
        <v>0</v>
      </c>
      <c r="K86" s="118">
        <f t="shared" si="20"/>
        <v>0</v>
      </c>
      <c r="L86" s="118">
        <f t="shared" si="24"/>
        <v>0</v>
      </c>
      <c r="M86" s="118">
        <f t="shared" si="24"/>
        <v>0</v>
      </c>
      <c r="N86" s="118">
        <f t="shared" si="24"/>
        <v>0</v>
      </c>
      <c r="O86" s="118">
        <f t="shared" si="24"/>
        <v>0</v>
      </c>
      <c r="P86" s="118">
        <f t="shared" si="24"/>
        <v>0</v>
      </c>
      <c r="Q86" s="118">
        <f t="shared" si="22"/>
        <v>3696618</v>
      </c>
      <c r="R86" s="247"/>
      <c r="S86" s="44"/>
      <c r="T86" s="44"/>
      <c r="U86" s="44"/>
      <c r="V86" s="44"/>
      <c r="W86" s="44"/>
      <c r="X86" s="44"/>
      <c r="Y86" s="44"/>
      <c r="Z86" s="44"/>
      <c r="AA86" s="44"/>
      <c r="AB86" s="44"/>
      <c r="AC86" s="44"/>
      <c r="AD86" s="44"/>
      <c r="AE86" s="44"/>
      <c r="AF86" s="44"/>
    </row>
    <row r="87" spans="1:32" s="36" customFormat="1" ht="35.25" customHeight="1">
      <c r="A87" s="35"/>
      <c r="B87" s="39" t="s">
        <v>514</v>
      </c>
      <c r="C87" s="39" t="s">
        <v>506</v>
      </c>
      <c r="D87" s="39" t="s">
        <v>324</v>
      </c>
      <c r="E87" s="206" t="s">
        <v>49</v>
      </c>
      <c r="F87" s="119">
        <f t="shared" si="21"/>
        <v>3696618</v>
      </c>
      <c r="G87" s="119">
        <f>3585110+10000+126200-33792+9100</f>
        <v>3696618</v>
      </c>
      <c r="H87" s="119">
        <f>2613610+103400-62122</f>
        <v>2654888</v>
      </c>
      <c r="I87" s="119">
        <f>199254+42006</f>
        <v>241260</v>
      </c>
      <c r="J87" s="119"/>
      <c r="K87" s="119">
        <f t="shared" si="20"/>
        <v>0</v>
      </c>
      <c r="L87" s="119"/>
      <c r="M87" s="119"/>
      <c r="N87" s="119"/>
      <c r="O87" s="119"/>
      <c r="P87" s="119"/>
      <c r="Q87" s="119">
        <f t="shared" si="22"/>
        <v>3696618</v>
      </c>
      <c r="R87" s="247"/>
      <c r="S87" s="34"/>
      <c r="T87" s="34"/>
      <c r="U87" s="34"/>
      <c r="V87" s="34"/>
      <c r="W87" s="34"/>
      <c r="X87" s="34"/>
      <c r="Y87" s="34"/>
      <c r="Z87" s="34"/>
      <c r="AA87" s="34"/>
      <c r="AB87" s="34"/>
      <c r="AC87" s="34"/>
      <c r="AD87" s="34"/>
      <c r="AE87" s="34"/>
      <c r="AF87" s="34"/>
    </row>
    <row r="88" spans="1:32" s="36" customFormat="1" ht="18" customHeight="1">
      <c r="A88" s="35"/>
      <c r="B88" s="29" t="s">
        <v>389</v>
      </c>
      <c r="C88" s="29" t="s">
        <v>347</v>
      </c>
      <c r="D88" s="29" t="s">
        <v>348</v>
      </c>
      <c r="E88" s="111" t="s">
        <v>154</v>
      </c>
      <c r="F88" s="118">
        <f t="shared" si="21"/>
        <v>569500</v>
      </c>
      <c r="G88" s="118">
        <v>569500</v>
      </c>
      <c r="H88" s="118"/>
      <c r="I88" s="118"/>
      <c r="J88" s="118"/>
      <c r="K88" s="118">
        <f>L88+O88</f>
        <v>3794460</v>
      </c>
      <c r="L88" s="118"/>
      <c r="M88" s="118"/>
      <c r="N88" s="118"/>
      <c r="O88" s="118">
        <v>3794460</v>
      </c>
      <c r="P88" s="118">
        <v>3794460</v>
      </c>
      <c r="Q88" s="118">
        <f t="shared" si="22"/>
        <v>4363960</v>
      </c>
      <c r="R88" s="247"/>
      <c r="S88" s="34"/>
      <c r="T88" s="34"/>
      <c r="U88" s="34"/>
      <c r="V88" s="34"/>
      <c r="W88" s="34"/>
      <c r="X88" s="34"/>
      <c r="Y88" s="34"/>
      <c r="Z88" s="34"/>
      <c r="AA88" s="34"/>
      <c r="AB88" s="34"/>
      <c r="AC88" s="34"/>
      <c r="AD88" s="34"/>
      <c r="AE88" s="34"/>
      <c r="AF88" s="34"/>
    </row>
    <row r="89" spans="1:32" s="36" customFormat="1" ht="32.25" customHeight="1">
      <c r="A89" s="35"/>
      <c r="B89" s="29" t="s">
        <v>218</v>
      </c>
      <c r="C89" s="29" t="s">
        <v>371</v>
      </c>
      <c r="D89" s="29" t="s">
        <v>372</v>
      </c>
      <c r="E89" s="111" t="s">
        <v>216</v>
      </c>
      <c r="F89" s="118">
        <f t="shared" si="21"/>
        <v>0</v>
      </c>
      <c r="G89" s="118"/>
      <c r="H89" s="118"/>
      <c r="I89" s="118"/>
      <c r="J89" s="119"/>
      <c r="K89" s="118">
        <f t="shared" si="20"/>
        <v>44600</v>
      </c>
      <c r="L89" s="118">
        <v>44600</v>
      </c>
      <c r="M89" s="118"/>
      <c r="N89" s="118"/>
      <c r="O89" s="118"/>
      <c r="P89" s="118"/>
      <c r="Q89" s="118">
        <f t="shared" si="22"/>
        <v>44600</v>
      </c>
      <c r="R89" s="247"/>
      <c r="S89" s="34"/>
      <c r="T89" s="34"/>
      <c r="U89" s="34"/>
      <c r="V89" s="34"/>
      <c r="W89" s="34"/>
      <c r="X89" s="34"/>
      <c r="Y89" s="34"/>
      <c r="Z89" s="34"/>
      <c r="AA89" s="34"/>
      <c r="AB89" s="34"/>
      <c r="AC89" s="34"/>
      <c r="AD89" s="34"/>
      <c r="AE89" s="34"/>
      <c r="AF89" s="34"/>
    </row>
    <row r="90" spans="1:32" s="36" customFormat="1" ht="27.75" customHeight="1">
      <c r="A90" s="35"/>
      <c r="B90" s="29" t="s">
        <v>219</v>
      </c>
      <c r="C90" s="29" t="s">
        <v>373</v>
      </c>
      <c r="D90" s="29" t="s">
        <v>356</v>
      </c>
      <c r="E90" s="111" t="s">
        <v>19</v>
      </c>
      <c r="F90" s="118">
        <f t="shared" si="21"/>
        <v>0</v>
      </c>
      <c r="G90" s="118"/>
      <c r="H90" s="118"/>
      <c r="I90" s="118"/>
      <c r="J90" s="119"/>
      <c r="K90" s="118">
        <f t="shared" si="20"/>
        <v>265000</v>
      </c>
      <c r="L90" s="118">
        <v>220200</v>
      </c>
      <c r="M90" s="118"/>
      <c r="N90" s="118"/>
      <c r="O90" s="118">
        <v>44800</v>
      </c>
      <c r="P90" s="118"/>
      <c r="Q90" s="118">
        <f t="shared" si="22"/>
        <v>265000</v>
      </c>
      <c r="R90" s="247"/>
      <c r="S90" s="34"/>
      <c r="T90" s="34"/>
      <c r="U90" s="34"/>
      <c r="V90" s="34"/>
      <c r="W90" s="34"/>
      <c r="X90" s="34"/>
      <c r="Y90" s="34"/>
      <c r="Z90" s="34"/>
      <c r="AA90" s="34"/>
      <c r="AB90" s="34"/>
      <c r="AC90" s="34"/>
      <c r="AD90" s="34"/>
      <c r="AE90" s="34"/>
      <c r="AF90" s="34"/>
    </row>
    <row r="91" spans="1:32" s="116" customFormat="1" ht="29.25" customHeight="1">
      <c r="A91" s="113"/>
      <c r="B91" s="131" t="s">
        <v>90</v>
      </c>
      <c r="C91" s="131"/>
      <c r="D91" s="131"/>
      <c r="E91" s="19" t="s">
        <v>89</v>
      </c>
      <c r="F91" s="126">
        <f>F92</f>
        <v>326409418</v>
      </c>
      <c r="G91" s="126">
        <f aca="true" t="shared" si="25" ref="G91:Q91">G92</f>
        <v>326409418</v>
      </c>
      <c r="H91" s="126">
        <f t="shared" si="25"/>
        <v>492500</v>
      </c>
      <c r="I91" s="126">
        <f t="shared" si="25"/>
        <v>27400</v>
      </c>
      <c r="J91" s="126">
        <f t="shared" si="25"/>
        <v>0</v>
      </c>
      <c r="K91" s="126">
        <f t="shared" si="25"/>
        <v>50330483</v>
      </c>
      <c r="L91" s="126">
        <f t="shared" si="25"/>
        <v>12622623</v>
      </c>
      <c r="M91" s="126">
        <f t="shared" si="25"/>
        <v>0</v>
      </c>
      <c r="N91" s="126">
        <f t="shared" si="25"/>
        <v>0</v>
      </c>
      <c r="O91" s="126">
        <f t="shared" si="25"/>
        <v>37707860</v>
      </c>
      <c r="P91" s="126">
        <f t="shared" si="25"/>
        <v>37516050</v>
      </c>
      <c r="Q91" s="126">
        <f t="shared" si="25"/>
        <v>376739901</v>
      </c>
      <c r="R91" s="247"/>
      <c r="S91" s="115"/>
      <c r="T91" s="115"/>
      <c r="U91" s="115"/>
      <c r="V91" s="115"/>
      <c r="W91" s="115"/>
      <c r="X91" s="115"/>
      <c r="Y91" s="115"/>
      <c r="Z91" s="115"/>
      <c r="AA91" s="115"/>
      <c r="AB91" s="115"/>
      <c r="AC91" s="115"/>
      <c r="AD91" s="115"/>
      <c r="AE91" s="115"/>
      <c r="AF91" s="115"/>
    </row>
    <row r="92" spans="1:32" s="221" customFormat="1" ht="25.5" customHeight="1">
      <c r="A92" s="219"/>
      <c r="B92" s="131" t="s">
        <v>90</v>
      </c>
      <c r="C92" s="131"/>
      <c r="D92" s="131"/>
      <c r="E92" s="137" t="s">
        <v>89</v>
      </c>
      <c r="F92" s="135">
        <f>F94+F95+F97+F101+F103+F105+F111+F99+F116+F107</f>
        <v>326409418</v>
      </c>
      <c r="G92" s="135">
        <f aca="true" t="shared" si="26" ref="G92:Q92">G94+G95+G97+G101+G103+G105+G111+G99+G116+G107</f>
        <v>326409418</v>
      </c>
      <c r="H92" s="135">
        <f t="shared" si="26"/>
        <v>492500</v>
      </c>
      <c r="I92" s="135">
        <f t="shared" si="26"/>
        <v>27400</v>
      </c>
      <c r="J92" s="135">
        <f t="shared" si="26"/>
        <v>0</v>
      </c>
      <c r="K92" s="135">
        <f t="shared" si="26"/>
        <v>50330483</v>
      </c>
      <c r="L92" s="135">
        <f t="shared" si="26"/>
        <v>12622623</v>
      </c>
      <c r="M92" s="135">
        <f t="shared" si="26"/>
        <v>0</v>
      </c>
      <c r="N92" s="135">
        <f t="shared" si="26"/>
        <v>0</v>
      </c>
      <c r="O92" s="135">
        <f t="shared" si="26"/>
        <v>37707860</v>
      </c>
      <c r="P92" s="135">
        <f t="shared" si="26"/>
        <v>37516050</v>
      </c>
      <c r="Q92" s="135">
        <f t="shared" si="26"/>
        <v>376739901</v>
      </c>
      <c r="R92" s="247"/>
      <c r="S92" s="220"/>
      <c r="T92" s="220"/>
      <c r="U92" s="220"/>
      <c r="V92" s="220"/>
      <c r="W92" s="220"/>
      <c r="X92" s="220"/>
      <c r="Y92" s="220"/>
      <c r="Z92" s="220"/>
      <c r="AA92" s="220"/>
      <c r="AB92" s="220"/>
      <c r="AC92" s="220"/>
      <c r="AD92" s="220"/>
      <c r="AE92" s="220"/>
      <c r="AF92" s="220"/>
    </row>
    <row r="93" spans="1:32" s="17" customFormat="1" ht="15" customHeight="1">
      <c r="A93" s="181"/>
      <c r="B93" s="112"/>
      <c r="C93" s="112"/>
      <c r="D93" s="112"/>
      <c r="E93" s="111" t="s">
        <v>526</v>
      </c>
      <c r="F93" s="118">
        <f>F96+F98+F102+F104+F112+F106+F100+F108</f>
        <v>243177356</v>
      </c>
      <c r="G93" s="118">
        <f aca="true" t="shared" si="27" ref="G93:Q93">G96+G98+G102+G104+G112+G106+G100+G108</f>
        <v>243177356</v>
      </c>
      <c r="H93" s="118">
        <f t="shared" si="27"/>
        <v>0</v>
      </c>
      <c r="I93" s="118">
        <f t="shared" si="27"/>
        <v>0</v>
      </c>
      <c r="J93" s="118">
        <f t="shared" si="27"/>
        <v>0</v>
      </c>
      <c r="K93" s="118">
        <f t="shared" si="27"/>
        <v>0</v>
      </c>
      <c r="L93" s="118">
        <f t="shared" si="27"/>
        <v>0</v>
      </c>
      <c r="M93" s="118">
        <f t="shared" si="27"/>
        <v>0</v>
      </c>
      <c r="N93" s="118">
        <f t="shared" si="27"/>
        <v>0</v>
      </c>
      <c r="O93" s="118">
        <f t="shared" si="27"/>
        <v>0</v>
      </c>
      <c r="P93" s="118">
        <f t="shared" si="27"/>
        <v>0</v>
      </c>
      <c r="Q93" s="118">
        <f t="shared" si="27"/>
        <v>243177356</v>
      </c>
      <c r="R93" s="247"/>
      <c r="S93" s="44"/>
      <c r="T93" s="44"/>
      <c r="U93" s="44"/>
      <c r="V93" s="44"/>
      <c r="W93" s="44"/>
      <c r="X93" s="44"/>
      <c r="Y93" s="44"/>
      <c r="Z93" s="44"/>
      <c r="AA93" s="44"/>
      <c r="AB93" s="44"/>
      <c r="AC93" s="44"/>
      <c r="AD93" s="44"/>
      <c r="AE93" s="44"/>
      <c r="AF93" s="44"/>
    </row>
    <row r="94" spans="1:32" s="17" customFormat="1" ht="49.5" customHeight="1">
      <c r="A94" s="16"/>
      <c r="B94" s="147" t="s">
        <v>91</v>
      </c>
      <c r="C94" s="147" t="s">
        <v>251</v>
      </c>
      <c r="D94" s="147" t="s">
        <v>252</v>
      </c>
      <c r="E94" s="111" t="s">
        <v>536</v>
      </c>
      <c r="F94" s="118">
        <f aca="true" t="shared" si="28" ref="F94:F116">G94+J94</f>
        <v>695900</v>
      </c>
      <c r="G94" s="118">
        <f>714500+3500-22100</f>
        <v>695900</v>
      </c>
      <c r="H94" s="118">
        <v>492500</v>
      </c>
      <c r="I94" s="118">
        <f>23900+3500</f>
        <v>27400</v>
      </c>
      <c r="J94" s="118"/>
      <c r="K94" s="118">
        <f aca="true" t="shared" si="29" ref="K94:K114">L94+O94</f>
        <v>13000</v>
      </c>
      <c r="L94" s="118"/>
      <c r="M94" s="118"/>
      <c r="N94" s="118"/>
      <c r="O94" s="118">
        <v>13000</v>
      </c>
      <c r="P94" s="118">
        <v>13000</v>
      </c>
      <c r="Q94" s="118">
        <f t="shared" si="22"/>
        <v>708900</v>
      </c>
      <c r="R94" s="247"/>
      <c r="S94" s="44"/>
      <c r="T94" s="44"/>
      <c r="U94" s="44"/>
      <c r="V94" s="44"/>
      <c r="W94" s="44"/>
      <c r="X94" s="44"/>
      <c r="Y94" s="44"/>
      <c r="Z94" s="44"/>
      <c r="AA94" s="44"/>
      <c r="AB94" s="44"/>
      <c r="AC94" s="44"/>
      <c r="AD94" s="44"/>
      <c r="AE94" s="44"/>
      <c r="AF94" s="44"/>
    </row>
    <row r="95" spans="1:32" s="17" customFormat="1" ht="15" customHeight="1">
      <c r="A95" s="16"/>
      <c r="B95" s="147" t="s">
        <v>93</v>
      </c>
      <c r="C95" s="147" t="s">
        <v>277</v>
      </c>
      <c r="D95" s="147" t="s">
        <v>278</v>
      </c>
      <c r="E95" s="111" t="s">
        <v>92</v>
      </c>
      <c r="F95" s="118">
        <f t="shared" si="28"/>
        <v>262562844</v>
      </c>
      <c r="G95" s="118">
        <f>243649288+12107548+5508000+430000+565208+150000+199000-56200+10000</f>
        <v>262562844</v>
      </c>
      <c r="H95" s="118">
        <f>161043787-1996817-159507856+460886</f>
        <v>0</v>
      </c>
      <c r="I95" s="118">
        <f>18583106-21652058+2996184+72768</f>
        <v>0</v>
      </c>
      <c r="J95" s="118"/>
      <c r="K95" s="118">
        <f t="shared" si="29"/>
        <v>38947683</v>
      </c>
      <c r="L95" s="118">
        <v>8677823</v>
      </c>
      <c r="M95" s="118">
        <f>4904947-4904947</f>
        <v>0</v>
      </c>
      <c r="N95" s="118">
        <f>190538-190538</f>
        <v>0</v>
      </c>
      <c r="O95" s="118">
        <f>22341810+2500000+3000000+2025000+368050+35000</f>
        <v>30269860</v>
      </c>
      <c r="P95" s="118">
        <f>22150000+2500000+3000000+2025000+368050+35000</f>
        <v>30078050</v>
      </c>
      <c r="Q95" s="118">
        <f t="shared" si="22"/>
        <v>301510527</v>
      </c>
      <c r="R95" s="247"/>
      <c r="S95" s="44"/>
      <c r="T95" s="44"/>
      <c r="U95" s="44"/>
      <c r="V95" s="44"/>
      <c r="W95" s="44"/>
      <c r="X95" s="44"/>
      <c r="Y95" s="44"/>
      <c r="Z95" s="44"/>
      <c r="AA95" s="44"/>
      <c r="AB95" s="44"/>
      <c r="AC95" s="44"/>
      <c r="AD95" s="44"/>
      <c r="AE95" s="44"/>
      <c r="AF95" s="44"/>
    </row>
    <row r="96" spans="1:32" s="17" customFormat="1" ht="15.75">
      <c r="A96" s="16"/>
      <c r="B96" s="148"/>
      <c r="C96" s="148"/>
      <c r="D96" s="148"/>
      <c r="E96" s="111" t="s">
        <v>526</v>
      </c>
      <c r="F96" s="118">
        <f t="shared" si="28"/>
        <v>198850887</v>
      </c>
      <c r="G96" s="118">
        <f>185378560+12107548+1364779</f>
        <v>198850887</v>
      </c>
      <c r="H96" s="118">
        <f>152200885+1118770-153780541+460886</f>
        <v>0</v>
      </c>
      <c r="I96" s="118">
        <f>-72768+72768</f>
        <v>0</v>
      </c>
      <c r="J96" s="118"/>
      <c r="K96" s="118">
        <f t="shared" si="29"/>
        <v>0</v>
      </c>
      <c r="L96" s="118"/>
      <c r="M96" s="118"/>
      <c r="N96" s="118"/>
      <c r="O96" s="118"/>
      <c r="P96" s="118"/>
      <c r="Q96" s="118">
        <f t="shared" si="22"/>
        <v>198850887</v>
      </c>
      <c r="R96" s="247"/>
      <c r="S96" s="44"/>
      <c r="T96" s="44"/>
      <c r="U96" s="44"/>
      <c r="V96" s="44"/>
      <c r="W96" s="44"/>
      <c r="X96" s="44"/>
      <c r="Y96" s="44"/>
      <c r="Z96" s="44"/>
      <c r="AA96" s="44"/>
      <c r="AB96" s="44"/>
      <c r="AC96" s="44"/>
      <c r="AD96" s="44"/>
      <c r="AE96" s="44"/>
      <c r="AF96" s="44"/>
    </row>
    <row r="97" spans="1:32" s="17" customFormat="1" ht="30">
      <c r="A97" s="16"/>
      <c r="B97" s="147" t="s">
        <v>95</v>
      </c>
      <c r="C97" s="147" t="s">
        <v>279</v>
      </c>
      <c r="D97" s="147" t="s">
        <v>280</v>
      </c>
      <c r="E97" s="111" t="s">
        <v>94</v>
      </c>
      <c r="F97" s="118">
        <f t="shared" si="28"/>
        <v>29977760</v>
      </c>
      <c r="G97" s="118">
        <f>28161038+1498800+192942+150000-25020</f>
        <v>29977760</v>
      </c>
      <c r="H97" s="118">
        <f>18494577-18200890-293687</f>
        <v>0</v>
      </c>
      <c r="I97" s="118">
        <f>3304431-3855084+550653</f>
        <v>0</v>
      </c>
      <c r="J97" s="118"/>
      <c r="K97" s="118">
        <f t="shared" si="29"/>
        <v>3524000</v>
      </c>
      <c r="L97" s="118">
        <v>24000</v>
      </c>
      <c r="M97" s="118">
        <f>8800-8800</f>
        <v>0</v>
      </c>
      <c r="N97" s="118">
        <f>2050-2050</f>
        <v>0</v>
      </c>
      <c r="O97" s="118">
        <f>3500000</f>
        <v>3500000</v>
      </c>
      <c r="P97" s="118">
        <v>3500000</v>
      </c>
      <c r="Q97" s="118">
        <f t="shared" si="22"/>
        <v>33501760</v>
      </c>
      <c r="R97" s="247"/>
      <c r="S97" s="44"/>
      <c r="T97" s="44"/>
      <c r="U97" s="44"/>
      <c r="V97" s="44"/>
      <c r="W97" s="44"/>
      <c r="X97" s="44"/>
      <c r="Y97" s="44"/>
      <c r="Z97" s="44"/>
      <c r="AA97" s="44"/>
      <c r="AB97" s="44"/>
      <c r="AC97" s="44"/>
      <c r="AD97" s="44"/>
      <c r="AE97" s="44"/>
      <c r="AF97" s="44"/>
    </row>
    <row r="98" spans="1:32" s="17" customFormat="1" ht="15.75">
      <c r="A98" s="16"/>
      <c r="B98" s="148"/>
      <c r="C98" s="148"/>
      <c r="D98" s="148"/>
      <c r="E98" s="111" t="s">
        <v>527</v>
      </c>
      <c r="F98" s="118">
        <f t="shared" si="28"/>
        <v>20152092</v>
      </c>
      <c r="G98" s="118">
        <f>20867500-715408</f>
        <v>20152092</v>
      </c>
      <c r="H98" s="118">
        <f>17132600-16545800-586800</f>
        <v>0</v>
      </c>
      <c r="I98" s="118"/>
      <c r="J98" s="118"/>
      <c r="K98" s="118">
        <f t="shared" si="29"/>
        <v>0</v>
      </c>
      <c r="L98" s="118"/>
      <c r="M98" s="118"/>
      <c r="N98" s="118"/>
      <c r="O98" s="118"/>
      <c r="P98" s="118"/>
      <c r="Q98" s="118">
        <f t="shared" si="22"/>
        <v>20152092</v>
      </c>
      <c r="R98" s="247"/>
      <c r="S98" s="44"/>
      <c r="T98" s="44"/>
      <c r="U98" s="44"/>
      <c r="V98" s="44"/>
      <c r="W98" s="44"/>
      <c r="X98" s="44"/>
      <c r="Y98" s="44"/>
      <c r="Z98" s="44"/>
      <c r="AA98" s="44"/>
      <c r="AB98" s="44"/>
      <c r="AC98" s="44"/>
      <c r="AD98" s="44"/>
      <c r="AE98" s="44"/>
      <c r="AF98" s="44"/>
    </row>
    <row r="99" spans="1:32" s="17" customFormat="1" ht="23.25" customHeight="1">
      <c r="A99" s="16"/>
      <c r="B99" s="82" t="s">
        <v>187</v>
      </c>
      <c r="C99" s="82" t="s">
        <v>281</v>
      </c>
      <c r="D99" s="82" t="s">
        <v>282</v>
      </c>
      <c r="E99" s="111" t="s">
        <v>416</v>
      </c>
      <c r="F99" s="118">
        <f t="shared" si="28"/>
        <v>2282045</v>
      </c>
      <c r="G99" s="118">
        <f>2300281+33700-51936</f>
        <v>2282045</v>
      </c>
      <c r="H99" s="118">
        <f>1761860-1704980-56880</f>
        <v>0</v>
      </c>
      <c r="I99" s="118">
        <f>101807-119095+17288</f>
        <v>0</v>
      </c>
      <c r="J99" s="118"/>
      <c r="K99" s="118">
        <f t="shared" si="29"/>
        <v>412100</v>
      </c>
      <c r="L99" s="118">
        <v>412100</v>
      </c>
      <c r="M99" s="118">
        <f>105000-105000</f>
        <v>0</v>
      </c>
      <c r="N99" s="118">
        <f>147982-147982</f>
        <v>0</v>
      </c>
      <c r="O99" s="118">
        <f>O71</f>
        <v>0</v>
      </c>
      <c r="P99" s="118">
        <f>P71</f>
        <v>0</v>
      </c>
      <c r="Q99" s="118">
        <f t="shared" si="22"/>
        <v>2694145</v>
      </c>
      <c r="R99" s="247"/>
      <c r="S99" s="44"/>
      <c r="T99" s="44"/>
      <c r="U99" s="44"/>
      <c r="V99" s="44"/>
      <c r="W99" s="44"/>
      <c r="X99" s="44"/>
      <c r="Y99" s="44"/>
      <c r="Z99" s="44"/>
      <c r="AA99" s="44"/>
      <c r="AB99" s="44"/>
      <c r="AC99" s="44"/>
      <c r="AD99" s="44"/>
      <c r="AE99" s="44"/>
      <c r="AF99" s="44"/>
    </row>
    <row r="100" spans="1:32" s="17" customFormat="1" ht="15" customHeight="1">
      <c r="A100" s="16"/>
      <c r="B100" s="82"/>
      <c r="C100" s="82"/>
      <c r="D100" s="82"/>
      <c r="E100" s="111" t="s">
        <v>527</v>
      </c>
      <c r="F100" s="118">
        <f t="shared" si="28"/>
        <v>1744691</v>
      </c>
      <c r="G100" s="118">
        <f>1977420-232729</f>
        <v>1744691</v>
      </c>
      <c r="H100" s="118">
        <f>1623500-1433600-189900</f>
        <v>0</v>
      </c>
      <c r="I100" s="118"/>
      <c r="J100" s="118"/>
      <c r="K100" s="118">
        <f t="shared" si="29"/>
        <v>0</v>
      </c>
      <c r="L100" s="118">
        <f>L72</f>
        <v>0</v>
      </c>
      <c r="M100" s="118">
        <f>M72</f>
        <v>0</v>
      </c>
      <c r="N100" s="118">
        <f>N72</f>
        <v>0</v>
      </c>
      <c r="O100" s="118">
        <f>O72</f>
        <v>0</v>
      </c>
      <c r="P100" s="118">
        <f>P72</f>
        <v>0</v>
      </c>
      <c r="Q100" s="118">
        <f t="shared" si="22"/>
        <v>1744691</v>
      </c>
      <c r="R100" s="247"/>
      <c r="S100" s="44"/>
      <c r="T100" s="44"/>
      <c r="U100" s="44"/>
      <c r="V100" s="44"/>
      <c r="W100" s="44"/>
      <c r="X100" s="44"/>
      <c r="Y100" s="44"/>
      <c r="Z100" s="44"/>
      <c r="AA100" s="44"/>
      <c r="AB100" s="44"/>
      <c r="AC100" s="44"/>
      <c r="AD100" s="44"/>
      <c r="AE100" s="44"/>
      <c r="AF100" s="44"/>
    </row>
    <row r="101" spans="1:32" s="17" customFormat="1" ht="21.75" customHeight="1">
      <c r="A101" s="16"/>
      <c r="B101" s="147" t="s">
        <v>97</v>
      </c>
      <c r="C101" s="147" t="s">
        <v>283</v>
      </c>
      <c r="D101" s="147" t="s">
        <v>284</v>
      </c>
      <c r="E101" s="111" t="s">
        <v>96</v>
      </c>
      <c r="F101" s="118">
        <f t="shared" si="28"/>
        <v>7298882</v>
      </c>
      <c r="G101" s="118">
        <f>6763216+677800-142134</f>
        <v>7298882</v>
      </c>
      <c r="H101" s="118">
        <f>4844273-4671090-173183</f>
        <v>0</v>
      </c>
      <c r="I101" s="118">
        <f>416191-485340+69149</f>
        <v>0</v>
      </c>
      <c r="J101" s="118"/>
      <c r="K101" s="118">
        <f t="shared" si="29"/>
        <v>4352000</v>
      </c>
      <c r="L101" s="118">
        <v>3352000</v>
      </c>
      <c r="M101" s="118">
        <f>2200000-2200000</f>
        <v>0</v>
      </c>
      <c r="N101" s="118">
        <f>166273-166273</f>
        <v>0</v>
      </c>
      <c r="O101" s="118">
        <v>1000000</v>
      </c>
      <c r="P101" s="118">
        <v>1000000</v>
      </c>
      <c r="Q101" s="118">
        <f t="shared" si="22"/>
        <v>11650882</v>
      </c>
      <c r="R101" s="247"/>
      <c r="S101" s="44"/>
      <c r="T101" s="44"/>
      <c r="U101" s="44"/>
      <c r="V101" s="44"/>
      <c r="W101" s="44"/>
      <c r="X101" s="44"/>
      <c r="Y101" s="44"/>
      <c r="Z101" s="44"/>
      <c r="AA101" s="44"/>
      <c r="AB101" s="44"/>
      <c r="AC101" s="44"/>
      <c r="AD101" s="44"/>
      <c r="AE101" s="44"/>
      <c r="AF101" s="44"/>
    </row>
    <row r="102" spans="1:32" s="17" customFormat="1" ht="15.75">
      <c r="A102" s="16"/>
      <c r="B102" s="148"/>
      <c r="C102" s="148"/>
      <c r="D102" s="148"/>
      <c r="E102" s="111" t="s">
        <v>527</v>
      </c>
      <c r="F102" s="118">
        <f t="shared" si="28"/>
        <v>5156330</v>
      </c>
      <c r="G102" s="118">
        <f>5229400-73070</f>
        <v>5156330</v>
      </c>
      <c r="H102" s="118">
        <f>4286400-4226500-59900</f>
        <v>0</v>
      </c>
      <c r="I102" s="118"/>
      <c r="J102" s="118"/>
      <c r="K102" s="118">
        <f t="shared" si="29"/>
        <v>0</v>
      </c>
      <c r="L102" s="118"/>
      <c r="M102" s="118"/>
      <c r="N102" s="118"/>
      <c r="O102" s="118"/>
      <c r="P102" s="118"/>
      <c r="Q102" s="118">
        <f t="shared" si="22"/>
        <v>5156330</v>
      </c>
      <c r="R102" s="247"/>
      <c r="S102" s="44"/>
      <c r="T102" s="44"/>
      <c r="U102" s="44"/>
      <c r="V102" s="44"/>
      <c r="W102" s="44"/>
      <c r="X102" s="44"/>
      <c r="Y102" s="44"/>
      <c r="Z102" s="44"/>
      <c r="AA102" s="44"/>
      <c r="AB102" s="44"/>
      <c r="AC102" s="44"/>
      <c r="AD102" s="44"/>
      <c r="AE102" s="44"/>
      <c r="AF102" s="44"/>
    </row>
    <row r="103" spans="1:32" s="17" customFormat="1" ht="15.75">
      <c r="A103" s="16"/>
      <c r="B103" s="147" t="s">
        <v>99</v>
      </c>
      <c r="C103" s="147" t="s">
        <v>285</v>
      </c>
      <c r="D103" s="147" t="s">
        <v>286</v>
      </c>
      <c r="E103" s="111" t="s">
        <v>98</v>
      </c>
      <c r="F103" s="118">
        <f t="shared" si="28"/>
        <v>14520691</v>
      </c>
      <c r="G103" s="118">
        <f>15160975+211200-849984-1500</f>
        <v>14520691</v>
      </c>
      <c r="H103" s="118">
        <f>10325773-9562860-762913</f>
        <v>0</v>
      </c>
      <c r="I103" s="118">
        <f>541867-620349+78482</f>
        <v>0</v>
      </c>
      <c r="J103" s="118"/>
      <c r="K103" s="118">
        <f t="shared" si="29"/>
        <v>1881700</v>
      </c>
      <c r="L103" s="118">
        <v>156700</v>
      </c>
      <c r="M103" s="118">
        <f>26000-26000</f>
        <v>0</v>
      </c>
      <c r="N103" s="118">
        <f>19941-19941</f>
        <v>0</v>
      </c>
      <c r="O103" s="118">
        <f>1250000+475000</f>
        <v>1725000</v>
      </c>
      <c r="P103" s="118">
        <f>1250000+475000</f>
        <v>1725000</v>
      </c>
      <c r="Q103" s="118">
        <f t="shared" si="22"/>
        <v>16402391</v>
      </c>
      <c r="R103" s="247"/>
      <c r="S103" s="44"/>
      <c r="T103" s="44"/>
      <c r="U103" s="44"/>
      <c r="V103" s="44"/>
      <c r="W103" s="44"/>
      <c r="X103" s="44"/>
      <c r="Y103" s="44"/>
      <c r="Z103" s="44"/>
      <c r="AA103" s="44"/>
      <c r="AB103" s="44"/>
      <c r="AC103" s="44"/>
      <c r="AD103" s="44"/>
      <c r="AE103" s="44"/>
      <c r="AF103" s="44"/>
    </row>
    <row r="104" spans="1:32" s="17" customFormat="1" ht="15.75">
      <c r="A104" s="16"/>
      <c r="B104" s="148"/>
      <c r="C104" s="148"/>
      <c r="D104" s="148"/>
      <c r="E104" s="111" t="s">
        <v>527</v>
      </c>
      <c r="F104" s="118">
        <f t="shared" si="28"/>
        <v>10538125</v>
      </c>
      <c r="G104" s="118">
        <f>10831100-292975</f>
        <v>10538125</v>
      </c>
      <c r="H104" s="118">
        <f>8899800-8659100-240700</f>
        <v>0</v>
      </c>
      <c r="I104" s="118"/>
      <c r="J104" s="118"/>
      <c r="K104" s="118">
        <f t="shared" si="29"/>
        <v>0</v>
      </c>
      <c r="L104" s="118"/>
      <c r="M104" s="118"/>
      <c r="N104" s="118"/>
      <c r="O104" s="118"/>
      <c r="P104" s="118"/>
      <c r="Q104" s="118">
        <f t="shared" si="22"/>
        <v>10538125</v>
      </c>
      <c r="R104" s="247" t="s">
        <v>549</v>
      </c>
      <c r="S104" s="44"/>
      <c r="T104" s="44"/>
      <c r="U104" s="44"/>
      <c r="V104" s="44"/>
      <c r="W104" s="44"/>
      <c r="X104" s="44"/>
      <c r="Y104" s="44"/>
      <c r="Z104" s="44"/>
      <c r="AA104" s="44"/>
      <c r="AB104" s="44"/>
      <c r="AC104" s="44"/>
      <c r="AD104" s="44"/>
      <c r="AE104" s="44"/>
      <c r="AF104" s="44"/>
    </row>
    <row r="105" spans="1:32" s="17" customFormat="1" ht="58.5" customHeight="1">
      <c r="A105" s="16"/>
      <c r="B105" s="82" t="s">
        <v>104</v>
      </c>
      <c r="C105" s="82" t="s">
        <v>287</v>
      </c>
      <c r="D105" s="82" t="s">
        <v>288</v>
      </c>
      <c r="E105" s="111" t="s">
        <v>20</v>
      </c>
      <c r="F105" s="118">
        <f t="shared" si="28"/>
        <v>898410</v>
      </c>
      <c r="G105" s="118">
        <f>1003653-105243</f>
        <v>898410</v>
      </c>
      <c r="H105" s="118">
        <f>684083-596400-87683</f>
        <v>0</v>
      </c>
      <c r="I105" s="118">
        <f>24172-25902+1730</f>
        <v>0</v>
      </c>
      <c r="J105" s="118"/>
      <c r="K105" s="118">
        <f t="shared" si="29"/>
        <v>0</v>
      </c>
      <c r="L105" s="118"/>
      <c r="M105" s="118"/>
      <c r="N105" s="118"/>
      <c r="O105" s="118"/>
      <c r="P105" s="118"/>
      <c r="Q105" s="118">
        <f t="shared" si="22"/>
        <v>898410</v>
      </c>
      <c r="R105" s="247"/>
      <c r="S105" s="44"/>
      <c r="T105" s="44"/>
      <c r="U105" s="44"/>
      <c r="V105" s="44"/>
      <c r="W105" s="44"/>
      <c r="X105" s="44"/>
      <c r="Y105" s="44"/>
      <c r="Z105" s="44"/>
      <c r="AA105" s="44"/>
      <c r="AB105" s="44"/>
      <c r="AC105" s="44"/>
      <c r="AD105" s="44"/>
      <c r="AE105" s="44"/>
      <c r="AF105" s="44"/>
    </row>
    <row r="106" spans="1:32" s="17" customFormat="1" ht="40.5" customHeight="1">
      <c r="A106" s="16"/>
      <c r="B106" s="148"/>
      <c r="C106" s="148"/>
      <c r="D106" s="148"/>
      <c r="E106" s="111" t="s">
        <v>527</v>
      </c>
      <c r="F106" s="118">
        <f t="shared" si="28"/>
        <v>727608</v>
      </c>
      <c r="G106" s="118">
        <f>756280-28672</f>
        <v>727608</v>
      </c>
      <c r="H106" s="118">
        <f>619900-596400-23500</f>
        <v>0</v>
      </c>
      <c r="I106" s="118"/>
      <c r="J106" s="118"/>
      <c r="K106" s="118">
        <f t="shared" si="29"/>
        <v>0</v>
      </c>
      <c r="L106" s="118"/>
      <c r="M106" s="118"/>
      <c r="N106" s="118"/>
      <c r="O106" s="118"/>
      <c r="P106" s="118"/>
      <c r="Q106" s="118">
        <f t="shared" si="22"/>
        <v>727608</v>
      </c>
      <c r="R106" s="247"/>
      <c r="S106" s="44"/>
      <c r="T106" s="44"/>
      <c r="U106" s="44"/>
      <c r="V106" s="44"/>
      <c r="W106" s="44"/>
      <c r="X106" s="44"/>
      <c r="Y106" s="44"/>
      <c r="Z106" s="44"/>
      <c r="AA106" s="44"/>
      <c r="AB106" s="44"/>
      <c r="AC106" s="44"/>
      <c r="AD106" s="44"/>
      <c r="AE106" s="44"/>
      <c r="AF106" s="44"/>
    </row>
    <row r="107" spans="1:32" s="17" customFormat="1" ht="40.5" customHeight="1">
      <c r="A107" s="16"/>
      <c r="B107" s="148">
        <v>1412210</v>
      </c>
      <c r="C107" s="148">
        <v>2210</v>
      </c>
      <c r="D107" s="148"/>
      <c r="E107" s="111" t="s">
        <v>447</v>
      </c>
      <c r="F107" s="118">
        <f t="shared" si="28"/>
        <v>5312308</v>
      </c>
      <c r="G107" s="118">
        <f aca="true" t="shared" si="30" ref="G107:P107">G109</f>
        <v>5312308</v>
      </c>
      <c r="H107" s="118">
        <f t="shared" si="30"/>
        <v>0</v>
      </c>
      <c r="I107" s="118">
        <f t="shared" si="30"/>
        <v>0</v>
      </c>
      <c r="J107" s="118">
        <f t="shared" si="30"/>
        <v>0</v>
      </c>
      <c r="K107" s="118">
        <f t="shared" si="29"/>
        <v>0</v>
      </c>
      <c r="L107" s="118">
        <f t="shared" si="30"/>
        <v>0</v>
      </c>
      <c r="M107" s="118">
        <f t="shared" si="30"/>
        <v>0</v>
      </c>
      <c r="N107" s="118">
        <f t="shared" si="30"/>
        <v>0</v>
      </c>
      <c r="O107" s="118">
        <f t="shared" si="30"/>
        <v>0</v>
      </c>
      <c r="P107" s="118">
        <f t="shared" si="30"/>
        <v>0</v>
      </c>
      <c r="Q107" s="118">
        <f t="shared" si="22"/>
        <v>5312308</v>
      </c>
      <c r="R107" s="247"/>
      <c r="S107" s="44"/>
      <c r="T107" s="44"/>
      <c r="U107" s="44"/>
      <c r="V107" s="44"/>
      <c r="W107" s="44"/>
      <c r="X107" s="44"/>
      <c r="Y107" s="44"/>
      <c r="Z107" s="44"/>
      <c r="AA107" s="44"/>
      <c r="AB107" s="44"/>
      <c r="AC107" s="44"/>
      <c r="AD107" s="44"/>
      <c r="AE107" s="44"/>
      <c r="AF107" s="44"/>
    </row>
    <row r="108" spans="1:32" s="17" customFormat="1" ht="40.5" customHeight="1">
      <c r="A108" s="16"/>
      <c r="B108" s="148"/>
      <c r="C108" s="148"/>
      <c r="D108" s="148"/>
      <c r="E108" s="111" t="s">
        <v>527</v>
      </c>
      <c r="F108" s="118">
        <f t="shared" si="28"/>
        <v>5312308</v>
      </c>
      <c r="G108" s="118">
        <f aca="true" t="shared" si="31" ref="G108:P108">G110</f>
        <v>5312308</v>
      </c>
      <c r="H108" s="118">
        <f t="shared" si="31"/>
        <v>0</v>
      </c>
      <c r="I108" s="118">
        <f t="shared" si="31"/>
        <v>0</v>
      </c>
      <c r="J108" s="118">
        <f t="shared" si="31"/>
        <v>0</v>
      </c>
      <c r="K108" s="118">
        <f t="shared" si="29"/>
        <v>0</v>
      </c>
      <c r="L108" s="118">
        <f t="shared" si="31"/>
        <v>0</v>
      </c>
      <c r="M108" s="118">
        <f t="shared" si="31"/>
        <v>0</v>
      </c>
      <c r="N108" s="118">
        <f t="shared" si="31"/>
        <v>0</v>
      </c>
      <c r="O108" s="118">
        <f t="shared" si="31"/>
        <v>0</v>
      </c>
      <c r="P108" s="118">
        <f t="shared" si="31"/>
        <v>0</v>
      </c>
      <c r="Q108" s="118">
        <f t="shared" si="22"/>
        <v>5312308</v>
      </c>
      <c r="R108" s="247"/>
      <c r="S108" s="44"/>
      <c r="T108" s="44"/>
      <c r="U108" s="44"/>
      <c r="V108" s="44"/>
      <c r="W108" s="44"/>
      <c r="X108" s="44"/>
      <c r="Y108" s="44"/>
      <c r="Z108" s="44"/>
      <c r="AA108" s="44"/>
      <c r="AB108" s="44"/>
      <c r="AC108" s="44"/>
      <c r="AD108" s="44"/>
      <c r="AE108" s="44"/>
      <c r="AF108" s="44"/>
    </row>
    <row r="109" spans="1:32" s="36" customFormat="1" ht="40.5" customHeight="1">
      <c r="A109" s="35"/>
      <c r="B109" s="30">
        <v>1412214</v>
      </c>
      <c r="C109" s="30">
        <v>2214</v>
      </c>
      <c r="D109" s="31" t="s">
        <v>288</v>
      </c>
      <c r="E109" s="32" t="s">
        <v>448</v>
      </c>
      <c r="F109" s="119">
        <f t="shared" si="28"/>
        <v>5312308</v>
      </c>
      <c r="G109" s="119">
        <f>5312308</f>
        <v>5312308</v>
      </c>
      <c r="H109" s="119"/>
      <c r="I109" s="119"/>
      <c r="J109" s="119"/>
      <c r="K109" s="119">
        <f t="shared" si="29"/>
        <v>0</v>
      </c>
      <c r="L109" s="119"/>
      <c r="M109" s="119"/>
      <c r="N109" s="119"/>
      <c r="O109" s="119"/>
      <c r="P109" s="119"/>
      <c r="Q109" s="119">
        <f t="shared" si="22"/>
        <v>5312308</v>
      </c>
      <c r="R109" s="247"/>
      <c r="S109" s="34"/>
      <c r="T109" s="34"/>
      <c r="U109" s="228"/>
      <c r="V109" s="34"/>
      <c r="W109" s="34"/>
      <c r="X109" s="34"/>
      <c r="Y109" s="34"/>
      <c r="Z109" s="34"/>
      <c r="AA109" s="34"/>
      <c r="AB109" s="34"/>
      <c r="AC109" s="34"/>
      <c r="AD109" s="34"/>
      <c r="AE109" s="34"/>
      <c r="AF109" s="34"/>
    </row>
    <row r="110" spans="1:32" s="36" customFormat="1" ht="34.5" customHeight="1">
      <c r="A110" s="35"/>
      <c r="B110" s="30"/>
      <c r="C110" s="30"/>
      <c r="D110" s="31"/>
      <c r="E110" s="32" t="s">
        <v>527</v>
      </c>
      <c r="F110" s="119">
        <f t="shared" si="28"/>
        <v>5312308</v>
      </c>
      <c r="G110" s="119">
        <f>5312308</f>
        <v>5312308</v>
      </c>
      <c r="H110" s="119"/>
      <c r="I110" s="119"/>
      <c r="J110" s="119"/>
      <c r="K110" s="119">
        <f t="shared" si="29"/>
        <v>0</v>
      </c>
      <c r="L110" s="119"/>
      <c r="M110" s="119"/>
      <c r="N110" s="119"/>
      <c r="O110" s="119"/>
      <c r="P110" s="119"/>
      <c r="Q110" s="119">
        <f t="shared" si="22"/>
        <v>5312308</v>
      </c>
      <c r="R110" s="247"/>
      <c r="S110" s="34"/>
      <c r="T110" s="34"/>
      <c r="U110" s="34"/>
      <c r="V110" s="34"/>
      <c r="W110" s="34"/>
      <c r="X110" s="34"/>
      <c r="Y110" s="34"/>
      <c r="Z110" s="34"/>
      <c r="AA110" s="34"/>
      <c r="AB110" s="34"/>
      <c r="AC110" s="34"/>
      <c r="AD110" s="34"/>
      <c r="AE110" s="34"/>
      <c r="AF110" s="34"/>
    </row>
    <row r="111" spans="1:32" s="17" customFormat="1" ht="34.5" customHeight="1">
      <c r="A111" s="25"/>
      <c r="B111" s="147" t="s">
        <v>101</v>
      </c>
      <c r="C111" s="147" t="s">
        <v>289</v>
      </c>
      <c r="D111" s="29" t="s">
        <v>288</v>
      </c>
      <c r="E111" s="26" t="s">
        <v>100</v>
      </c>
      <c r="F111" s="118">
        <f t="shared" si="28"/>
        <v>2656758</v>
      </c>
      <c r="G111" s="118">
        <f>G113+G115</f>
        <v>2656758</v>
      </c>
      <c r="H111" s="118">
        <f aca="true" t="shared" si="32" ref="H111:P111">H113+H115</f>
        <v>0</v>
      </c>
      <c r="I111" s="118">
        <f t="shared" si="32"/>
        <v>0</v>
      </c>
      <c r="J111" s="118">
        <f t="shared" si="32"/>
        <v>0</v>
      </c>
      <c r="K111" s="118">
        <f t="shared" si="29"/>
        <v>0</v>
      </c>
      <c r="L111" s="118">
        <f t="shared" si="32"/>
        <v>0</v>
      </c>
      <c r="M111" s="118">
        <f t="shared" si="32"/>
        <v>0</v>
      </c>
      <c r="N111" s="118">
        <f t="shared" si="32"/>
        <v>0</v>
      </c>
      <c r="O111" s="118">
        <f t="shared" si="32"/>
        <v>0</v>
      </c>
      <c r="P111" s="118">
        <f t="shared" si="32"/>
        <v>0</v>
      </c>
      <c r="Q111" s="118">
        <f t="shared" si="22"/>
        <v>2656758</v>
      </c>
      <c r="R111" s="247"/>
      <c r="S111" s="44"/>
      <c r="T111" s="44"/>
      <c r="U111" s="44"/>
      <c r="V111" s="44"/>
      <c r="W111" s="44"/>
      <c r="X111" s="44"/>
      <c r="Y111" s="44"/>
      <c r="Z111" s="44"/>
      <c r="AA111" s="44"/>
      <c r="AB111" s="44"/>
      <c r="AC111" s="44"/>
      <c r="AD111" s="44"/>
      <c r="AE111" s="44"/>
      <c r="AF111" s="44"/>
    </row>
    <row r="112" spans="1:32" s="17" customFormat="1" ht="34.5" customHeight="1">
      <c r="A112" s="16"/>
      <c r="B112" s="30"/>
      <c r="C112" s="30"/>
      <c r="D112" s="148"/>
      <c r="E112" s="26" t="s">
        <v>527</v>
      </c>
      <c r="F112" s="118">
        <f>G112+J112</f>
        <v>695315</v>
      </c>
      <c r="G112" s="118">
        <f>G114</f>
        <v>695315</v>
      </c>
      <c r="H112" s="118">
        <f aca="true" t="shared" si="33" ref="H112:Q112">H114</f>
        <v>0</v>
      </c>
      <c r="I112" s="118">
        <f t="shared" si="33"/>
        <v>0</v>
      </c>
      <c r="J112" s="118">
        <f t="shared" si="33"/>
        <v>0</v>
      </c>
      <c r="K112" s="118">
        <f t="shared" si="29"/>
        <v>0</v>
      </c>
      <c r="L112" s="118">
        <f t="shared" si="33"/>
        <v>0</v>
      </c>
      <c r="M112" s="118">
        <f t="shared" si="33"/>
        <v>0</v>
      </c>
      <c r="N112" s="118">
        <f t="shared" si="33"/>
        <v>0</v>
      </c>
      <c r="O112" s="118">
        <f t="shared" si="33"/>
        <v>0</v>
      </c>
      <c r="P112" s="118">
        <f t="shared" si="33"/>
        <v>0</v>
      </c>
      <c r="Q112" s="118">
        <f t="shared" si="33"/>
        <v>695315</v>
      </c>
      <c r="R112" s="247"/>
      <c r="S112" s="44"/>
      <c r="T112" s="44"/>
      <c r="U112" s="44"/>
      <c r="V112" s="44"/>
      <c r="W112" s="44"/>
      <c r="X112" s="44"/>
      <c r="Y112" s="44"/>
      <c r="Z112" s="44"/>
      <c r="AA112" s="44"/>
      <c r="AB112" s="44"/>
      <c r="AC112" s="44"/>
      <c r="AD112" s="44"/>
      <c r="AE112" s="44"/>
      <c r="AF112" s="44"/>
    </row>
    <row r="113" spans="1:32" s="36" customFormat="1" ht="34.5" customHeight="1">
      <c r="A113" s="35"/>
      <c r="B113" s="39" t="s">
        <v>101</v>
      </c>
      <c r="C113" s="39" t="s">
        <v>289</v>
      </c>
      <c r="D113" s="31" t="s">
        <v>288</v>
      </c>
      <c r="E113" s="32" t="s">
        <v>102</v>
      </c>
      <c r="F113" s="119">
        <f t="shared" si="28"/>
        <v>826395</v>
      </c>
      <c r="G113" s="119">
        <f>912686-86291</f>
        <v>826395</v>
      </c>
      <c r="H113" s="119">
        <f>641947-569930-72017</f>
        <v>0</v>
      </c>
      <c r="I113" s="119">
        <f>10726-12295+1569</f>
        <v>0</v>
      </c>
      <c r="J113" s="119"/>
      <c r="K113" s="119">
        <f t="shared" si="29"/>
        <v>0</v>
      </c>
      <c r="L113" s="119"/>
      <c r="M113" s="119"/>
      <c r="N113" s="119"/>
      <c r="O113" s="119"/>
      <c r="P113" s="119"/>
      <c r="Q113" s="119">
        <f t="shared" si="22"/>
        <v>826395</v>
      </c>
      <c r="R113" s="247"/>
      <c r="S113" s="34"/>
      <c r="T113" s="34"/>
      <c r="U113" s="34"/>
      <c r="V113" s="34"/>
      <c r="W113" s="34"/>
      <c r="X113" s="34"/>
      <c r="Y113" s="34"/>
      <c r="Z113" s="34"/>
      <c r="AA113" s="34"/>
      <c r="AB113" s="34"/>
      <c r="AC113" s="34"/>
      <c r="AD113" s="34"/>
      <c r="AE113" s="34"/>
      <c r="AF113" s="34"/>
    </row>
    <row r="114" spans="1:32" s="36" customFormat="1" ht="34.5" customHeight="1">
      <c r="A114" s="35"/>
      <c r="B114" s="31"/>
      <c r="C114" s="31"/>
      <c r="D114" s="31"/>
      <c r="E114" s="32" t="s">
        <v>527</v>
      </c>
      <c r="F114" s="119">
        <f t="shared" si="28"/>
        <v>695315</v>
      </c>
      <c r="G114" s="119">
        <f>717240-21925</f>
        <v>695315</v>
      </c>
      <c r="H114" s="119">
        <f>587900-569930-17970</f>
        <v>0</v>
      </c>
      <c r="I114" s="119"/>
      <c r="J114" s="119"/>
      <c r="K114" s="119">
        <f t="shared" si="29"/>
        <v>0</v>
      </c>
      <c r="L114" s="119"/>
      <c r="M114" s="119"/>
      <c r="N114" s="119"/>
      <c r="O114" s="119"/>
      <c r="P114" s="119"/>
      <c r="Q114" s="119">
        <f t="shared" si="22"/>
        <v>695315</v>
      </c>
      <c r="R114" s="247"/>
      <c r="S114" s="34"/>
      <c r="T114" s="34"/>
      <c r="U114" s="34"/>
      <c r="V114" s="34"/>
      <c r="W114" s="34"/>
      <c r="X114" s="34"/>
      <c r="Y114" s="34"/>
      <c r="Z114" s="34"/>
      <c r="AA114" s="34"/>
      <c r="AB114" s="34"/>
      <c r="AC114" s="34"/>
      <c r="AD114" s="34"/>
      <c r="AE114" s="34"/>
      <c r="AF114" s="34"/>
    </row>
    <row r="115" spans="1:32" s="36" customFormat="1" ht="42" customHeight="1">
      <c r="A115" s="35"/>
      <c r="B115" s="39" t="s">
        <v>101</v>
      </c>
      <c r="C115" s="39" t="s">
        <v>289</v>
      </c>
      <c r="D115" s="31" t="s">
        <v>288</v>
      </c>
      <c r="E115" s="32" t="s">
        <v>103</v>
      </c>
      <c r="F115" s="119">
        <f t="shared" si="28"/>
        <v>1830363</v>
      </c>
      <c r="G115" s="119">
        <v>1830363</v>
      </c>
      <c r="H115" s="119"/>
      <c r="I115" s="119"/>
      <c r="J115" s="119"/>
      <c r="K115" s="119">
        <f>L115+O115</f>
        <v>0</v>
      </c>
      <c r="L115" s="119"/>
      <c r="M115" s="119"/>
      <c r="N115" s="119"/>
      <c r="O115" s="119"/>
      <c r="P115" s="119"/>
      <c r="Q115" s="119">
        <f t="shared" si="22"/>
        <v>1830363</v>
      </c>
      <c r="R115" s="247"/>
      <c r="S115" s="34"/>
      <c r="T115" s="34"/>
      <c r="U115" s="34"/>
      <c r="V115" s="34"/>
      <c r="W115" s="34"/>
      <c r="X115" s="34"/>
      <c r="Y115" s="34"/>
      <c r="Z115" s="34"/>
      <c r="AA115" s="34"/>
      <c r="AB115" s="34"/>
      <c r="AC115" s="34"/>
      <c r="AD115" s="34"/>
      <c r="AE115" s="34"/>
      <c r="AF115" s="34"/>
    </row>
    <row r="116" spans="1:32" s="36" customFormat="1" ht="27" customHeight="1">
      <c r="A116" s="35"/>
      <c r="B116" s="29" t="s">
        <v>388</v>
      </c>
      <c r="C116" s="29" t="s">
        <v>347</v>
      </c>
      <c r="D116" s="29" t="s">
        <v>348</v>
      </c>
      <c r="E116" s="111" t="s">
        <v>154</v>
      </c>
      <c r="F116" s="119">
        <f t="shared" si="28"/>
        <v>203820</v>
      </c>
      <c r="G116" s="119">
        <f>121100+82720</f>
        <v>203820</v>
      </c>
      <c r="H116" s="119"/>
      <c r="I116" s="119"/>
      <c r="J116" s="119"/>
      <c r="K116" s="119">
        <f>L116+O116</f>
        <v>1200000</v>
      </c>
      <c r="L116" s="119"/>
      <c r="M116" s="119"/>
      <c r="N116" s="119"/>
      <c r="O116" s="119">
        <v>1200000</v>
      </c>
      <c r="P116" s="119">
        <v>1200000</v>
      </c>
      <c r="Q116" s="119">
        <f t="shared" si="22"/>
        <v>1403820</v>
      </c>
      <c r="R116" s="247"/>
      <c r="S116" s="34"/>
      <c r="T116" s="34"/>
      <c r="U116" s="34"/>
      <c r="V116" s="34"/>
      <c r="W116" s="34"/>
      <c r="X116" s="34"/>
      <c r="Y116" s="34"/>
      <c r="Z116" s="34"/>
      <c r="AA116" s="34"/>
      <c r="AB116" s="34"/>
      <c r="AC116" s="34"/>
      <c r="AD116" s="34"/>
      <c r="AE116" s="34"/>
      <c r="AF116" s="34"/>
    </row>
    <row r="117" spans="1:32" s="116" customFormat="1" ht="42" customHeight="1">
      <c r="A117" s="113"/>
      <c r="B117" s="131" t="s">
        <v>105</v>
      </c>
      <c r="C117" s="131"/>
      <c r="D117" s="131"/>
      <c r="E117" s="19" t="s">
        <v>225</v>
      </c>
      <c r="F117" s="126">
        <f>F118</f>
        <v>675696303.2</v>
      </c>
      <c r="G117" s="126">
        <f aca="true" t="shared" si="34" ref="G117:P117">G118</f>
        <v>675696303.2</v>
      </c>
      <c r="H117" s="126">
        <f t="shared" si="34"/>
        <v>25931857</v>
      </c>
      <c r="I117" s="126">
        <f t="shared" si="34"/>
        <v>1635700</v>
      </c>
      <c r="J117" s="126">
        <f t="shared" si="34"/>
        <v>0</v>
      </c>
      <c r="K117" s="126">
        <f t="shared" si="34"/>
        <v>1628915</v>
      </c>
      <c r="L117" s="126">
        <f t="shared" si="34"/>
        <v>48900</v>
      </c>
      <c r="M117" s="126">
        <f t="shared" si="34"/>
        <v>39000</v>
      </c>
      <c r="N117" s="126">
        <f t="shared" si="34"/>
        <v>0</v>
      </c>
      <c r="O117" s="126">
        <f t="shared" si="34"/>
        <v>1580015</v>
      </c>
      <c r="P117" s="126">
        <f t="shared" si="34"/>
        <v>1580015</v>
      </c>
      <c r="Q117" s="126">
        <f t="shared" si="22"/>
        <v>677325218.2</v>
      </c>
      <c r="R117" s="247"/>
      <c r="S117" s="115"/>
      <c r="T117" s="115"/>
      <c r="U117" s="115"/>
      <c r="V117" s="115"/>
      <c r="W117" s="115"/>
      <c r="X117" s="115"/>
      <c r="Y117" s="115"/>
      <c r="Z117" s="115"/>
      <c r="AA117" s="115"/>
      <c r="AB117" s="115"/>
      <c r="AC117" s="115"/>
      <c r="AD117" s="115"/>
      <c r="AE117" s="115"/>
      <c r="AF117" s="115"/>
    </row>
    <row r="118" spans="1:32" s="221" customFormat="1" ht="48" customHeight="1">
      <c r="A118" s="219"/>
      <c r="B118" s="133" t="s">
        <v>106</v>
      </c>
      <c r="C118" s="133"/>
      <c r="D118" s="133"/>
      <c r="E118" s="137" t="s">
        <v>225</v>
      </c>
      <c r="F118" s="135">
        <f>F120+F146+F173+F177+F179+F183+F184+F189+F192+F188+F187+F196+F121+F123+F138+F153+F174+F176</f>
        <v>675696303.2</v>
      </c>
      <c r="G118" s="135">
        <f aca="true" t="shared" si="35" ref="G118:Q118">G120+G146+G173+G177+G179+G183+G184+G189+G192+G188+G187+G196+G121+G123+G138+G153+G174+G176</f>
        <v>675696303.2</v>
      </c>
      <c r="H118" s="135">
        <f t="shared" si="35"/>
        <v>25931857</v>
      </c>
      <c r="I118" s="135">
        <f t="shared" si="35"/>
        <v>1635700</v>
      </c>
      <c r="J118" s="135">
        <f t="shared" si="35"/>
        <v>0</v>
      </c>
      <c r="K118" s="135">
        <f t="shared" si="35"/>
        <v>1628915</v>
      </c>
      <c r="L118" s="135">
        <f t="shared" si="35"/>
        <v>48900</v>
      </c>
      <c r="M118" s="135">
        <f t="shared" si="35"/>
        <v>39000</v>
      </c>
      <c r="N118" s="135">
        <f t="shared" si="35"/>
        <v>0</v>
      </c>
      <c r="O118" s="135">
        <f t="shared" si="35"/>
        <v>1580015</v>
      </c>
      <c r="P118" s="135">
        <f t="shared" si="35"/>
        <v>1580015</v>
      </c>
      <c r="Q118" s="135">
        <f t="shared" si="35"/>
        <v>677325218.2</v>
      </c>
      <c r="R118" s="247"/>
      <c r="S118" s="220"/>
      <c r="T118" s="220"/>
      <c r="U118" s="220"/>
      <c r="V118" s="220"/>
      <c r="W118" s="220"/>
      <c r="X118" s="220"/>
      <c r="Y118" s="220"/>
      <c r="Z118" s="220"/>
      <c r="AA118" s="220"/>
      <c r="AB118" s="220"/>
      <c r="AC118" s="220"/>
      <c r="AD118" s="220"/>
      <c r="AE118" s="220"/>
      <c r="AF118" s="220"/>
    </row>
    <row r="119" spans="1:32" s="221" customFormat="1" ht="27" customHeight="1">
      <c r="A119" s="219"/>
      <c r="B119" s="133"/>
      <c r="C119" s="133"/>
      <c r="D119" s="133"/>
      <c r="E119" s="32" t="s">
        <v>526</v>
      </c>
      <c r="F119" s="135">
        <f>F122+F124+F139+F154+F175</f>
        <v>586333600</v>
      </c>
      <c r="G119" s="135">
        <f aca="true" t="shared" si="36" ref="G119:Q119">G122+G124+G139+G154+G175</f>
        <v>586333600</v>
      </c>
      <c r="H119" s="135">
        <f t="shared" si="36"/>
        <v>0</v>
      </c>
      <c r="I119" s="135">
        <f t="shared" si="36"/>
        <v>0</v>
      </c>
      <c r="J119" s="135">
        <f t="shared" si="36"/>
        <v>0</v>
      </c>
      <c r="K119" s="135">
        <f t="shared" si="36"/>
        <v>0</v>
      </c>
      <c r="L119" s="135">
        <f t="shared" si="36"/>
        <v>0</v>
      </c>
      <c r="M119" s="135">
        <f t="shared" si="36"/>
        <v>0</v>
      </c>
      <c r="N119" s="135">
        <f t="shared" si="36"/>
        <v>0</v>
      </c>
      <c r="O119" s="135">
        <f t="shared" si="36"/>
        <v>0</v>
      </c>
      <c r="P119" s="135">
        <f t="shared" si="36"/>
        <v>0</v>
      </c>
      <c r="Q119" s="135">
        <f t="shared" si="36"/>
        <v>586333600</v>
      </c>
      <c r="R119" s="247"/>
      <c r="S119" s="220"/>
      <c r="T119" s="220"/>
      <c r="U119" s="220"/>
      <c r="V119" s="220"/>
      <c r="W119" s="220"/>
      <c r="X119" s="220"/>
      <c r="Y119" s="220"/>
      <c r="Z119" s="220"/>
      <c r="AA119" s="220"/>
      <c r="AB119" s="220"/>
      <c r="AC119" s="220"/>
      <c r="AD119" s="220"/>
      <c r="AE119" s="220"/>
      <c r="AF119" s="220"/>
    </row>
    <row r="120" spans="1:32" s="17" customFormat="1" ht="45" customHeight="1">
      <c r="A120" s="181"/>
      <c r="B120" s="110" t="s">
        <v>107</v>
      </c>
      <c r="C120" s="110" t="s">
        <v>251</v>
      </c>
      <c r="D120" s="110" t="s">
        <v>252</v>
      </c>
      <c r="E120" s="111" t="s">
        <v>536</v>
      </c>
      <c r="F120" s="118">
        <f>G120+J120</f>
        <v>22690700</v>
      </c>
      <c r="G120" s="118">
        <f>22096900+60600-102000+500000+135200</f>
        <v>22690700</v>
      </c>
      <c r="H120" s="118">
        <v>16987900</v>
      </c>
      <c r="I120" s="118">
        <f>499700+60600+120300</f>
        <v>680600</v>
      </c>
      <c r="J120" s="118"/>
      <c r="K120" s="118">
        <f>L120+O120</f>
        <v>250000</v>
      </c>
      <c r="L120" s="118"/>
      <c r="M120" s="118"/>
      <c r="N120" s="118"/>
      <c r="O120" s="118">
        <v>250000</v>
      </c>
      <c r="P120" s="118">
        <v>250000</v>
      </c>
      <c r="Q120" s="118">
        <f t="shared" si="22"/>
        <v>22940700</v>
      </c>
      <c r="R120" s="247"/>
      <c r="S120" s="44"/>
      <c r="T120" s="44"/>
      <c r="U120" s="44"/>
      <c r="V120" s="44"/>
      <c r="W120" s="44"/>
      <c r="X120" s="44"/>
      <c r="Y120" s="44"/>
      <c r="Z120" s="44"/>
      <c r="AA120" s="44"/>
      <c r="AB120" s="44"/>
      <c r="AC120" s="44"/>
      <c r="AD120" s="44"/>
      <c r="AE120" s="44"/>
      <c r="AF120" s="44"/>
    </row>
    <row r="121" spans="1:32" s="17" customFormat="1" ht="87.75" customHeight="1">
      <c r="A121" s="16"/>
      <c r="B121" s="147" t="s">
        <v>449</v>
      </c>
      <c r="C121" s="147" t="s">
        <v>261</v>
      </c>
      <c r="D121" s="147" t="s">
        <v>257</v>
      </c>
      <c r="E121" s="111" t="s">
        <v>511</v>
      </c>
      <c r="F121" s="118">
        <f>G121+J121</f>
        <v>2415100</v>
      </c>
      <c r="G121" s="118">
        <v>2415100</v>
      </c>
      <c r="H121" s="118"/>
      <c r="I121" s="118"/>
      <c r="J121" s="118"/>
      <c r="K121" s="118">
        <f>L121+O121</f>
        <v>0</v>
      </c>
      <c r="L121" s="118"/>
      <c r="M121" s="118"/>
      <c r="N121" s="118"/>
      <c r="O121" s="118"/>
      <c r="P121" s="118"/>
      <c r="Q121" s="118">
        <f t="shared" si="22"/>
        <v>2415100</v>
      </c>
      <c r="R121" s="247"/>
      <c r="S121" s="44"/>
      <c r="T121" s="44"/>
      <c r="U121" s="44"/>
      <c r="V121" s="44"/>
      <c r="W121" s="44"/>
      <c r="X121" s="44"/>
      <c r="Y121" s="44"/>
      <c r="Z121" s="44"/>
      <c r="AA121" s="44"/>
      <c r="AB121" s="44"/>
      <c r="AC121" s="44"/>
      <c r="AD121" s="44"/>
      <c r="AE121" s="44"/>
      <c r="AF121" s="44"/>
    </row>
    <row r="122" spans="1:32" s="17" customFormat="1" ht="29.25" customHeight="1">
      <c r="A122" s="16"/>
      <c r="B122" s="147"/>
      <c r="C122" s="147"/>
      <c r="D122" s="147"/>
      <c r="E122" s="111" t="s">
        <v>527</v>
      </c>
      <c r="F122" s="118">
        <f>G122+J122</f>
        <v>2415100</v>
      </c>
      <c r="G122" s="118">
        <v>2415100</v>
      </c>
      <c r="H122" s="118"/>
      <c r="I122" s="118"/>
      <c r="J122" s="118"/>
      <c r="K122" s="118">
        <f>L122+O122</f>
        <v>0</v>
      </c>
      <c r="L122" s="118"/>
      <c r="M122" s="118"/>
      <c r="N122" s="118"/>
      <c r="O122" s="118"/>
      <c r="P122" s="118"/>
      <c r="Q122" s="118">
        <f t="shared" si="22"/>
        <v>2415100</v>
      </c>
      <c r="R122" s="247"/>
      <c r="S122" s="44"/>
      <c r="T122" s="44"/>
      <c r="U122" s="44"/>
      <c r="V122" s="44"/>
      <c r="W122" s="44"/>
      <c r="X122" s="44"/>
      <c r="Y122" s="44"/>
      <c r="Z122" s="44"/>
      <c r="AA122" s="44"/>
      <c r="AB122" s="44"/>
      <c r="AC122" s="44"/>
      <c r="AD122" s="44"/>
      <c r="AE122" s="44"/>
      <c r="AF122" s="44"/>
    </row>
    <row r="123" spans="1:32" s="17" customFormat="1" ht="89.25" customHeight="1">
      <c r="A123" s="16"/>
      <c r="B123" s="147" t="s">
        <v>450</v>
      </c>
      <c r="C123" s="147" t="s">
        <v>451</v>
      </c>
      <c r="D123" s="147"/>
      <c r="E123" s="111" t="s">
        <v>452</v>
      </c>
      <c r="F123" s="118">
        <f>F125+F127+F128+F130+F132+F134+F136</f>
        <v>266900900</v>
      </c>
      <c r="G123" s="118">
        <f aca="true" t="shared" si="37" ref="G123:P123">G125+G127+G128+G130+G132+G134+G136</f>
        <v>266900900</v>
      </c>
      <c r="H123" s="118">
        <f t="shared" si="37"/>
        <v>0</v>
      </c>
      <c r="I123" s="118">
        <f t="shared" si="37"/>
        <v>0</v>
      </c>
      <c r="J123" s="118">
        <f t="shared" si="37"/>
        <v>0</v>
      </c>
      <c r="K123" s="118">
        <f t="shared" si="37"/>
        <v>0</v>
      </c>
      <c r="L123" s="118">
        <f t="shared" si="37"/>
        <v>0</v>
      </c>
      <c r="M123" s="118">
        <f t="shared" si="37"/>
        <v>0</v>
      </c>
      <c r="N123" s="118">
        <f t="shared" si="37"/>
        <v>0</v>
      </c>
      <c r="O123" s="118">
        <f t="shared" si="37"/>
        <v>0</v>
      </c>
      <c r="P123" s="118">
        <f t="shared" si="37"/>
        <v>0</v>
      </c>
      <c r="Q123" s="118">
        <f t="shared" si="22"/>
        <v>266900900</v>
      </c>
      <c r="R123" s="247"/>
      <c r="S123" s="44"/>
      <c r="T123" s="44"/>
      <c r="U123" s="44"/>
      <c r="V123" s="44"/>
      <c r="W123" s="44"/>
      <c r="X123" s="44"/>
      <c r="Y123" s="44"/>
      <c r="Z123" s="44"/>
      <c r="AA123" s="44"/>
      <c r="AB123" s="44"/>
      <c r="AC123" s="44"/>
      <c r="AD123" s="44"/>
      <c r="AE123" s="44"/>
      <c r="AF123" s="44"/>
    </row>
    <row r="124" spans="1:32" s="17" customFormat="1" ht="16.5" customHeight="1">
      <c r="A124" s="16"/>
      <c r="B124" s="147"/>
      <c r="C124" s="147"/>
      <c r="D124" s="147"/>
      <c r="E124" s="111" t="s">
        <v>527</v>
      </c>
      <c r="F124" s="118">
        <f>F126+F129+F131+F133+F135+F137</f>
        <v>266900900</v>
      </c>
      <c r="G124" s="118">
        <f aca="true" t="shared" si="38" ref="G124:P124">G126+G129+G131+G133+G135+G137</f>
        <v>266900900</v>
      </c>
      <c r="H124" s="118">
        <f t="shared" si="38"/>
        <v>0</v>
      </c>
      <c r="I124" s="118">
        <f t="shared" si="38"/>
        <v>0</v>
      </c>
      <c r="J124" s="118">
        <f t="shared" si="38"/>
        <v>0</v>
      </c>
      <c r="K124" s="118">
        <f t="shared" si="38"/>
        <v>0</v>
      </c>
      <c r="L124" s="118">
        <f t="shared" si="38"/>
        <v>0</v>
      </c>
      <c r="M124" s="118">
        <f t="shared" si="38"/>
        <v>0</v>
      </c>
      <c r="N124" s="118">
        <f t="shared" si="38"/>
        <v>0</v>
      </c>
      <c r="O124" s="118">
        <f t="shared" si="38"/>
        <v>0</v>
      </c>
      <c r="P124" s="118">
        <f t="shared" si="38"/>
        <v>0</v>
      </c>
      <c r="Q124" s="118">
        <f t="shared" si="22"/>
        <v>266900900</v>
      </c>
      <c r="R124" s="247"/>
      <c r="S124" s="44"/>
      <c r="T124" s="44"/>
      <c r="U124" s="44"/>
      <c r="V124" s="44"/>
      <c r="W124" s="44"/>
      <c r="X124" s="44"/>
      <c r="Y124" s="44"/>
      <c r="Z124" s="44"/>
      <c r="AA124" s="44"/>
      <c r="AB124" s="44"/>
      <c r="AC124" s="44"/>
      <c r="AD124" s="44"/>
      <c r="AE124" s="44"/>
      <c r="AF124" s="44"/>
    </row>
    <row r="125" spans="1:32" s="36" customFormat="1" ht="238.5" customHeight="1">
      <c r="A125" s="35"/>
      <c r="B125" s="39" t="s">
        <v>453</v>
      </c>
      <c r="C125" s="39" t="s">
        <v>454</v>
      </c>
      <c r="D125" s="39" t="s">
        <v>260</v>
      </c>
      <c r="E125" s="32" t="s">
        <v>455</v>
      </c>
      <c r="F125" s="119">
        <f>G125</f>
        <v>10254500</v>
      </c>
      <c r="G125" s="119">
        <v>10254500</v>
      </c>
      <c r="H125" s="119"/>
      <c r="I125" s="119"/>
      <c r="J125" s="119"/>
      <c r="K125" s="119"/>
      <c r="L125" s="119"/>
      <c r="M125" s="119"/>
      <c r="N125" s="119"/>
      <c r="O125" s="119"/>
      <c r="P125" s="119"/>
      <c r="Q125" s="119">
        <f t="shared" si="22"/>
        <v>10254500</v>
      </c>
      <c r="R125" s="247"/>
      <c r="S125" s="34"/>
      <c r="T125" s="34"/>
      <c r="U125" s="34"/>
      <c r="V125" s="34"/>
      <c r="W125" s="34"/>
      <c r="X125" s="34"/>
      <c r="Y125" s="34"/>
      <c r="Z125" s="34"/>
      <c r="AA125" s="34"/>
      <c r="AB125" s="34"/>
      <c r="AC125" s="34"/>
      <c r="AD125" s="34"/>
      <c r="AE125" s="34"/>
      <c r="AF125" s="34"/>
    </row>
    <row r="126" spans="1:32" s="36" customFormat="1" ht="21.75" customHeight="1">
      <c r="A126" s="35"/>
      <c r="B126" s="39"/>
      <c r="C126" s="39"/>
      <c r="D126" s="39"/>
      <c r="E126" s="32" t="s">
        <v>527</v>
      </c>
      <c r="F126" s="172">
        <f aca="true" t="shared" si="39" ref="F126:F145">G126</f>
        <v>10254500</v>
      </c>
      <c r="G126" s="172">
        <v>10254500</v>
      </c>
      <c r="H126" s="172"/>
      <c r="I126" s="172"/>
      <c r="J126" s="172"/>
      <c r="K126" s="172"/>
      <c r="L126" s="172"/>
      <c r="M126" s="172"/>
      <c r="N126" s="172"/>
      <c r="O126" s="172"/>
      <c r="P126" s="172"/>
      <c r="Q126" s="172">
        <f t="shared" si="22"/>
        <v>10254500</v>
      </c>
      <c r="R126" s="247"/>
      <c r="S126" s="34"/>
      <c r="T126" s="34"/>
      <c r="U126" s="34"/>
      <c r="V126" s="34"/>
      <c r="W126" s="34"/>
      <c r="X126" s="34"/>
      <c r="Y126" s="34"/>
      <c r="Z126" s="34"/>
      <c r="AA126" s="34"/>
      <c r="AB126" s="34"/>
      <c r="AC126" s="34"/>
      <c r="AD126" s="34"/>
      <c r="AE126" s="34"/>
      <c r="AF126" s="34"/>
    </row>
    <row r="127" spans="1:32" s="36" customFormat="1" ht="307.5" customHeight="1">
      <c r="A127" s="35"/>
      <c r="B127" s="260" t="s">
        <v>456</v>
      </c>
      <c r="C127" s="260" t="s">
        <v>457</v>
      </c>
      <c r="D127" s="262" t="s">
        <v>260</v>
      </c>
      <c r="E127" s="170" t="s">
        <v>515</v>
      </c>
      <c r="F127" s="195">
        <f t="shared" si="39"/>
        <v>1663400</v>
      </c>
      <c r="G127" s="195">
        <v>1663400</v>
      </c>
      <c r="H127" s="195"/>
      <c r="I127" s="195"/>
      <c r="J127" s="195"/>
      <c r="K127" s="195"/>
      <c r="L127" s="195"/>
      <c r="M127" s="195"/>
      <c r="N127" s="195"/>
      <c r="O127" s="195"/>
      <c r="P127" s="195"/>
      <c r="Q127" s="195">
        <f t="shared" si="22"/>
        <v>1663400</v>
      </c>
      <c r="R127" s="247" t="s">
        <v>550</v>
      </c>
      <c r="S127" s="34"/>
      <c r="T127" s="34"/>
      <c r="U127" s="34"/>
      <c r="V127" s="34"/>
      <c r="W127" s="34"/>
      <c r="X127" s="34"/>
      <c r="Y127" s="34"/>
      <c r="Z127" s="34"/>
      <c r="AA127" s="34"/>
      <c r="AB127" s="34"/>
      <c r="AC127" s="34"/>
      <c r="AD127" s="34"/>
      <c r="AE127" s="34"/>
      <c r="AF127" s="34"/>
    </row>
    <row r="128" spans="1:32" s="36" customFormat="1" ht="267.75" customHeight="1">
      <c r="A128" s="35"/>
      <c r="B128" s="261"/>
      <c r="C128" s="261"/>
      <c r="D128" s="263"/>
      <c r="E128" s="171" t="s">
        <v>516</v>
      </c>
      <c r="F128" s="122">
        <f t="shared" si="39"/>
        <v>0</v>
      </c>
      <c r="G128" s="122"/>
      <c r="H128" s="122"/>
      <c r="I128" s="122"/>
      <c r="J128" s="122"/>
      <c r="K128" s="122"/>
      <c r="L128" s="122"/>
      <c r="M128" s="122"/>
      <c r="N128" s="122"/>
      <c r="O128" s="122"/>
      <c r="P128" s="122"/>
      <c r="Q128" s="122">
        <f t="shared" si="22"/>
        <v>0</v>
      </c>
      <c r="R128" s="247"/>
      <c r="S128" s="34"/>
      <c r="T128" s="34"/>
      <c r="U128" s="34"/>
      <c r="V128" s="34"/>
      <c r="W128" s="34"/>
      <c r="X128" s="34"/>
      <c r="Y128" s="34"/>
      <c r="Z128" s="34"/>
      <c r="AA128" s="34"/>
      <c r="AB128" s="34"/>
      <c r="AC128" s="34"/>
      <c r="AD128" s="34"/>
      <c r="AE128" s="34"/>
      <c r="AF128" s="34"/>
    </row>
    <row r="129" spans="1:32" s="36" customFormat="1" ht="14.25" customHeight="1">
      <c r="A129" s="35"/>
      <c r="B129" s="39"/>
      <c r="C129" s="39"/>
      <c r="D129" s="39"/>
      <c r="E129" s="32" t="s">
        <v>527</v>
      </c>
      <c r="F129" s="122">
        <f t="shared" si="39"/>
        <v>1663400</v>
      </c>
      <c r="G129" s="122">
        <v>1663400</v>
      </c>
      <c r="H129" s="122"/>
      <c r="I129" s="122"/>
      <c r="J129" s="122"/>
      <c r="K129" s="122"/>
      <c r="L129" s="122"/>
      <c r="M129" s="122"/>
      <c r="N129" s="122"/>
      <c r="O129" s="122"/>
      <c r="P129" s="122"/>
      <c r="Q129" s="122">
        <f t="shared" si="22"/>
        <v>1663400</v>
      </c>
      <c r="R129" s="247"/>
      <c r="S129" s="34"/>
      <c r="T129" s="34"/>
      <c r="U129" s="34"/>
      <c r="V129" s="34"/>
      <c r="W129" s="34"/>
      <c r="X129" s="34"/>
      <c r="Y129" s="34"/>
      <c r="Z129" s="34"/>
      <c r="AA129" s="34"/>
      <c r="AB129" s="34"/>
      <c r="AC129" s="34"/>
      <c r="AD129" s="34"/>
      <c r="AE129" s="34"/>
      <c r="AF129" s="34"/>
    </row>
    <row r="130" spans="1:32" s="36" customFormat="1" ht="92.25" customHeight="1">
      <c r="A130" s="35"/>
      <c r="B130" s="39" t="s">
        <v>459</v>
      </c>
      <c r="C130" s="39" t="s">
        <v>460</v>
      </c>
      <c r="D130" s="39" t="s">
        <v>262</v>
      </c>
      <c r="E130" s="32" t="s">
        <v>461</v>
      </c>
      <c r="F130" s="119">
        <f t="shared" si="39"/>
        <v>1184400</v>
      </c>
      <c r="G130" s="119">
        <v>1184400</v>
      </c>
      <c r="H130" s="119"/>
      <c r="I130" s="119"/>
      <c r="J130" s="119"/>
      <c r="K130" s="119"/>
      <c r="L130" s="119"/>
      <c r="M130" s="119"/>
      <c r="N130" s="119"/>
      <c r="O130" s="119"/>
      <c r="P130" s="119"/>
      <c r="Q130" s="119">
        <f t="shared" si="22"/>
        <v>1184400</v>
      </c>
      <c r="R130" s="247"/>
      <c r="S130" s="34"/>
      <c r="T130" s="34"/>
      <c r="U130" s="34"/>
      <c r="V130" s="34"/>
      <c r="W130" s="34"/>
      <c r="X130" s="34"/>
      <c r="Y130" s="34"/>
      <c r="Z130" s="34"/>
      <c r="AA130" s="34"/>
      <c r="AB130" s="34"/>
      <c r="AC130" s="34"/>
      <c r="AD130" s="34"/>
      <c r="AE130" s="34"/>
      <c r="AF130" s="34"/>
    </row>
    <row r="131" spans="1:32" s="36" customFormat="1" ht="14.25" customHeight="1">
      <c r="A131" s="35"/>
      <c r="B131" s="39"/>
      <c r="C131" s="39"/>
      <c r="D131" s="39"/>
      <c r="E131" s="32" t="s">
        <v>527</v>
      </c>
      <c r="F131" s="119">
        <f t="shared" si="39"/>
        <v>1184400</v>
      </c>
      <c r="G131" s="119">
        <v>1184400</v>
      </c>
      <c r="H131" s="119"/>
      <c r="I131" s="119"/>
      <c r="J131" s="119"/>
      <c r="K131" s="119"/>
      <c r="L131" s="119"/>
      <c r="M131" s="119"/>
      <c r="N131" s="119"/>
      <c r="O131" s="119"/>
      <c r="P131" s="119"/>
      <c r="Q131" s="119">
        <f t="shared" si="22"/>
        <v>1184400</v>
      </c>
      <c r="R131" s="247"/>
      <c r="S131" s="34"/>
      <c r="T131" s="34"/>
      <c r="U131" s="34"/>
      <c r="V131" s="34"/>
      <c r="W131" s="34"/>
      <c r="X131" s="34"/>
      <c r="Y131" s="34"/>
      <c r="Z131" s="34"/>
      <c r="AA131" s="34"/>
      <c r="AB131" s="34"/>
      <c r="AC131" s="34"/>
      <c r="AD131" s="34"/>
      <c r="AE131" s="34"/>
      <c r="AF131" s="34"/>
    </row>
    <row r="132" spans="1:32" s="36" customFormat="1" ht="177" customHeight="1">
      <c r="A132" s="35"/>
      <c r="B132" s="39" t="s">
        <v>462</v>
      </c>
      <c r="C132" s="39" t="s">
        <v>463</v>
      </c>
      <c r="D132" s="39" t="s">
        <v>262</v>
      </c>
      <c r="E132" s="32" t="s">
        <v>464</v>
      </c>
      <c r="F132" s="119">
        <f t="shared" si="39"/>
        <v>14700</v>
      </c>
      <c r="G132" s="119">
        <v>14700</v>
      </c>
      <c r="H132" s="119"/>
      <c r="I132" s="119"/>
      <c r="J132" s="119"/>
      <c r="K132" s="119"/>
      <c r="L132" s="119"/>
      <c r="M132" s="119"/>
      <c r="N132" s="119"/>
      <c r="O132" s="119"/>
      <c r="P132" s="119"/>
      <c r="Q132" s="119">
        <f t="shared" si="22"/>
        <v>14700</v>
      </c>
      <c r="R132" s="247"/>
      <c r="S132" s="34"/>
      <c r="T132" s="34"/>
      <c r="U132" s="34"/>
      <c r="V132" s="34"/>
      <c r="W132" s="34"/>
      <c r="X132" s="34"/>
      <c r="Y132" s="34"/>
      <c r="Z132" s="34"/>
      <c r="AA132" s="34"/>
      <c r="AB132" s="34"/>
      <c r="AC132" s="34"/>
      <c r="AD132" s="34"/>
      <c r="AE132" s="34"/>
      <c r="AF132" s="34"/>
    </row>
    <row r="133" spans="1:32" s="36" customFormat="1" ht="14.25" customHeight="1">
      <c r="A133" s="35"/>
      <c r="B133" s="39"/>
      <c r="C133" s="39"/>
      <c r="D133" s="39"/>
      <c r="E133" s="32" t="s">
        <v>527</v>
      </c>
      <c r="F133" s="119">
        <f t="shared" si="39"/>
        <v>14700</v>
      </c>
      <c r="G133" s="119">
        <v>14700</v>
      </c>
      <c r="H133" s="119"/>
      <c r="I133" s="119"/>
      <c r="J133" s="119"/>
      <c r="K133" s="119"/>
      <c r="L133" s="119"/>
      <c r="M133" s="119"/>
      <c r="N133" s="119"/>
      <c r="O133" s="119"/>
      <c r="P133" s="119"/>
      <c r="Q133" s="119">
        <f t="shared" si="22"/>
        <v>14700</v>
      </c>
      <c r="R133" s="247"/>
      <c r="S133" s="34"/>
      <c r="T133" s="34"/>
      <c r="U133" s="34"/>
      <c r="V133" s="34"/>
      <c r="W133" s="34"/>
      <c r="X133" s="34"/>
      <c r="Y133" s="34"/>
      <c r="Z133" s="34"/>
      <c r="AA133" s="34"/>
      <c r="AB133" s="34"/>
      <c r="AC133" s="34"/>
      <c r="AD133" s="34"/>
      <c r="AE133" s="34"/>
      <c r="AF133" s="34"/>
    </row>
    <row r="134" spans="1:32" s="36" customFormat="1" ht="32.25" customHeight="1">
      <c r="A134" s="35"/>
      <c r="B134" s="39" t="s">
        <v>465</v>
      </c>
      <c r="C134" s="39" t="s">
        <v>466</v>
      </c>
      <c r="D134" s="39" t="s">
        <v>262</v>
      </c>
      <c r="E134" s="32" t="s">
        <v>467</v>
      </c>
      <c r="F134" s="119">
        <f t="shared" si="39"/>
        <v>241400</v>
      </c>
      <c r="G134" s="119">
        <v>241400</v>
      </c>
      <c r="H134" s="119"/>
      <c r="I134" s="119"/>
      <c r="J134" s="119"/>
      <c r="K134" s="119"/>
      <c r="L134" s="119"/>
      <c r="M134" s="119"/>
      <c r="N134" s="119"/>
      <c r="O134" s="119"/>
      <c r="P134" s="119"/>
      <c r="Q134" s="119">
        <f t="shared" si="22"/>
        <v>241400</v>
      </c>
      <c r="R134" s="247"/>
      <c r="S134" s="34"/>
      <c r="T134" s="34"/>
      <c r="U134" s="34"/>
      <c r="V134" s="34"/>
      <c r="W134" s="34"/>
      <c r="X134" s="34"/>
      <c r="Y134" s="34"/>
      <c r="Z134" s="34"/>
      <c r="AA134" s="34"/>
      <c r="AB134" s="34"/>
      <c r="AC134" s="34"/>
      <c r="AD134" s="34"/>
      <c r="AE134" s="34"/>
      <c r="AF134" s="34"/>
    </row>
    <row r="135" spans="1:32" s="36" customFormat="1" ht="14.25" customHeight="1">
      <c r="A135" s="35"/>
      <c r="B135" s="39"/>
      <c r="C135" s="39"/>
      <c r="D135" s="39"/>
      <c r="E135" s="32" t="s">
        <v>527</v>
      </c>
      <c r="F135" s="119">
        <f t="shared" si="39"/>
        <v>241400</v>
      </c>
      <c r="G135" s="119">
        <v>241400</v>
      </c>
      <c r="H135" s="119"/>
      <c r="I135" s="119"/>
      <c r="J135" s="119"/>
      <c r="K135" s="119"/>
      <c r="L135" s="119"/>
      <c r="M135" s="119"/>
      <c r="N135" s="119"/>
      <c r="O135" s="119"/>
      <c r="P135" s="119"/>
      <c r="Q135" s="119">
        <f t="shared" si="22"/>
        <v>241400</v>
      </c>
      <c r="R135" s="247"/>
      <c r="S135" s="34"/>
      <c r="T135" s="34"/>
      <c r="U135" s="34"/>
      <c r="V135" s="34"/>
      <c r="W135" s="34"/>
      <c r="X135" s="34"/>
      <c r="Y135" s="34"/>
      <c r="Z135" s="34"/>
      <c r="AA135" s="34"/>
      <c r="AB135" s="34"/>
      <c r="AC135" s="34"/>
      <c r="AD135" s="34"/>
      <c r="AE135" s="34"/>
      <c r="AF135" s="34"/>
    </row>
    <row r="136" spans="1:32" s="36" customFormat="1" ht="36" customHeight="1">
      <c r="A136" s="35"/>
      <c r="B136" s="39" t="s">
        <v>468</v>
      </c>
      <c r="C136" s="39" t="s">
        <v>469</v>
      </c>
      <c r="D136" s="39" t="s">
        <v>261</v>
      </c>
      <c r="E136" s="32" t="s">
        <v>470</v>
      </c>
      <c r="F136" s="119">
        <f t="shared" si="39"/>
        <v>253542500</v>
      </c>
      <c r="G136" s="119">
        <v>253542500</v>
      </c>
      <c r="H136" s="119"/>
      <c r="I136" s="119"/>
      <c r="J136" s="119"/>
      <c r="K136" s="119"/>
      <c r="L136" s="119"/>
      <c r="M136" s="119"/>
      <c r="N136" s="119"/>
      <c r="O136" s="119"/>
      <c r="P136" s="119"/>
      <c r="Q136" s="119">
        <f t="shared" si="22"/>
        <v>253542500</v>
      </c>
      <c r="R136" s="247"/>
      <c r="S136" s="34"/>
      <c r="T136" s="34"/>
      <c r="U136" s="34"/>
      <c r="V136" s="34"/>
      <c r="W136" s="34"/>
      <c r="X136" s="34"/>
      <c r="Y136" s="34"/>
      <c r="Z136" s="34"/>
      <c r="AA136" s="34"/>
      <c r="AB136" s="34"/>
      <c r="AC136" s="34"/>
      <c r="AD136" s="34"/>
      <c r="AE136" s="34"/>
      <c r="AF136" s="34"/>
    </row>
    <row r="137" spans="1:32" s="36" customFormat="1" ht="14.25" customHeight="1">
      <c r="A137" s="35"/>
      <c r="B137" s="39"/>
      <c r="C137" s="39"/>
      <c r="D137" s="39"/>
      <c r="E137" s="32" t="s">
        <v>527</v>
      </c>
      <c r="F137" s="119">
        <f t="shared" si="39"/>
        <v>253542500</v>
      </c>
      <c r="G137" s="119">
        <v>253542500</v>
      </c>
      <c r="H137" s="119"/>
      <c r="I137" s="119"/>
      <c r="J137" s="119"/>
      <c r="K137" s="119"/>
      <c r="L137" s="119"/>
      <c r="M137" s="119"/>
      <c r="N137" s="119"/>
      <c r="O137" s="119"/>
      <c r="P137" s="119"/>
      <c r="Q137" s="119">
        <f t="shared" si="22"/>
        <v>253542500</v>
      </c>
      <c r="R137" s="247"/>
      <c r="S137" s="34"/>
      <c r="T137" s="34"/>
      <c r="U137" s="34"/>
      <c r="V137" s="34"/>
      <c r="W137" s="34"/>
      <c r="X137" s="34"/>
      <c r="Y137" s="34"/>
      <c r="Z137" s="34"/>
      <c r="AA137" s="34"/>
      <c r="AB137" s="34"/>
      <c r="AC137" s="34"/>
      <c r="AD137" s="34"/>
      <c r="AE137" s="34"/>
      <c r="AF137" s="34"/>
    </row>
    <row r="138" spans="1:32" s="17" customFormat="1" ht="45.75" customHeight="1">
      <c r="A138" s="25"/>
      <c r="B138" s="29" t="s">
        <v>471</v>
      </c>
      <c r="C138" s="29" t="s">
        <v>472</v>
      </c>
      <c r="D138" s="29"/>
      <c r="E138" s="111" t="s">
        <v>473</v>
      </c>
      <c r="F138" s="119">
        <f>F140+F142+F144</f>
        <v>313500</v>
      </c>
      <c r="G138" s="119">
        <f aca="true" t="shared" si="40" ref="G138:P138">G140+G142+G144</f>
        <v>313500</v>
      </c>
      <c r="H138" s="119">
        <f t="shared" si="40"/>
        <v>0</v>
      </c>
      <c r="I138" s="119">
        <f t="shared" si="40"/>
        <v>0</v>
      </c>
      <c r="J138" s="119">
        <f t="shared" si="40"/>
        <v>0</v>
      </c>
      <c r="K138" s="119">
        <f t="shared" si="40"/>
        <v>0</v>
      </c>
      <c r="L138" s="119">
        <f t="shared" si="40"/>
        <v>0</v>
      </c>
      <c r="M138" s="119">
        <f t="shared" si="40"/>
        <v>0</v>
      </c>
      <c r="N138" s="119">
        <f t="shared" si="40"/>
        <v>0</v>
      </c>
      <c r="O138" s="119">
        <f t="shared" si="40"/>
        <v>0</v>
      </c>
      <c r="P138" s="119">
        <f t="shared" si="40"/>
        <v>0</v>
      </c>
      <c r="Q138" s="118">
        <f aca="true" t="shared" si="41" ref="Q138:Q146">F138+K138</f>
        <v>313500</v>
      </c>
      <c r="R138" s="247"/>
      <c r="S138" s="44"/>
      <c r="T138" s="44"/>
      <c r="U138" s="44"/>
      <c r="V138" s="44"/>
      <c r="W138" s="44"/>
      <c r="X138" s="44"/>
      <c r="Y138" s="44"/>
      <c r="Z138" s="44"/>
      <c r="AA138" s="44"/>
      <c r="AB138" s="44"/>
      <c r="AC138" s="44"/>
      <c r="AD138" s="44"/>
      <c r="AE138" s="44"/>
      <c r="AF138" s="44"/>
    </row>
    <row r="139" spans="1:32" s="17" customFormat="1" ht="14.25" customHeight="1">
      <c r="A139" s="16"/>
      <c r="B139" s="147"/>
      <c r="C139" s="147"/>
      <c r="D139" s="147"/>
      <c r="E139" s="111" t="s">
        <v>527</v>
      </c>
      <c r="F139" s="119">
        <f>F141+F143+F145</f>
        <v>313500</v>
      </c>
      <c r="G139" s="119">
        <f aca="true" t="shared" si="42" ref="G139:P139">G141+G143+G145</f>
        <v>313500</v>
      </c>
      <c r="H139" s="119">
        <f t="shared" si="42"/>
        <v>0</v>
      </c>
      <c r="I139" s="119">
        <f t="shared" si="42"/>
        <v>0</v>
      </c>
      <c r="J139" s="119">
        <f t="shared" si="42"/>
        <v>0</v>
      </c>
      <c r="K139" s="119">
        <f t="shared" si="42"/>
        <v>0</v>
      </c>
      <c r="L139" s="119">
        <f t="shared" si="42"/>
        <v>0</v>
      </c>
      <c r="M139" s="119">
        <f t="shared" si="42"/>
        <v>0</v>
      </c>
      <c r="N139" s="119">
        <f t="shared" si="42"/>
        <v>0</v>
      </c>
      <c r="O139" s="119">
        <f t="shared" si="42"/>
        <v>0</v>
      </c>
      <c r="P139" s="119">
        <f t="shared" si="42"/>
        <v>0</v>
      </c>
      <c r="Q139" s="118">
        <f t="shared" si="41"/>
        <v>313500</v>
      </c>
      <c r="R139" s="247"/>
      <c r="S139" s="44"/>
      <c r="T139" s="44"/>
      <c r="U139" s="44"/>
      <c r="V139" s="44"/>
      <c r="W139" s="44"/>
      <c r="X139" s="44"/>
      <c r="Y139" s="44"/>
      <c r="Z139" s="44"/>
      <c r="AA139" s="44"/>
      <c r="AB139" s="44"/>
      <c r="AC139" s="44"/>
      <c r="AD139" s="44"/>
      <c r="AE139" s="44"/>
      <c r="AF139" s="44"/>
    </row>
    <row r="140" spans="1:32" s="36" customFormat="1" ht="182.25" customHeight="1">
      <c r="A140" s="35"/>
      <c r="B140" s="39" t="s">
        <v>474</v>
      </c>
      <c r="C140" s="39" t="s">
        <v>475</v>
      </c>
      <c r="D140" s="39" t="s">
        <v>260</v>
      </c>
      <c r="E140" s="32" t="s">
        <v>476</v>
      </c>
      <c r="F140" s="119">
        <f t="shared" si="39"/>
        <v>28416</v>
      </c>
      <c r="G140" s="119">
        <v>28416</v>
      </c>
      <c r="H140" s="119"/>
      <c r="I140" s="119"/>
      <c r="J140" s="119"/>
      <c r="K140" s="119"/>
      <c r="L140" s="119"/>
      <c r="M140" s="119"/>
      <c r="N140" s="119"/>
      <c r="O140" s="119"/>
      <c r="P140" s="119"/>
      <c r="Q140" s="119">
        <f t="shared" si="41"/>
        <v>28416</v>
      </c>
      <c r="R140" s="247" t="s">
        <v>551</v>
      </c>
      <c r="S140" s="34"/>
      <c r="T140" s="34"/>
      <c r="U140" s="34"/>
      <c r="V140" s="34"/>
      <c r="W140" s="34"/>
      <c r="X140" s="34"/>
      <c r="Y140" s="34"/>
      <c r="Z140" s="34"/>
      <c r="AA140" s="34"/>
      <c r="AB140" s="34"/>
      <c r="AC140" s="34"/>
      <c r="AD140" s="34"/>
      <c r="AE140" s="34"/>
      <c r="AF140" s="34"/>
    </row>
    <row r="141" spans="1:32" s="36" customFormat="1" ht="14.25" customHeight="1">
      <c r="A141" s="35"/>
      <c r="B141" s="39"/>
      <c r="C141" s="39"/>
      <c r="D141" s="39"/>
      <c r="E141" s="32" t="s">
        <v>527</v>
      </c>
      <c r="F141" s="119">
        <f t="shared" si="39"/>
        <v>28416</v>
      </c>
      <c r="G141" s="119">
        <v>28416</v>
      </c>
      <c r="H141" s="119"/>
      <c r="I141" s="119"/>
      <c r="J141" s="119"/>
      <c r="K141" s="119"/>
      <c r="L141" s="119"/>
      <c r="M141" s="119"/>
      <c r="N141" s="119"/>
      <c r="O141" s="119"/>
      <c r="P141" s="119"/>
      <c r="Q141" s="119">
        <f t="shared" si="41"/>
        <v>28416</v>
      </c>
      <c r="R141" s="247"/>
      <c r="S141" s="34"/>
      <c r="T141" s="34"/>
      <c r="U141" s="34"/>
      <c r="V141" s="34"/>
      <c r="W141" s="34"/>
      <c r="X141" s="34"/>
      <c r="Y141" s="34"/>
      <c r="Z141" s="34"/>
      <c r="AA141" s="34"/>
      <c r="AB141" s="34"/>
      <c r="AC141" s="34"/>
      <c r="AD141" s="34"/>
      <c r="AE141" s="34"/>
      <c r="AF141" s="34"/>
    </row>
    <row r="142" spans="1:32" s="36" customFormat="1" ht="34.5" customHeight="1">
      <c r="A142" s="35"/>
      <c r="B142" s="39" t="s">
        <v>477</v>
      </c>
      <c r="C142" s="39" t="s">
        <v>478</v>
      </c>
      <c r="D142" s="39" t="s">
        <v>262</v>
      </c>
      <c r="E142" s="146" t="s">
        <v>479</v>
      </c>
      <c r="F142" s="119">
        <f t="shared" si="39"/>
        <v>8259</v>
      </c>
      <c r="G142" s="119">
        <v>8259</v>
      </c>
      <c r="H142" s="119"/>
      <c r="I142" s="119"/>
      <c r="J142" s="119"/>
      <c r="K142" s="119"/>
      <c r="L142" s="119"/>
      <c r="M142" s="119"/>
      <c r="N142" s="119"/>
      <c r="O142" s="119"/>
      <c r="P142" s="119"/>
      <c r="Q142" s="119">
        <f t="shared" si="41"/>
        <v>8259</v>
      </c>
      <c r="R142" s="247"/>
      <c r="S142" s="34"/>
      <c r="T142" s="34"/>
      <c r="U142" s="34"/>
      <c r="V142" s="34"/>
      <c r="W142" s="34"/>
      <c r="X142" s="34"/>
      <c r="Y142" s="34"/>
      <c r="Z142" s="34"/>
      <c r="AA142" s="34"/>
      <c r="AB142" s="34"/>
      <c r="AC142" s="34"/>
      <c r="AD142" s="34"/>
      <c r="AE142" s="34"/>
      <c r="AF142" s="34"/>
    </row>
    <row r="143" spans="1:32" s="36" customFormat="1" ht="14.25" customHeight="1">
      <c r="A143" s="35"/>
      <c r="B143" s="39"/>
      <c r="C143" s="39"/>
      <c r="D143" s="39"/>
      <c r="E143" s="32" t="s">
        <v>527</v>
      </c>
      <c r="F143" s="119">
        <f t="shared" si="39"/>
        <v>8259</v>
      </c>
      <c r="G143" s="119">
        <v>8259</v>
      </c>
      <c r="H143" s="119"/>
      <c r="I143" s="119"/>
      <c r="J143" s="119"/>
      <c r="K143" s="119"/>
      <c r="L143" s="119"/>
      <c r="M143" s="119"/>
      <c r="N143" s="119"/>
      <c r="O143" s="119"/>
      <c r="P143" s="119"/>
      <c r="Q143" s="119">
        <f t="shared" si="41"/>
        <v>8259</v>
      </c>
      <c r="R143" s="247"/>
      <c r="S143" s="34"/>
      <c r="T143" s="34"/>
      <c r="U143" s="34"/>
      <c r="V143" s="34"/>
      <c r="W143" s="34"/>
      <c r="X143" s="34"/>
      <c r="Y143" s="34"/>
      <c r="Z143" s="34"/>
      <c r="AA143" s="34"/>
      <c r="AB143" s="34"/>
      <c r="AC143" s="34"/>
      <c r="AD143" s="34"/>
      <c r="AE143" s="34"/>
      <c r="AF143" s="34"/>
    </row>
    <row r="144" spans="1:32" s="36" customFormat="1" ht="51.75" customHeight="1">
      <c r="A144" s="35"/>
      <c r="B144" s="39" t="s">
        <v>480</v>
      </c>
      <c r="C144" s="39" t="s">
        <v>481</v>
      </c>
      <c r="D144" s="39" t="s">
        <v>261</v>
      </c>
      <c r="E144" s="32" t="s">
        <v>482</v>
      </c>
      <c r="F144" s="119">
        <f t="shared" si="39"/>
        <v>276825</v>
      </c>
      <c r="G144" s="119">
        <v>276825</v>
      </c>
      <c r="H144" s="119"/>
      <c r="I144" s="119"/>
      <c r="J144" s="119"/>
      <c r="K144" s="119"/>
      <c r="L144" s="119"/>
      <c r="M144" s="119"/>
      <c r="N144" s="119"/>
      <c r="O144" s="119"/>
      <c r="P144" s="119"/>
      <c r="Q144" s="119">
        <f t="shared" si="41"/>
        <v>276825</v>
      </c>
      <c r="R144" s="247"/>
      <c r="S144" s="34"/>
      <c r="T144" s="34"/>
      <c r="U144" s="34"/>
      <c r="V144" s="34"/>
      <c r="W144" s="34"/>
      <c r="X144" s="34"/>
      <c r="Y144" s="34"/>
      <c r="Z144" s="34"/>
      <c r="AA144" s="34"/>
      <c r="AB144" s="34"/>
      <c r="AC144" s="34"/>
      <c r="AD144" s="34"/>
      <c r="AE144" s="34"/>
      <c r="AF144" s="34"/>
    </row>
    <row r="145" spans="1:32" s="36" customFormat="1" ht="14.25" customHeight="1">
      <c r="A145" s="35"/>
      <c r="B145" s="39"/>
      <c r="C145" s="39"/>
      <c r="D145" s="39"/>
      <c r="E145" s="32" t="s">
        <v>527</v>
      </c>
      <c r="F145" s="119">
        <f t="shared" si="39"/>
        <v>276825</v>
      </c>
      <c r="G145" s="119">
        <v>276825</v>
      </c>
      <c r="H145" s="119"/>
      <c r="I145" s="119"/>
      <c r="J145" s="119"/>
      <c r="K145" s="119"/>
      <c r="L145" s="119"/>
      <c r="M145" s="119"/>
      <c r="N145" s="119"/>
      <c r="O145" s="119"/>
      <c r="P145" s="119"/>
      <c r="Q145" s="119">
        <f t="shared" si="41"/>
        <v>276825</v>
      </c>
      <c r="R145" s="247"/>
      <c r="S145" s="34"/>
      <c r="T145" s="34"/>
      <c r="U145" s="34"/>
      <c r="V145" s="34"/>
      <c r="W145" s="34"/>
      <c r="X145" s="34"/>
      <c r="Y145" s="34"/>
      <c r="Z145" s="34"/>
      <c r="AA145" s="34"/>
      <c r="AB145" s="34"/>
      <c r="AC145" s="34"/>
      <c r="AD145" s="34"/>
      <c r="AE145" s="34"/>
      <c r="AF145" s="34"/>
    </row>
    <row r="146" spans="1:33" s="74" customFormat="1" ht="176.25" customHeight="1">
      <c r="A146" s="182"/>
      <c r="B146" s="28">
        <v>1513030</v>
      </c>
      <c r="C146" s="28">
        <v>3030</v>
      </c>
      <c r="D146" s="28">
        <v>1030</v>
      </c>
      <c r="E146" s="26" t="s">
        <v>108</v>
      </c>
      <c r="F146" s="121">
        <f>F152+F147+F148+F149+F150+F151</f>
        <v>38565560.2</v>
      </c>
      <c r="G146" s="121">
        <f>G152+G147+G148+G149+G150+G151</f>
        <v>38565560.2</v>
      </c>
      <c r="H146" s="121">
        <f aca="true" t="shared" si="43" ref="H146:P146">H152+H147+H148+H149+H150</f>
        <v>0</v>
      </c>
      <c r="I146" s="121">
        <f t="shared" si="43"/>
        <v>0</v>
      </c>
      <c r="J146" s="121">
        <f t="shared" si="43"/>
        <v>0</v>
      </c>
      <c r="K146" s="121">
        <f>K152+K147+K148+K149+K150</f>
        <v>154612</v>
      </c>
      <c r="L146" s="121">
        <f t="shared" si="43"/>
        <v>0</v>
      </c>
      <c r="M146" s="121">
        <f t="shared" si="43"/>
        <v>0</v>
      </c>
      <c r="N146" s="121">
        <f t="shared" si="43"/>
        <v>0</v>
      </c>
      <c r="O146" s="121">
        <f t="shared" si="43"/>
        <v>154612</v>
      </c>
      <c r="P146" s="121">
        <f t="shared" si="43"/>
        <v>154612</v>
      </c>
      <c r="Q146" s="118">
        <f t="shared" si="41"/>
        <v>38720172.2</v>
      </c>
      <c r="R146" s="247"/>
      <c r="S146" s="44"/>
      <c r="T146" s="44"/>
      <c r="U146" s="44"/>
      <c r="V146" s="44"/>
      <c r="W146" s="44"/>
      <c r="X146" s="44"/>
      <c r="Y146" s="44"/>
      <c r="Z146" s="44"/>
      <c r="AA146" s="44"/>
      <c r="AB146" s="44"/>
      <c r="AC146" s="44"/>
      <c r="AD146" s="44"/>
      <c r="AE146" s="44"/>
      <c r="AF146" s="44"/>
      <c r="AG146" s="103"/>
    </row>
    <row r="147" spans="1:18" s="34" customFormat="1" ht="222" customHeight="1">
      <c r="A147" s="33"/>
      <c r="B147" s="30">
        <v>1513031</v>
      </c>
      <c r="C147" s="30">
        <v>3031</v>
      </c>
      <c r="D147" s="30">
        <v>1030</v>
      </c>
      <c r="E147" s="32" t="s">
        <v>237</v>
      </c>
      <c r="F147" s="119">
        <f aca="true" t="shared" si="44" ref="F147:F152">G147+J147</f>
        <v>270200</v>
      </c>
      <c r="G147" s="125">
        <v>270200</v>
      </c>
      <c r="H147" s="125"/>
      <c r="I147" s="125"/>
      <c r="J147" s="125"/>
      <c r="K147" s="125">
        <f>L147+O147</f>
        <v>154612</v>
      </c>
      <c r="L147" s="125"/>
      <c r="M147" s="125"/>
      <c r="N147" s="125"/>
      <c r="O147" s="125">
        <f>150000+4612</f>
        <v>154612</v>
      </c>
      <c r="P147" s="125">
        <f>150000+4612</f>
        <v>154612</v>
      </c>
      <c r="Q147" s="125">
        <f aca="true" t="shared" si="45" ref="Q147:Q198">F147+K147</f>
        <v>424812</v>
      </c>
      <c r="R147" s="247"/>
    </row>
    <row r="148" spans="1:18" s="34" customFormat="1" ht="84.75" customHeight="1">
      <c r="A148" s="33"/>
      <c r="B148" s="30">
        <v>1513033</v>
      </c>
      <c r="C148" s="30">
        <v>3033</v>
      </c>
      <c r="D148" s="30">
        <v>1070</v>
      </c>
      <c r="E148" s="32" t="s">
        <v>238</v>
      </c>
      <c r="F148" s="119">
        <f t="shared" si="44"/>
        <v>74666</v>
      </c>
      <c r="G148" s="125">
        <v>74666</v>
      </c>
      <c r="H148" s="125"/>
      <c r="I148" s="125"/>
      <c r="J148" s="125"/>
      <c r="K148" s="125">
        <f aca="true" t="shared" si="46" ref="K148:K176">L148+O148</f>
        <v>0</v>
      </c>
      <c r="L148" s="125"/>
      <c r="M148" s="125"/>
      <c r="N148" s="125"/>
      <c r="O148" s="125"/>
      <c r="P148" s="125"/>
      <c r="Q148" s="125">
        <f t="shared" si="45"/>
        <v>74666</v>
      </c>
      <c r="R148" s="247"/>
    </row>
    <row r="149" spans="1:18" s="34" customFormat="1" ht="40.5" customHeight="1">
      <c r="A149" s="33"/>
      <c r="B149" s="30">
        <v>1513034</v>
      </c>
      <c r="C149" s="30">
        <v>3034</v>
      </c>
      <c r="D149" s="30">
        <v>1070</v>
      </c>
      <c r="E149" s="32" t="s">
        <v>230</v>
      </c>
      <c r="F149" s="119">
        <f t="shared" si="44"/>
        <v>1577457</v>
      </c>
      <c r="G149" s="125">
        <f>1562305+15152</f>
        <v>1577457</v>
      </c>
      <c r="H149" s="125"/>
      <c r="I149" s="125"/>
      <c r="J149" s="125"/>
      <c r="K149" s="125">
        <f t="shared" si="46"/>
        <v>0</v>
      </c>
      <c r="L149" s="125"/>
      <c r="M149" s="125"/>
      <c r="N149" s="125"/>
      <c r="O149" s="125"/>
      <c r="P149" s="125"/>
      <c r="Q149" s="125">
        <f t="shared" si="45"/>
        <v>1577457</v>
      </c>
      <c r="R149" s="247"/>
    </row>
    <row r="150" spans="1:18" s="34" customFormat="1" ht="43.5" customHeight="1">
      <c r="A150" s="33"/>
      <c r="B150" s="30">
        <v>1513035</v>
      </c>
      <c r="C150" s="30">
        <v>3035</v>
      </c>
      <c r="D150" s="30">
        <v>1070</v>
      </c>
      <c r="E150" s="32" t="s">
        <v>239</v>
      </c>
      <c r="F150" s="119">
        <f t="shared" si="44"/>
        <v>9943724.2</v>
      </c>
      <c r="G150" s="125">
        <f>5552643+68400+3427694+894987.2</f>
        <v>9943724.2</v>
      </c>
      <c r="H150" s="125"/>
      <c r="I150" s="125"/>
      <c r="J150" s="125"/>
      <c r="K150" s="125">
        <f t="shared" si="46"/>
        <v>0</v>
      </c>
      <c r="L150" s="125"/>
      <c r="M150" s="125"/>
      <c r="N150" s="125"/>
      <c r="O150" s="125"/>
      <c r="P150" s="125"/>
      <c r="Q150" s="125">
        <f t="shared" si="45"/>
        <v>9943724.2</v>
      </c>
      <c r="R150" s="247"/>
    </row>
    <row r="151" spans="1:18" s="232" customFormat="1" ht="43.5" customHeight="1">
      <c r="A151" s="231"/>
      <c r="B151" s="30">
        <v>1513037</v>
      </c>
      <c r="C151" s="30">
        <v>3037</v>
      </c>
      <c r="D151" s="30">
        <v>1070</v>
      </c>
      <c r="E151" s="32" t="s">
        <v>558</v>
      </c>
      <c r="F151" s="119">
        <f t="shared" si="44"/>
        <v>1500000</v>
      </c>
      <c r="G151" s="125">
        <v>1500000</v>
      </c>
      <c r="H151" s="125"/>
      <c r="I151" s="125"/>
      <c r="J151" s="125"/>
      <c r="K151" s="125"/>
      <c r="L151" s="125"/>
      <c r="M151" s="125"/>
      <c r="N151" s="125"/>
      <c r="O151" s="125"/>
      <c r="P151" s="125"/>
      <c r="Q151" s="125">
        <f t="shared" si="45"/>
        <v>1500000</v>
      </c>
      <c r="R151" s="247"/>
    </row>
    <row r="152" spans="1:18" s="34" customFormat="1" ht="34.5" customHeight="1">
      <c r="A152" s="33"/>
      <c r="B152" s="30">
        <v>1513038</v>
      </c>
      <c r="C152" s="30">
        <v>3038</v>
      </c>
      <c r="D152" s="30">
        <v>1070</v>
      </c>
      <c r="E152" s="32" t="s">
        <v>23</v>
      </c>
      <c r="F152" s="119">
        <f t="shared" si="44"/>
        <v>25199513</v>
      </c>
      <c r="G152" s="119">
        <f>16255544+8943969</f>
        <v>25199513</v>
      </c>
      <c r="H152" s="119"/>
      <c r="I152" s="119"/>
      <c r="J152" s="119"/>
      <c r="K152" s="125">
        <f t="shared" si="46"/>
        <v>0</v>
      </c>
      <c r="L152" s="119"/>
      <c r="M152" s="119"/>
      <c r="N152" s="119"/>
      <c r="O152" s="119"/>
      <c r="P152" s="119"/>
      <c r="Q152" s="119">
        <f t="shared" si="45"/>
        <v>25199513</v>
      </c>
      <c r="R152" s="247"/>
    </row>
    <row r="153" spans="1:18" s="44" customFormat="1" ht="45" customHeight="1">
      <c r="A153" s="183"/>
      <c r="B153" s="28">
        <v>1513040</v>
      </c>
      <c r="C153" s="28">
        <v>3040</v>
      </c>
      <c r="D153" s="28"/>
      <c r="E153" s="111" t="s">
        <v>483</v>
      </c>
      <c r="F153" s="118">
        <f>F155+F157+F159+F161+F163+F165+F167+F169+F171</f>
        <v>307726600</v>
      </c>
      <c r="G153" s="118">
        <f aca="true" t="shared" si="47" ref="G153:P153">G155+G157+G159+G161+G163+G165+G167+G169+G171</f>
        <v>307726600</v>
      </c>
      <c r="H153" s="118">
        <f t="shared" si="47"/>
        <v>0</v>
      </c>
      <c r="I153" s="118">
        <f t="shared" si="47"/>
        <v>0</v>
      </c>
      <c r="J153" s="118">
        <f t="shared" si="47"/>
        <v>0</v>
      </c>
      <c r="K153" s="121">
        <f t="shared" si="46"/>
        <v>0</v>
      </c>
      <c r="L153" s="118">
        <f t="shared" si="47"/>
        <v>0</v>
      </c>
      <c r="M153" s="118">
        <f t="shared" si="47"/>
        <v>0</v>
      </c>
      <c r="N153" s="118">
        <f t="shared" si="47"/>
        <v>0</v>
      </c>
      <c r="O153" s="118">
        <f t="shared" si="47"/>
        <v>0</v>
      </c>
      <c r="P153" s="118">
        <f t="shared" si="47"/>
        <v>0</v>
      </c>
      <c r="Q153" s="118">
        <f t="shared" si="45"/>
        <v>307726600</v>
      </c>
      <c r="R153" s="247"/>
    </row>
    <row r="154" spans="1:18" s="44" customFormat="1" ht="15.75">
      <c r="A154" s="43"/>
      <c r="B154" s="148"/>
      <c r="C154" s="148"/>
      <c r="D154" s="148"/>
      <c r="E154" s="111" t="s">
        <v>525</v>
      </c>
      <c r="F154" s="118">
        <f>F156+F158+F160+F162+F164+F166+F168+F170+F172</f>
        <v>307726600</v>
      </c>
      <c r="G154" s="118">
        <f aca="true" t="shared" si="48" ref="G154:P154">G156+G158+G160+G162+G164+G166+G168+G170+G172</f>
        <v>307726600</v>
      </c>
      <c r="H154" s="118">
        <f t="shared" si="48"/>
        <v>0</v>
      </c>
      <c r="I154" s="118">
        <f t="shared" si="48"/>
        <v>0</v>
      </c>
      <c r="J154" s="118">
        <f t="shared" si="48"/>
        <v>0</v>
      </c>
      <c r="K154" s="121">
        <f t="shared" si="46"/>
        <v>0</v>
      </c>
      <c r="L154" s="118">
        <f t="shared" si="48"/>
        <v>0</v>
      </c>
      <c r="M154" s="118">
        <f t="shared" si="48"/>
        <v>0</v>
      </c>
      <c r="N154" s="118">
        <f t="shared" si="48"/>
        <v>0</v>
      </c>
      <c r="O154" s="118">
        <f t="shared" si="48"/>
        <v>0</v>
      </c>
      <c r="P154" s="118">
        <f t="shared" si="48"/>
        <v>0</v>
      </c>
      <c r="Q154" s="118">
        <f t="shared" si="45"/>
        <v>307726600</v>
      </c>
      <c r="R154" s="247"/>
    </row>
    <row r="155" spans="1:18" s="34" customFormat="1" ht="28.5" customHeight="1">
      <c r="A155" s="33"/>
      <c r="B155" s="30">
        <v>1513041</v>
      </c>
      <c r="C155" s="30">
        <v>3041</v>
      </c>
      <c r="D155" s="30">
        <v>1040</v>
      </c>
      <c r="E155" s="32" t="s">
        <v>484</v>
      </c>
      <c r="F155" s="119">
        <f>G155</f>
        <v>3435800</v>
      </c>
      <c r="G155" s="119">
        <v>3435800</v>
      </c>
      <c r="H155" s="119"/>
      <c r="I155" s="119"/>
      <c r="J155" s="119"/>
      <c r="K155" s="125">
        <f t="shared" si="46"/>
        <v>0</v>
      </c>
      <c r="L155" s="119"/>
      <c r="M155" s="119"/>
      <c r="N155" s="119"/>
      <c r="O155" s="119"/>
      <c r="P155" s="119"/>
      <c r="Q155" s="119">
        <f t="shared" si="45"/>
        <v>3435800</v>
      </c>
      <c r="R155" s="247"/>
    </row>
    <row r="156" spans="1:18" s="34" customFormat="1" ht="14.25" customHeight="1">
      <c r="A156" s="33"/>
      <c r="B156" s="30"/>
      <c r="C156" s="30"/>
      <c r="D156" s="30"/>
      <c r="E156" s="32" t="s">
        <v>527</v>
      </c>
      <c r="F156" s="119">
        <f aca="true" t="shared" si="49" ref="F156:F172">G156</f>
        <v>3435800</v>
      </c>
      <c r="G156" s="119">
        <v>3435800</v>
      </c>
      <c r="H156" s="119"/>
      <c r="I156" s="119"/>
      <c r="J156" s="119"/>
      <c r="K156" s="125">
        <f t="shared" si="46"/>
        <v>0</v>
      </c>
      <c r="L156" s="119"/>
      <c r="M156" s="119"/>
      <c r="N156" s="119"/>
      <c r="O156" s="119"/>
      <c r="P156" s="119"/>
      <c r="Q156" s="119">
        <f t="shared" si="45"/>
        <v>3435800</v>
      </c>
      <c r="R156" s="247"/>
    </row>
    <row r="157" spans="1:18" s="34" customFormat="1" ht="30" customHeight="1">
      <c r="A157" s="33"/>
      <c r="B157" s="30">
        <v>1513042</v>
      </c>
      <c r="C157" s="30">
        <v>3042</v>
      </c>
      <c r="D157" s="30">
        <v>1040</v>
      </c>
      <c r="E157" s="32" t="s">
        <v>537</v>
      </c>
      <c r="F157" s="119">
        <f t="shared" si="49"/>
        <v>468000</v>
      </c>
      <c r="G157" s="119">
        <v>468000</v>
      </c>
      <c r="H157" s="119"/>
      <c r="I157" s="119"/>
      <c r="J157" s="119"/>
      <c r="K157" s="125">
        <f t="shared" si="46"/>
        <v>0</v>
      </c>
      <c r="L157" s="119"/>
      <c r="M157" s="119"/>
      <c r="N157" s="119"/>
      <c r="O157" s="119"/>
      <c r="P157" s="119"/>
      <c r="Q157" s="119">
        <f t="shared" si="45"/>
        <v>468000</v>
      </c>
      <c r="R157" s="247"/>
    </row>
    <row r="158" spans="1:18" s="34" customFormat="1" ht="15" customHeight="1">
      <c r="A158" s="33"/>
      <c r="B158" s="30"/>
      <c r="C158" s="30"/>
      <c r="D158" s="30"/>
      <c r="E158" s="32" t="s">
        <v>527</v>
      </c>
      <c r="F158" s="119">
        <f t="shared" si="49"/>
        <v>468000</v>
      </c>
      <c r="G158" s="119">
        <v>468000</v>
      </c>
      <c r="H158" s="119"/>
      <c r="I158" s="119"/>
      <c r="J158" s="119"/>
      <c r="K158" s="125">
        <f t="shared" si="46"/>
        <v>0</v>
      </c>
      <c r="L158" s="119"/>
      <c r="M158" s="119"/>
      <c r="N158" s="119"/>
      <c r="O158" s="119"/>
      <c r="P158" s="119"/>
      <c r="Q158" s="119">
        <f t="shared" si="45"/>
        <v>468000</v>
      </c>
      <c r="R158" s="247" t="s">
        <v>552</v>
      </c>
    </row>
    <row r="159" spans="1:18" s="34" customFormat="1" ht="21" customHeight="1">
      <c r="A159" s="33"/>
      <c r="B159" s="30">
        <v>1513043</v>
      </c>
      <c r="C159" s="30">
        <v>3043</v>
      </c>
      <c r="D159" s="30">
        <v>1040</v>
      </c>
      <c r="E159" s="32" t="s">
        <v>485</v>
      </c>
      <c r="F159" s="119">
        <f t="shared" si="49"/>
        <v>142613700</v>
      </c>
      <c r="G159" s="119">
        <v>142613700</v>
      </c>
      <c r="H159" s="119"/>
      <c r="I159" s="119"/>
      <c r="J159" s="119"/>
      <c r="K159" s="125">
        <f t="shared" si="46"/>
        <v>0</v>
      </c>
      <c r="L159" s="119"/>
      <c r="M159" s="119"/>
      <c r="N159" s="119"/>
      <c r="O159" s="119"/>
      <c r="P159" s="119"/>
      <c r="Q159" s="119">
        <f t="shared" si="45"/>
        <v>142613700</v>
      </c>
      <c r="R159" s="247"/>
    </row>
    <row r="160" spans="1:18" s="34" customFormat="1" ht="19.5" customHeight="1">
      <c r="A160" s="33"/>
      <c r="B160" s="30"/>
      <c r="C160" s="30"/>
      <c r="D160" s="30"/>
      <c r="E160" s="32" t="s">
        <v>527</v>
      </c>
      <c r="F160" s="119">
        <f t="shared" si="49"/>
        <v>142613700</v>
      </c>
      <c r="G160" s="119">
        <v>142613700</v>
      </c>
      <c r="H160" s="119"/>
      <c r="I160" s="119"/>
      <c r="J160" s="119"/>
      <c r="K160" s="125">
        <f t="shared" si="46"/>
        <v>0</v>
      </c>
      <c r="L160" s="119"/>
      <c r="M160" s="119"/>
      <c r="N160" s="119"/>
      <c r="O160" s="119"/>
      <c r="P160" s="119"/>
      <c r="Q160" s="119">
        <f t="shared" si="45"/>
        <v>142613700</v>
      </c>
      <c r="R160" s="247"/>
    </row>
    <row r="161" spans="1:18" s="34" customFormat="1" ht="30">
      <c r="A161" s="33"/>
      <c r="B161" s="30">
        <v>1513044</v>
      </c>
      <c r="C161" s="30">
        <v>3044</v>
      </c>
      <c r="D161" s="30">
        <v>1040</v>
      </c>
      <c r="E161" s="32" t="s">
        <v>486</v>
      </c>
      <c r="F161" s="119">
        <f t="shared" si="49"/>
        <v>9856700</v>
      </c>
      <c r="G161" s="119">
        <v>9856700</v>
      </c>
      <c r="H161" s="119"/>
      <c r="I161" s="119"/>
      <c r="J161" s="119"/>
      <c r="K161" s="125">
        <f t="shared" si="46"/>
        <v>0</v>
      </c>
      <c r="L161" s="119"/>
      <c r="M161" s="119"/>
      <c r="N161" s="119"/>
      <c r="O161" s="119"/>
      <c r="P161" s="119"/>
      <c r="Q161" s="119">
        <f t="shared" si="45"/>
        <v>9856700</v>
      </c>
      <c r="R161" s="247"/>
    </row>
    <row r="162" spans="1:18" s="34" customFormat="1" ht="18" customHeight="1">
      <c r="A162" s="33"/>
      <c r="B162" s="30"/>
      <c r="C162" s="30"/>
      <c r="D162" s="30"/>
      <c r="E162" s="32" t="s">
        <v>527</v>
      </c>
      <c r="F162" s="119">
        <f t="shared" si="49"/>
        <v>9856700</v>
      </c>
      <c r="G162" s="119">
        <v>9856700</v>
      </c>
      <c r="H162" s="119"/>
      <c r="I162" s="119"/>
      <c r="J162" s="119"/>
      <c r="K162" s="125">
        <f t="shared" si="46"/>
        <v>0</v>
      </c>
      <c r="L162" s="119"/>
      <c r="M162" s="119"/>
      <c r="N162" s="119"/>
      <c r="O162" s="119"/>
      <c r="P162" s="119"/>
      <c r="Q162" s="119">
        <f t="shared" si="45"/>
        <v>9856700</v>
      </c>
      <c r="R162" s="247"/>
    </row>
    <row r="163" spans="1:18" s="34" customFormat="1" ht="14.25" customHeight="1">
      <c r="A163" s="33"/>
      <c r="B163" s="30">
        <v>1513045</v>
      </c>
      <c r="C163" s="30">
        <v>3045</v>
      </c>
      <c r="D163" s="30">
        <v>1040</v>
      </c>
      <c r="E163" s="32" t="s">
        <v>487</v>
      </c>
      <c r="F163" s="119">
        <f t="shared" si="49"/>
        <v>58904500</v>
      </c>
      <c r="G163" s="119">
        <v>58904500</v>
      </c>
      <c r="H163" s="119"/>
      <c r="I163" s="119"/>
      <c r="J163" s="119"/>
      <c r="K163" s="125">
        <f t="shared" si="46"/>
        <v>0</v>
      </c>
      <c r="L163" s="119"/>
      <c r="M163" s="119"/>
      <c r="N163" s="119"/>
      <c r="O163" s="119"/>
      <c r="P163" s="119"/>
      <c r="Q163" s="119">
        <f t="shared" si="45"/>
        <v>58904500</v>
      </c>
      <c r="R163" s="247"/>
    </row>
    <row r="164" spans="1:18" s="34" customFormat="1" ht="17.25" customHeight="1">
      <c r="A164" s="33"/>
      <c r="B164" s="30"/>
      <c r="C164" s="30"/>
      <c r="D164" s="30"/>
      <c r="E164" s="32" t="s">
        <v>527</v>
      </c>
      <c r="F164" s="119">
        <f t="shared" si="49"/>
        <v>58904500</v>
      </c>
      <c r="G164" s="119">
        <v>58904500</v>
      </c>
      <c r="H164" s="119"/>
      <c r="I164" s="119"/>
      <c r="J164" s="119"/>
      <c r="K164" s="125">
        <f t="shared" si="46"/>
        <v>0</v>
      </c>
      <c r="L164" s="119"/>
      <c r="M164" s="119"/>
      <c r="N164" s="119"/>
      <c r="O164" s="119"/>
      <c r="P164" s="119"/>
      <c r="Q164" s="119">
        <f t="shared" si="45"/>
        <v>58904500</v>
      </c>
      <c r="R164" s="247"/>
    </row>
    <row r="165" spans="1:18" s="34" customFormat="1" ht="15" customHeight="1">
      <c r="A165" s="33"/>
      <c r="B165" s="30">
        <v>1513046</v>
      </c>
      <c r="C165" s="30">
        <v>3046</v>
      </c>
      <c r="D165" s="30">
        <v>1040</v>
      </c>
      <c r="E165" s="32" t="s">
        <v>488</v>
      </c>
      <c r="F165" s="119">
        <f t="shared" si="49"/>
        <v>2590200</v>
      </c>
      <c r="G165" s="119">
        <v>2590200</v>
      </c>
      <c r="H165" s="119"/>
      <c r="I165" s="119"/>
      <c r="J165" s="119"/>
      <c r="K165" s="125">
        <f t="shared" si="46"/>
        <v>0</v>
      </c>
      <c r="L165" s="119"/>
      <c r="M165" s="119"/>
      <c r="N165" s="119"/>
      <c r="O165" s="119"/>
      <c r="P165" s="119"/>
      <c r="Q165" s="119">
        <f t="shared" si="45"/>
        <v>2590200</v>
      </c>
      <c r="R165" s="247"/>
    </row>
    <row r="166" spans="1:18" s="34" customFormat="1" ht="15" customHeight="1">
      <c r="A166" s="33"/>
      <c r="B166" s="30"/>
      <c r="C166" s="30"/>
      <c r="D166" s="30"/>
      <c r="E166" s="32" t="s">
        <v>527</v>
      </c>
      <c r="F166" s="119">
        <f t="shared" si="49"/>
        <v>2590200</v>
      </c>
      <c r="G166" s="119">
        <v>2590200</v>
      </c>
      <c r="H166" s="119"/>
      <c r="I166" s="119"/>
      <c r="J166" s="119"/>
      <c r="K166" s="125">
        <f t="shared" si="46"/>
        <v>0</v>
      </c>
      <c r="L166" s="119"/>
      <c r="M166" s="119"/>
      <c r="N166" s="119"/>
      <c r="O166" s="119"/>
      <c r="P166" s="119"/>
      <c r="Q166" s="119">
        <f t="shared" si="45"/>
        <v>2590200</v>
      </c>
      <c r="R166" s="247"/>
    </row>
    <row r="167" spans="1:18" s="34" customFormat="1" ht="19.5" customHeight="1">
      <c r="A167" s="33"/>
      <c r="B167" s="30">
        <v>1513047</v>
      </c>
      <c r="C167" s="30">
        <v>3047</v>
      </c>
      <c r="D167" s="30">
        <v>1040</v>
      </c>
      <c r="E167" s="32" t="s">
        <v>489</v>
      </c>
      <c r="F167" s="119">
        <f t="shared" si="49"/>
        <v>354300</v>
      </c>
      <c r="G167" s="119">
        <v>354300</v>
      </c>
      <c r="H167" s="119"/>
      <c r="I167" s="119"/>
      <c r="J167" s="119"/>
      <c r="K167" s="125">
        <f t="shared" si="46"/>
        <v>0</v>
      </c>
      <c r="L167" s="119"/>
      <c r="M167" s="119"/>
      <c r="N167" s="119"/>
      <c r="O167" s="119"/>
      <c r="P167" s="119"/>
      <c r="Q167" s="119">
        <f t="shared" si="45"/>
        <v>354300</v>
      </c>
      <c r="R167" s="247"/>
    </row>
    <row r="168" spans="1:18" s="34" customFormat="1" ht="18.75" customHeight="1">
      <c r="A168" s="33"/>
      <c r="B168" s="30"/>
      <c r="C168" s="30"/>
      <c r="D168" s="30"/>
      <c r="E168" s="32" t="s">
        <v>527</v>
      </c>
      <c r="F168" s="119">
        <f t="shared" si="49"/>
        <v>354300</v>
      </c>
      <c r="G168" s="119">
        <v>354300</v>
      </c>
      <c r="H168" s="119"/>
      <c r="I168" s="119"/>
      <c r="J168" s="119"/>
      <c r="K168" s="125">
        <f t="shared" si="46"/>
        <v>0</v>
      </c>
      <c r="L168" s="119"/>
      <c r="M168" s="119"/>
      <c r="N168" s="119"/>
      <c r="O168" s="119"/>
      <c r="P168" s="119"/>
      <c r="Q168" s="119">
        <f t="shared" si="45"/>
        <v>354300</v>
      </c>
      <c r="R168" s="247"/>
    </row>
    <row r="169" spans="1:18" s="34" customFormat="1" ht="30">
      <c r="A169" s="33"/>
      <c r="B169" s="30">
        <v>1513048</v>
      </c>
      <c r="C169" s="30">
        <v>3048</v>
      </c>
      <c r="D169" s="30">
        <v>1040</v>
      </c>
      <c r="E169" s="32" t="s">
        <v>490</v>
      </c>
      <c r="F169" s="119">
        <f t="shared" si="49"/>
        <v>38809400</v>
      </c>
      <c r="G169" s="119">
        <v>38809400</v>
      </c>
      <c r="H169" s="119"/>
      <c r="I169" s="119"/>
      <c r="J169" s="119"/>
      <c r="K169" s="125">
        <f t="shared" si="46"/>
        <v>0</v>
      </c>
      <c r="L169" s="119"/>
      <c r="M169" s="119"/>
      <c r="N169" s="119"/>
      <c r="O169" s="119"/>
      <c r="P169" s="119"/>
      <c r="Q169" s="119">
        <f t="shared" si="45"/>
        <v>38809400</v>
      </c>
      <c r="R169" s="247"/>
    </row>
    <row r="170" spans="1:18" s="34" customFormat="1" ht="18.75" customHeight="1">
      <c r="A170" s="33"/>
      <c r="B170" s="30"/>
      <c r="C170" s="30"/>
      <c r="D170" s="30"/>
      <c r="E170" s="32" t="s">
        <v>527</v>
      </c>
      <c r="F170" s="119">
        <f t="shared" si="49"/>
        <v>38809400</v>
      </c>
      <c r="G170" s="119">
        <v>38809400</v>
      </c>
      <c r="H170" s="119"/>
      <c r="I170" s="119"/>
      <c r="J170" s="119"/>
      <c r="K170" s="125">
        <f t="shared" si="46"/>
        <v>0</v>
      </c>
      <c r="L170" s="119"/>
      <c r="M170" s="119"/>
      <c r="N170" s="119"/>
      <c r="O170" s="119"/>
      <c r="P170" s="119"/>
      <c r="Q170" s="119">
        <f t="shared" si="45"/>
        <v>38809400</v>
      </c>
      <c r="R170" s="247"/>
    </row>
    <row r="171" spans="1:18" s="34" customFormat="1" ht="30">
      <c r="A171" s="33"/>
      <c r="B171" s="30">
        <v>1513049</v>
      </c>
      <c r="C171" s="30">
        <v>3049</v>
      </c>
      <c r="D171" s="30">
        <v>1010</v>
      </c>
      <c r="E171" s="32" t="s">
        <v>491</v>
      </c>
      <c r="F171" s="119">
        <f t="shared" si="49"/>
        <v>50694000</v>
      </c>
      <c r="G171" s="119">
        <v>50694000</v>
      </c>
      <c r="H171" s="119"/>
      <c r="I171" s="119"/>
      <c r="J171" s="119"/>
      <c r="K171" s="125">
        <f t="shared" si="46"/>
        <v>0</v>
      </c>
      <c r="L171" s="119"/>
      <c r="M171" s="119"/>
      <c r="N171" s="119"/>
      <c r="O171" s="119"/>
      <c r="P171" s="119"/>
      <c r="Q171" s="119">
        <f t="shared" si="45"/>
        <v>50694000</v>
      </c>
      <c r="R171" s="247"/>
    </row>
    <row r="172" spans="1:18" s="34" customFormat="1" ht="22.5" customHeight="1">
      <c r="A172" s="33"/>
      <c r="B172" s="30"/>
      <c r="C172" s="30"/>
      <c r="D172" s="30"/>
      <c r="E172" s="32" t="s">
        <v>527</v>
      </c>
      <c r="F172" s="119">
        <f t="shared" si="49"/>
        <v>50694000</v>
      </c>
      <c r="G172" s="119">
        <v>50694000</v>
      </c>
      <c r="H172" s="119"/>
      <c r="I172" s="119"/>
      <c r="J172" s="119"/>
      <c r="K172" s="125">
        <f t="shared" si="46"/>
        <v>0</v>
      </c>
      <c r="L172" s="119"/>
      <c r="M172" s="119"/>
      <c r="N172" s="119"/>
      <c r="O172" s="119"/>
      <c r="P172" s="119"/>
      <c r="Q172" s="119">
        <f t="shared" si="45"/>
        <v>50694000</v>
      </c>
      <c r="R172" s="247"/>
    </row>
    <row r="173" spans="1:32" s="17" customFormat="1" ht="38.25" customHeight="1">
      <c r="A173" s="25"/>
      <c r="B173" s="28">
        <v>1513050</v>
      </c>
      <c r="C173" s="28">
        <v>3050</v>
      </c>
      <c r="D173" s="28">
        <v>1070</v>
      </c>
      <c r="E173" s="26" t="s">
        <v>109</v>
      </c>
      <c r="F173" s="118">
        <f>G173+J173</f>
        <v>930500</v>
      </c>
      <c r="G173" s="118">
        <f>540500+390000</f>
        <v>930500</v>
      </c>
      <c r="H173" s="118"/>
      <c r="I173" s="118"/>
      <c r="J173" s="118"/>
      <c r="K173" s="121">
        <f t="shared" si="46"/>
        <v>0</v>
      </c>
      <c r="L173" s="118"/>
      <c r="M173" s="118"/>
      <c r="N173" s="118"/>
      <c r="O173" s="118"/>
      <c r="P173" s="118"/>
      <c r="Q173" s="118">
        <f t="shared" si="45"/>
        <v>930500</v>
      </c>
      <c r="R173" s="247"/>
      <c r="S173" s="44"/>
      <c r="T173" s="44"/>
      <c r="U173" s="44"/>
      <c r="V173" s="44"/>
      <c r="W173" s="44"/>
      <c r="X173" s="44"/>
      <c r="Y173" s="44"/>
      <c r="Z173" s="44"/>
      <c r="AA173" s="44"/>
      <c r="AB173" s="44"/>
      <c r="AC173" s="44"/>
      <c r="AD173" s="44"/>
      <c r="AE173" s="44"/>
      <c r="AF173" s="44"/>
    </row>
    <row r="174" spans="1:32" s="17" customFormat="1" ht="40.5" customHeight="1">
      <c r="A174" s="16"/>
      <c r="B174" s="148">
        <v>1513080</v>
      </c>
      <c r="C174" s="148">
        <v>3080</v>
      </c>
      <c r="D174" s="148">
        <v>1010</v>
      </c>
      <c r="E174" s="26" t="s">
        <v>538</v>
      </c>
      <c r="F174" s="118">
        <f>G174+J174</f>
        <v>8977500</v>
      </c>
      <c r="G174" s="118">
        <v>8977500</v>
      </c>
      <c r="H174" s="118"/>
      <c r="I174" s="118"/>
      <c r="J174" s="118"/>
      <c r="K174" s="121">
        <f t="shared" si="46"/>
        <v>0</v>
      </c>
      <c r="L174" s="118"/>
      <c r="M174" s="118"/>
      <c r="N174" s="118"/>
      <c r="O174" s="118"/>
      <c r="P174" s="118"/>
      <c r="Q174" s="118">
        <f t="shared" si="45"/>
        <v>8977500</v>
      </c>
      <c r="R174" s="247"/>
      <c r="S174" s="44"/>
      <c r="T174" s="44"/>
      <c r="U174" s="44"/>
      <c r="V174" s="44"/>
      <c r="W174" s="44"/>
      <c r="X174" s="44"/>
      <c r="Y174" s="44"/>
      <c r="Z174" s="44"/>
      <c r="AA174" s="44"/>
      <c r="AB174" s="44"/>
      <c r="AC174" s="44"/>
      <c r="AD174" s="44"/>
      <c r="AE174" s="44"/>
      <c r="AF174" s="44"/>
    </row>
    <row r="175" spans="1:32" s="17" customFormat="1" ht="15.75" customHeight="1">
      <c r="A175" s="16"/>
      <c r="B175" s="148"/>
      <c r="C175" s="148"/>
      <c r="D175" s="148"/>
      <c r="E175" s="26" t="s">
        <v>527</v>
      </c>
      <c r="F175" s="118">
        <f>G175+J175</f>
        <v>8977500</v>
      </c>
      <c r="G175" s="118">
        <v>8977500</v>
      </c>
      <c r="H175" s="118"/>
      <c r="I175" s="118"/>
      <c r="J175" s="118"/>
      <c r="K175" s="121">
        <f t="shared" si="46"/>
        <v>0</v>
      </c>
      <c r="L175" s="118"/>
      <c r="M175" s="118"/>
      <c r="N175" s="118"/>
      <c r="O175" s="118"/>
      <c r="P175" s="118"/>
      <c r="Q175" s="118">
        <f t="shared" si="45"/>
        <v>8977500</v>
      </c>
      <c r="R175" s="247"/>
      <c r="S175" s="44"/>
      <c r="T175" s="44"/>
      <c r="U175" s="44"/>
      <c r="V175" s="44"/>
      <c r="W175" s="44"/>
      <c r="X175" s="44"/>
      <c r="Y175" s="44"/>
      <c r="Z175" s="44"/>
      <c r="AA175" s="44"/>
      <c r="AB175" s="44"/>
      <c r="AC175" s="44"/>
      <c r="AD175" s="44"/>
      <c r="AE175" s="44"/>
      <c r="AF175" s="44"/>
    </row>
    <row r="176" spans="1:32" s="17" customFormat="1" ht="22.5" customHeight="1">
      <c r="A176" s="16"/>
      <c r="B176" s="148">
        <v>1513090</v>
      </c>
      <c r="C176" s="148">
        <v>3090</v>
      </c>
      <c r="D176" s="148">
        <v>1030</v>
      </c>
      <c r="E176" s="207" t="s">
        <v>492</v>
      </c>
      <c r="F176" s="118">
        <f>G176+J176</f>
        <v>196100</v>
      </c>
      <c r="G176" s="118">
        <v>196100</v>
      </c>
      <c r="H176" s="118"/>
      <c r="I176" s="118"/>
      <c r="J176" s="118"/>
      <c r="K176" s="121">
        <f t="shared" si="46"/>
        <v>0</v>
      </c>
      <c r="L176" s="118"/>
      <c r="M176" s="118"/>
      <c r="N176" s="118"/>
      <c r="O176" s="118"/>
      <c r="P176" s="118"/>
      <c r="Q176" s="118">
        <f t="shared" si="45"/>
        <v>196100</v>
      </c>
      <c r="R176" s="247"/>
      <c r="S176" s="44"/>
      <c r="T176" s="44"/>
      <c r="U176" s="44"/>
      <c r="V176" s="44"/>
      <c r="W176" s="44"/>
      <c r="X176" s="44"/>
      <c r="Y176" s="44"/>
      <c r="Z176" s="44"/>
      <c r="AA176" s="44"/>
      <c r="AB176" s="44"/>
      <c r="AC176" s="44"/>
      <c r="AD176" s="44"/>
      <c r="AE176" s="44"/>
      <c r="AF176" s="44"/>
    </row>
    <row r="177" spans="1:32" s="17" customFormat="1" ht="45" customHeight="1">
      <c r="A177" s="16"/>
      <c r="B177" s="148">
        <v>1513100</v>
      </c>
      <c r="C177" s="148">
        <v>3100</v>
      </c>
      <c r="D177" s="148"/>
      <c r="E177" s="26" t="s">
        <v>110</v>
      </c>
      <c r="F177" s="121">
        <f>F178</f>
        <v>8318882</v>
      </c>
      <c r="G177" s="121">
        <f aca="true" t="shared" si="50" ref="G177:P177">G178</f>
        <v>8318882</v>
      </c>
      <c r="H177" s="121">
        <f t="shared" si="50"/>
        <v>6253700</v>
      </c>
      <c r="I177" s="121">
        <f t="shared" si="50"/>
        <v>195000</v>
      </c>
      <c r="J177" s="121">
        <f t="shared" si="50"/>
        <v>0</v>
      </c>
      <c r="K177" s="121">
        <f t="shared" si="50"/>
        <v>66803</v>
      </c>
      <c r="L177" s="121">
        <f t="shared" si="50"/>
        <v>48900</v>
      </c>
      <c r="M177" s="121">
        <f t="shared" si="50"/>
        <v>39000</v>
      </c>
      <c r="N177" s="121">
        <f t="shared" si="50"/>
        <v>0</v>
      </c>
      <c r="O177" s="121">
        <f t="shared" si="50"/>
        <v>17903</v>
      </c>
      <c r="P177" s="121">
        <f t="shared" si="50"/>
        <v>17903</v>
      </c>
      <c r="Q177" s="121">
        <f t="shared" si="45"/>
        <v>8385685</v>
      </c>
      <c r="R177" s="247"/>
      <c r="S177" s="44"/>
      <c r="T177" s="44"/>
      <c r="U177" s="44"/>
      <c r="V177" s="44"/>
      <c r="W177" s="44"/>
      <c r="X177" s="44"/>
      <c r="Y177" s="44"/>
      <c r="Z177" s="44"/>
      <c r="AA177" s="44"/>
      <c r="AB177" s="44"/>
      <c r="AC177" s="44"/>
      <c r="AD177" s="44"/>
      <c r="AE177" s="44"/>
      <c r="AF177" s="44"/>
    </row>
    <row r="178" spans="1:32" s="36" customFormat="1" ht="63" customHeight="1">
      <c r="A178" s="35"/>
      <c r="B178" s="30">
        <v>1513104</v>
      </c>
      <c r="C178" s="30">
        <v>3104</v>
      </c>
      <c r="D178" s="30">
        <v>1020</v>
      </c>
      <c r="E178" s="22" t="s">
        <v>111</v>
      </c>
      <c r="F178" s="119">
        <f>G178+J178</f>
        <v>8318882</v>
      </c>
      <c r="G178" s="119">
        <f>8537800-266700+43782+4000</f>
        <v>8318882</v>
      </c>
      <c r="H178" s="119">
        <f>6483800-230100</f>
        <v>6253700</v>
      </c>
      <c r="I178" s="119">
        <f>181600+13400</f>
        <v>195000</v>
      </c>
      <c r="J178" s="119"/>
      <c r="K178" s="119">
        <f>L178+O178</f>
        <v>66803</v>
      </c>
      <c r="L178" s="119">
        <v>48900</v>
      </c>
      <c r="M178" s="119">
        <v>39000</v>
      </c>
      <c r="N178" s="119"/>
      <c r="O178" s="119">
        <f>10000+7903</f>
        <v>17903</v>
      </c>
      <c r="P178" s="119">
        <f>10000+7903</f>
        <v>17903</v>
      </c>
      <c r="Q178" s="119">
        <f t="shared" si="45"/>
        <v>8385685</v>
      </c>
      <c r="R178" s="247"/>
      <c r="S178" s="34"/>
      <c r="T178" s="34"/>
      <c r="U178" s="34"/>
      <c r="V178" s="34"/>
      <c r="W178" s="34"/>
      <c r="X178" s="34"/>
      <c r="Y178" s="34"/>
      <c r="Z178" s="34"/>
      <c r="AA178" s="34"/>
      <c r="AB178" s="34"/>
      <c r="AC178" s="34"/>
      <c r="AD178" s="34"/>
      <c r="AE178" s="34"/>
      <c r="AF178" s="34"/>
    </row>
    <row r="179" spans="1:32" s="17" customFormat="1" ht="76.5" customHeight="1">
      <c r="A179" s="25"/>
      <c r="B179" s="28">
        <v>1513180</v>
      </c>
      <c r="C179" s="28">
        <v>3180</v>
      </c>
      <c r="D179" s="28"/>
      <c r="E179" s="111" t="s">
        <v>112</v>
      </c>
      <c r="F179" s="121">
        <f>F180+F181+F182</f>
        <v>1715937</v>
      </c>
      <c r="G179" s="121">
        <f aca="true" t="shared" si="51" ref="G179:Q179">G180+G181+G182</f>
        <v>1715937</v>
      </c>
      <c r="H179" s="121">
        <f t="shared" si="51"/>
        <v>0</v>
      </c>
      <c r="I179" s="121">
        <f t="shared" si="51"/>
        <v>0</v>
      </c>
      <c r="J179" s="121">
        <f t="shared" si="51"/>
        <v>0</v>
      </c>
      <c r="K179" s="121">
        <f t="shared" si="51"/>
        <v>0</v>
      </c>
      <c r="L179" s="121">
        <f t="shared" si="51"/>
        <v>0</v>
      </c>
      <c r="M179" s="121">
        <f t="shared" si="51"/>
        <v>0</v>
      </c>
      <c r="N179" s="121">
        <f t="shared" si="51"/>
        <v>0</v>
      </c>
      <c r="O179" s="121">
        <f t="shared" si="51"/>
        <v>0</v>
      </c>
      <c r="P179" s="121">
        <f t="shared" si="51"/>
        <v>0</v>
      </c>
      <c r="Q179" s="121">
        <f t="shared" si="51"/>
        <v>1715937</v>
      </c>
      <c r="R179" s="247"/>
      <c r="S179" s="44"/>
      <c r="T179" s="44"/>
      <c r="U179" s="44"/>
      <c r="V179" s="44"/>
      <c r="W179" s="44"/>
      <c r="X179" s="44"/>
      <c r="Y179" s="44"/>
      <c r="Z179" s="44"/>
      <c r="AA179" s="44"/>
      <c r="AB179" s="44"/>
      <c r="AC179" s="44"/>
      <c r="AD179" s="44"/>
      <c r="AE179" s="44"/>
      <c r="AF179" s="44"/>
    </row>
    <row r="180" spans="1:32" s="36" customFormat="1" ht="74.25" customHeight="1">
      <c r="A180" s="35"/>
      <c r="B180" s="30">
        <v>1513181</v>
      </c>
      <c r="C180" s="30">
        <v>3181</v>
      </c>
      <c r="D180" s="30">
        <v>1010</v>
      </c>
      <c r="E180" s="32" t="s">
        <v>113</v>
      </c>
      <c r="F180" s="119">
        <f>G180+J180</f>
        <v>1534100</v>
      </c>
      <c r="G180" s="119">
        <v>1534100</v>
      </c>
      <c r="H180" s="119"/>
      <c r="I180" s="119"/>
      <c r="J180" s="119"/>
      <c r="K180" s="119">
        <f>L180+O180</f>
        <v>0</v>
      </c>
      <c r="L180" s="119"/>
      <c r="M180" s="119"/>
      <c r="N180" s="119"/>
      <c r="O180" s="119"/>
      <c r="P180" s="119"/>
      <c r="Q180" s="119">
        <f t="shared" si="45"/>
        <v>1534100</v>
      </c>
      <c r="R180" s="247"/>
      <c r="S180" s="34"/>
      <c r="T180" s="34"/>
      <c r="U180" s="34"/>
      <c r="V180" s="34"/>
      <c r="W180" s="34"/>
      <c r="X180" s="34"/>
      <c r="Y180" s="34"/>
      <c r="Z180" s="34"/>
      <c r="AA180" s="34"/>
      <c r="AB180" s="34"/>
      <c r="AC180" s="34"/>
      <c r="AD180" s="34"/>
      <c r="AE180" s="34"/>
      <c r="AF180" s="34"/>
    </row>
    <row r="181" spans="1:32" s="36" customFormat="1" ht="45" customHeight="1">
      <c r="A181" s="35"/>
      <c r="B181" s="30">
        <v>1513182</v>
      </c>
      <c r="C181" s="30">
        <v>3182</v>
      </c>
      <c r="D181" s="30">
        <v>1010</v>
      </c>
      <c r="E181" s="32" t="s">
        <v>493</v>
      </c>
      <c r="F181" s="119">
        <f>G181+J181</f>
        <v>176637</v>
      </c>
      <c r="G181" s="119">
        <v>176637</v>
      </c>
      <c r="H181" s="119"/>
      <c r="I181" s="119"/>
      <c r="J181" s="119"/>
      <c r="K181" s="119">
        <f>L181+O181</f>
        <v>0</v>
      </c>
      <c r="L181" s="119"/>
      <c r="M181" s="119"/>
      <c r="N181" s="119"/>
      <c r="O181" s="119"/>
      <c r="P181" s="119"/>
      <c r="Q181" s="119">
        <f t="shared" si="45"/>
        <v>176637</v>
      </c>
      <c r="R181" s="247"/>
      <c r="S181" s="34"/>
      <c r="T181" s="34"/>
      <c r="U181" s="34"/>
      <c r="V181" s="34"/>
      <c r="W181" s="34"/>
      <c r="X181" s="34"/>
      <c r="Y181" s="34"/>
      <c r="Z181" s="34"/>
      <c r="AA181" s="34"/>
      <c r="AB181" s="34"/>
      <c r="AC181" s="34"/>
      <c r="AD181" s="34"/>
      <c r="AE181" s="34"/>
      <c r="AF181" s="34"/>
    </row>
    <row r="182" spans="1:32" s="36" customFormat="1" ht="20.25" customHeight="1">
      <c r="A182" s="35"/>
      <c r="B182" s="30">
        <v>1513183</v>
      </c>
      <c r="C182" s="30">
        <v>3183</v>
      </c>
      <c r="D182" s="30">
        <v>1010</v>
      </c>
      <c r="E182" s="32" t="s">
        <v>494</v>
      </c>
      <c r="F182" s="119">
        <f>G182+J182</f>
        <v>5200</v>
      </c>
      <c r="G182" s="119">
        <v>5200</v>
      </c>
      <c r="H182" s="119"/>
      <c r="I182" s="119"/>
      <c r="J182" s="119"/>
      <c r="K182" s="119">
        <f>L182+O182</f>
        <v>0</v>
      </c>
      <c r="L182" s="119"/>
      <c r="M182" s="119"/>
      <c r="N182" s="119"/>
      <c r="O182" s="119"/>
      <c r="P182" s="119"/>
      <c r="Q182" s="119">
        <f t="shared" si="45"/>
        <v>5200</v>
      </c>
      <c r="R182" s="247"/>
      <c r="S182" s="34"/>
      <c r="T182" s="34"/>
      <c r="U182" s="34"/>
      <c r="V182" s="34"/>
      <c r="W182" s="34"/>
      <c r="X182" s="34"/>
      <c r="Y182" s="34"/>
      <c r="Z182" s="34"/>
      <c r="AA182" s="34"/>
      <c r="AB182" s="34"/>
      <c r="AC182" s="34"/>
      <c r="AD182" s="34"/>
      <c r="AE182" s="34"/>
      <c r="AF182" s="34"/>
    </row>
    <row r="183" spans="1:32" s="17" customFormat="1" ht="81.75" customHeight="1">
      <c r="A183" s="25"/>
      <c r="B183" s="28">
        <v>1513190</v>
      </c>
      <c r="C183" s="28">
        <v>3190</v>
      </c>
      <c r="D183" s="28">
        <v>1060</v>
      </c>
      <c r="E183" s="26" t="s">
        <v>114</v>
      </c>
      <c r="F183" s="118">
        <f>G183+J183</f>
        <v>1832454</v>
      </c>
      <c r="G183" s="118">
        <v>1832454</v>
      </c>
      <c r="H183" s="118"/>
      <c r="I183" s="118"/>
      <c r="J183" s="118"/>
      <c r="K183" s="118">
        <f>L183+O183</f>
        <v>0</v>
      </c>
      <c r="L183" s="118"/>
      <c r="M183" s="118"/>
      <c r="N183" s="118"/>
      <c r="O183" s="118"/>
      <c r="P183" s="118"/>
      <c r="Q183" s="118">
        <f t="shared" si="45"/>
        <v>1832454</v>
      </c>
      <c r="R183" s="247"/>
      <c r="S183" s="44"/>
      <c r="T183" s="44"/>
      <c r="U183" s="44"/>
      <c r="V183" s="44"/>
      <c r="W183" s="44"/>
      <c r="X183" s="44"/>
      <c r="Y183" s="44"/>
      <c r="Z183" s="44"/>
      <c r="AA183" s="44"/>
      <c r="AB183" s="44"/>
      <c r="AC183" s="44"/>
      <c r="AD183" s="44"/>
      <c r="AE183" s="44"/>
      <c r="AF183" s="44"/>
    </row>
    <row r="184" spans="1:32" s="17" customFormat="1" ht="21.75" customHeight="1">
      <c r="A184" s="16"/>
      <c r="B184" s="148">
        <v>1513200</v>
      </c>
      <c r="C184" s="148">
        <v>3200</v>
      </c>
      <c r="D184" s="148"/>
      <c r="E184" s="26" t="s">
        <v>115</v>
      </c>
      <c r="F184" s="121">
        <f>F185+F186</f>
        <v>2532330</v>
      </c>
      <c r="G184" s="121">
        <f aca="true" t="shared" si="52" ref="G184:P184">G185+G186</f>
        <v>2532330</v>
      </c>
      <c r="H184" s="121">
        <f t="shared" si="52"/>
        <v>0</v>
      </c>
      <c r="I184" s="121">
        <f t="shared" si="52"/>
        <v>0</v>
      </c>
      <c r="J184" s="121">
        <f t="shared" si="52"/>
        <v>0</v>
      </c>
      <c r="K184" s="121">
        <f t="shared" si="52"/>
        <v>0</v>
      </c>
      <c r="L184" s="121">
        <f t="shared" si="52"/>
        <v>0</v>
      </c>
      <c r="M184" s="121">
        <f t="shared" si="52"/>
        <v>0</v>
      </c>
      <c r="N184" s="121">
        <f t="shared" si="52"/>
        <v>0</v>
      </c>
      <c r="O184" s="121">
        <f t="shared" si="52"/>
        <v>0</v>
      </c>
      <c r="P184" s="121">
        <f t="shared" si="52"/>
        <v>0</v>
      </c>
      <c r="Q184" s="121">
        <f t="shared" si="45"/>
        <v>2532330</v>
      </c>
      <c r="R184" s="247"/>
      <c r="S184" s="44"/>
      <c r="T184" s="44"/>
      <c r="U184" s="44"/>
      <c r="V184" s="44"/>
      <c r="W184" s="44"/>
      <c r="X184" s="44"/>
      <c r="Y184" s="44"/>
      <c r="Z184" s="44"/>
      <c r="AA184" s="44"/>
      <c r="AB184" s="44"/>
      <c r="AC184" s="44"/>
      <c r="AD184" s="44"/>
      <c r="AE184" s="44"/>
      <c r="AF184" s="44"/>
    </row>
    <row r="185" spans="1:32" s="36" customFormat="1" ht="31.5" customHeight="1">
      <c r="A185" s="35"/>
      <c r="B185" s="30">
        <v>1513201</v>
      </c>
      <c r="C185" s="30">
        <v>3201</v>
      </c>
      <c r="D185" s="30">
        <v>1030</v>
      </c>
      <c r="E185" s="22" t="s">
        <v>21</v>
      </c>
      <c r="F185" s="119">
        <f>G185+J185</f>
        <v>1419900</v>
      </c>
      <c r="G185" s="119">
        <f>1346729+73171</f>
        <v>1419900</v>
      </c>
      <c r="H185" s="119"/>
      <c r="I185" s="119"/>
      <c r="J185" s="119"/>
      <c r="K185" s="119">
        <f>L185+O185</f>
        <v>0</v>
      </c>
      <c r="L185" s="119"/>
      <c r="M185" s="119"/>
      <c r="N185" s="119"/>
      <c r="O185" s="119"/>
      <c r="P185" s="119"/>
      <c r="Q185" s="119">
        <f t="shared" si="45"/>
        <v>1419900</v>
      </c>
      <c r="R185" s="247"/>
      <c r="S185" s="34"/>
      <c r="T185" s="34"/>
      <c r="U185" s="34"/>
      <c r="V185" s="34"/>
      <c r="W185" s="34"/>
      <c r="X185" s="34"/>
      <c r="Y185" s="34"/>
      <c r="Z185" s="34"/>
      <c r="AA185" s="34"/>
      <c r="AB185" s="34"/>
      <c r="AC185" s="34"/>
      <c r="AD185" s="34"/>
      <c r="AE185" s="34"/>
      <c r="AF185" s="34"/>
    </row>
    <row r="186" spans="1:32" s="17" customFormat="1" ht="45">
      <c r="A186" s="25"/>
      <c r="B186" s="27">
        <v>1513202</v>
      </c>
      <c r="C186" s="27">
        <v>3202</v>
      </c>
      <c r="D186" s="27">
        <v>1030</v>
      </c>
      <c r="E186" s="22" t="s">
        <v>116</v>
      </c>
      <c r="F186" s="119">
        <f>G186+J186</f>
        <v>1112430</v>
      </c>
      <c r="G186" s="119">
        <f>863275+249155</f>
        <v>1112430</v>
      </c>
      <c r="H186" s="119"/>
      <c r="I186" s="119"/>
      <c r="J186" s="119"/>
      <c r="K186" s="119">
        <f>L186+O186</f>
        <v>0</v>
      </c>
      <c r="L186" s="119"/>
      <c r="M186" s="119"/>
      <c r="N186" s="119"/>
      <c r="O186" s="119"/>
      <c r="P186" s="119"/>
      <c r="Q186" s="119">
        <f t="shared" si="45"/>
        <v>1112430</v>
      </c>
      <c r="R186" s="247"/>
      <c r="S186" s="44"/>
      <c r="T186" s="44"/>
      <c r="U186" s="44"/>
      <c r="V186" s="44"/>
      <c r="W186" s="44"/>
      <c r="X186" s="44"/>
      <c r="Y186" s="44"/>
      <c r="Z186" s="44"/>
      <c r="AA186" s="44"/>
      <c r="AB186" s="44"/>
      <c r="AC186" s="44"/>
      <c r="AD186" s="44"/>
      <c r="AE186" s="44"/>
      <c r="AF186" s="44"/>
    </row>
    <row r="187" spans="1:32" s="17" customFormat="1" ht="30">
      <c r="A187" s="16"/>
      <c r="B187" s="148">
        <v>1513220</v>
      </c>
      <c r="C187" s="148">
        <v>3220</v>
      </c>
      <c r="D187" s="148">
        <v>1090</v>
      </c>
      <c r="E187" s="111" t="s">
        <v>213</v>
      </c>
      <c r="F187" s="118">
        <f>G187+J187</f>
        <v>160000</v>
      </c>
      <c r="G187" s="118">
        <f>90000+70000</f>
        <v>160000</v>
      </c>
      <c r="H187" s="118"/>
      <c r="I187" s="118"/>
      <c r="J187" s="118"/>
      <c r="K187" s="118"/>
      <c r="L187" s="118"/>
      <c r="M187" s="118"/>
      <c r="N187" s="118"/>
      <c r="O187" s="118"/>
      <c r="P187" s="118"/>
      <c r="Q187" s="118">
        <f t="shared" si="45"/>
        <v>160000</v>
      </c>
      <c r="R187" s="247"/>
      <c r="S187" s="44"/>
      <c r="T187" s="44"/>
      <c r="U187" s="44"/>
      <c r="V187" s="44"/>
      <c r="W187" s="44"/>
      <c r="X187" s="44"/>
      <c r="Y187" s="44"/>
      <c r="Z187" s="44"/>
      <c r="AA187" s="44"/>
      <c r="AB187" s="44"/>
      <c r="AC187" s="44"/>
      <c r="AD187" s="44"/>
      <c r="AE187" s="44"/>
      <c r="AF187" s="44"/>
    </row>
    <row r="188" spans="1:32" s="17" customFormat="1" ht="28.5" customHeight="1">
      <c r="A188" s="16"/>
      <c r="B188" s="82" t="s">
        <v>242</v>
      </c>
      <c r="C188" s="82" t="s">
        <v>406</v>
      </c>
      <c r="D188" s="82" t="s">
        <v>407</v>
      </c>
      <c r="E188" s="111" t="s">
        <v>208</v>
      </c>
      <c r="F188" s="119">
        <f>G188+I188</f>
        <v>385600</v>
      </c>
      <c r="G188" s="121">
        <f>285600+100000</f>
        <v>385600</v>
      </c>
      <c r="H188" s="121">
        <f>234192+81965</f>
        <v>316157</v>
      </c>
      <c r="I188" s="121"/>
      <c r="J188" s="121"/>
      <c r="K188" s="121">
        <f>L188+O188</f>
        <v>0</v>
      </c>
      <c r="L188" s="121"/>
      <c r="M188" s="121"/>
      <c r="N188" s="121"/>
      <c r="O188" s="121"/>
      <c r="P188" s="121"/>
      <c r="Q188" s="121">
        <f t="shared" si="45"/>
        <v>385600</v>
      </c>
      <c r="R188" s="247"/>
      <c r="S188" s="44"/>
      <c r="T188" s="44"/>
      <c r="U188" s="44"/>
      <c r="V188" s="44"/>
      <c r="W188" s="44"/>
      <c r="X188" s="44"/>
      <c r="Y188" s="44"/>
      <c r="Z188" s="44"/>
      <c r="AA188" s="44"/>
      <c r="AB188" s="44"/>
      <c r="AC188" s="44"/>
      <c r="AD188" s="44"/>
      <c r="AE188" s="44"/>
      <c r="AF188" s="44"/>
    </row>
    <row r="189" spans="1:32" s="17" customFormat="1" ht="22.5" customHeight="1">
      <c r="A189" s="16"/>
      <c r="B189" s="148">
        <v>1513300</v>
      </c>
      <c r="C189" s="148">
        <v>3300</v>
      </c>
      <c r="D189" s="148">
        <v>1090</v>
      </c>
      <c r="E189" s="111" t="s">
        <v>22</v>
      </c>
      <c r="F189" s="118">
        <f>F190+F191</f>
        <v>4066100</v>
      </c>
      <c r="G189" s="118">
        <f aca="true" t="shared" si="53" ref="G189:P189">G190+G191</f>
        <v>4066100</v>
      </c>
      <c r="H189" s="118">
        <f t="shared" si="53"/>
        <v>2374100</v>
      </c>
      <c r="I189" s="118">
        <f t="shared" si="53"/>
        <v>760100</v>
      </c>
      <c r="J189" s="118">
        <f t="shared" si="53"/>
        <v>0</v>
      </c>
      <c r="K189" s="118">
        <f t="shared" si="53"/>
        <v>857500</v>
      </c>
      <c r="L189" s="118">
        <f t="shared" si="53"/>
        <v>0</v>
      </c>
      <c r="M189" s="118">
        <f t="shared" si="53"/>
        <v>0</v>
      </c>
      <c r="N189" s="118">
        <f t="shared" si="53"/>
        <v>0</v>
      </c>
      <c r="O189" s="118">
        <f t="shared" si="53"/>
        <v>857500</v>
      </c>
      <c r="P189" s="118">
        <f t="shared" si="53"/>
        <v>857500</v>
      </c>
      <c r="Q189" s="118">
        <f t="shared" si="45"/>
        <v>4923600</v>
      </c>
      <c r="R189" s="247"/>
      <c r="S189" s="44"/>
      <c r="T189" s="44"/>
      <c r="U189" s="44"/>
      <c r="V189" s="44"/>
      <c r="W189" s="44"/>
      <c r="X189" s="44"/>
      <c r="Y189" s="44"/>
      <c r="Z189" s="44"/>
      <c r="AA189" s="44"/>
      <c r="AB189" s="44"/>
      <c r="AC189" s="44"/>
      <c r="AD189" s="44"/>
      <c r="AE189" s="44"/>
      <c r="AF189" s="44"/>
    </row>
    <row r="190" spans="1:32" s="36" customFormat="1" ht="42.75" customHeight="1">
      <c r="A190" s="35"/>
      <c r="B190" s="30">
        <v>1513300</v>
      </c>
      <c r="C190" s="30">
        <v>3300</v>
      </c>
      <c r="D190" s="31" t="s">
        <v>264</v>
      </c>
      <c r="E190" s="32" t="s">
        <v>214</v>
      </c>
      <c r="F190" s="119">
        <f>G190+J190</f>
        <v>1604100</v>
      </c>
      <c r="G190" s="119">
        <f>1599700-25600+30000</f>
        <v>1604100</v>
      </c>
      <c r="H190" s="119">
        <f>1030700-38500</f>
        <v>992200</v>
      </c>
      <c r="I190" s="119">
        <f>152700+25400</f>
        <v>178100</v>
      </c>
      <c r="J190" s="125"/>
      <c r="K190" s="125">
        <f>L190+O190</f>
        <v>257500</v>
      </c>
      <c r="L190" s="125"/>
      <c r="M190" s="125"/>
      <c r="N190" s="125"/>
      <c r="O190" s="119">
        <v>257500</v>
      </c>
      <c r="P190" s="119">
        <v>257500</v>
      </c>
      <c r="Q190" s="119">
        <f t="shared" si="45"/>
        <v>1861600</v>
      </c>
      <c r="R190" s="247"/>
      <c r="S190" s="34"/>
      <c r="T190" s="34"/>
      <c r="U190" s="34"/>
      <c r="V190" s="34"/>
      <c r="W190" s="34"/>
      <c r="X190" s="34"/>
      <c r="Y190" s="34"/>
      <c r="Z190" s="34"/>
      <c r="AA190" s="34"/>
      <c r="AB190" s="34"/>
      <c r="AC190" s="34"/>
      <c r="AD190" s="34"/>
      <c r="AE190" s="34"/>
      <c r="AF190" s="34"/>
    </row>
    <row r="191" spans="1:32" s="36" customFormat="1" ht="66.75" customHeight="1">
      <c r="A191" s="35"/>
      <c r="B191" s="30">
        <v>1513300</v>
      </c>
      <c r="C191" s="30">
        <v>3300</v>
      </c>
      <c r="D191" s="31" t="s">
        <v>264</v>
      </c>
      <c r="E191" s="32" t="s">
        <v>243</v>
      </c>
      <c r="F191" s="119">
        <f>G191+J191</f>
        <v>2462000</v>
      </c>
      <c r="G191" s="119">
        <f>2434500+27500</f>
        <v>2462000</v>
      </c>
      <c r="H191" s="119">
        <f>1432200-50300</f>
        <v>1381900</v>
      </c>
      <c r="I191" s="119">
        <f>493100+88900</f>
        <v>582000</v>
      </c>
      <c r="J191" s="125"/>
      <c r="K191" s="125">
        <f>L191+O191</f>
        <v>600000</v>
      </c>
      <c r="L191" s="125"/>
      <c r="M191" s="125"/>
      <c r="N191" s="125"/>
      <c r="O191" s="119">
        <v>600000</v>
      </c>
      <c r="P191" s="119">
        <v>600000</v>
      </c>
      <c r="Q191" s="119">
        <f t="shared" si="45"/>
        <v>3062000</v>
      </c>
      <c r="R191" s="247" t="s">
        <v>553</v>
      </c>
      <c r="S191" s="34"/>
      <c r="T191" s="34"/>
      <c r="U191" s="34"/>
      <c r="V191" s="34"/>
      <c r="W191" s="34"/>
      <c r="X191" s="34"/>
      <c r="Y191" s="34"/>
      <c r="Z191" s="34"/>
      <c r="AA191" s="34"/>
      <c r="AB191" s="34"/>
      <c r="AC191" s="34"/>
      <c r="AD191" s="34"/>
      <c r="AE191" s="34"/>
      <c r="AF191" s="34"/>
    </row>
    <row r="192" spans="1:32" s="17" customFormat="1" ht="17.25" customHeight="1">
      <c r="A192" s="16"/>
      <c r="B192" s="82" t="s">
        <v>117</v>
      </c>
      <c r="C192" s="82" t="s">
        <v>409</v>
      </c>
      <c r="D192" s="82" t="s">
        <v>264</v>
      </c>
      <c r="E192" s="26" t="s">
        <v>11</v>
      </c>
      <c r="F192" s="118">
        <f>F193+F194+F195</f>
        <v>7968540</v>
      </c>
      <c r="G192" s="118">
        <f>G193+G194+G195</f>
        <v>7968540</v>
      </c>
      <c r="H192" s="118">
        <f aca="true" t="shared" si="54" ref="H192:Q192">H193+H194+H195</f>
        <v>0</v>
      </c>
      <c r="I192" s="118">
        <f t="shared" si="54"/>
        <v>0</v>
      </c>
      <c r="J192" s="118">
        <f t="shared" si="54"/>
        <v>0</v>
      </c>
      <c r="K192" s="118">
        <f t="shared" si="54"/>
        <v>0</v>
      </c>
      <c r="L192" s="118">
        <f t="shared" si="54"/>
        <v>0</v>
      </c>
      <c r="M192" s="118">
        <f t="shared" si="54"/>
        <v>0</v>
      </c>
      <c r="N192" s="118">
        <f t="shared" si="54"/>
        <v>0</v>
      </c>
      <c r="O192" s="118">
        <f t="shared" si="54"/>
        <v>0</v>
      </c>
      <c r="P192" s="118">
        <f t="shared" si="54"/>
        <v>0</v>
      </c>
      <c r="Q192" s="118">
        <f t="shared" si="54"/>
        <v>7968540</v>
      </c>
      <c r="R192" s="247"/>
      <c r="S192" s="44"/>
      <c r="T192" s="44"/>
      <c r="U192" s="44"/>
      <c r="V192" s="44"/>
      <c r="W192" s="44"/>
      <c r="X192" s="44"/>
      <c r="Y192" s="44"/>
      <c r="Z192" s="44"/>
      <c r="AA192" s="44"/>
      <c r="AB192" s="44"/>
      <c r="AC192" s="44"/>
      <c r="AD192" s="44"/>
      <c r="AE192" s="44"/>
      <c r="AF192" s="44"/>
    </row>
    <row r="193" spans="1:32" s="36" customFormat="1" ht="35.25" customHeight="1">
      <c r="A193" s="35"/>
      <c r="B193" s="31" t="s">
        <v>117</v>
      </c>
      <c r="C193" s="31" t="s">
        <v>409</v>
      </c>
      <c r="D193" s="31" t="s">
        <v>264</v>
      </c>
      <c r="E193" s="32" t="s">
        <v>426</v>
      </c>
      <c r="F193" s="119">
        <f>G193+J193</f>
        <v>3896036</v>
      </c>
      <c r="G193" s="119">
        <f>2263526+193500+129000+400000+569700+320310+20000</f>
        <v>3896036</v>
      </c>
      <c r="H193" s="119"/>
      <c r="I193" s="119"/>
      <c r="J193" s="119"/>
      <c r="K193" s="119">
        <f>L193+O193</f>
        <v>0</v>
      </c>
      <c r="L193" s="119"/>
      <c r="M193" s="119"/>
      <c r="N193" s="119"/>
      <c r="O193" s="119"/>
      <c r="P193" s="119"/>
      <c r="Q193" s="119">
        <f t="shared" si="45"/>
        <v>3896036</v>
      </c>
      <c r="R193" s="247"/>
      <c r="S193" s="34"/>
      <c r="T193" s="34"/>
      <c r="U193" s="34"/>
      <c r="V193" s="34"/>
      <c r="W193" s="34"/>
      <c r="X193" s="34"/>
      <c r="Y193" s="34"/>
      <c r="Z193" s="34"/>
      <c r="AA193" s="34"/>
      <c r="AB193" s="34"/>
      <c r="AC193" s="34"/>
      <c r="AD193" s="34"/>
      <c r="AE193" s="34"/>
      <c r="AF193" s="34"/>
    </row>
    <row r="194" spans="1:32" s="36" customFormat="1" ht="45" customHeight="1">
      <c r="A194" s="35"/>
      <c r="B194" s="31" t="s">
        <v>117</v>
      </c>
      <c r="C194" s="31" t="s">
        <v>409</v>
      </c>
      <c r="D194" s="31" t="s">
        <v>264</v>
      </c>
      <c r="E194" s="32" t="s">
        <v>437</v>
      </c>
      <c r="F194" s="119">
        <f>G194+J194</f>
        <v>3749504</v>
      </c>
      <c r="G194" s="119">
        <f>2749504+1000000</f>
        <v>3749504</v>
      </c>
      <c r="H194" s="119"/>
      <c r="I194" s="119"/>
      <c r="J194" s="119"/>
      <c r="K194" s="119">
        <f>L194+O194</f>
        <v>0</v>
      </c>
      <c r="L194" s="119"/>
      <c r="M194" s="119"/>
      <c r="N194" s="119"/>
      <c r="O194" s="119"/>
      <c r="P194" s="119"/>
      <c r="Q194" s="119">
        <f t="shared" si="45"/>
        <v>3749504</v>
      </c>
      <c r="R194" s="247"/>
      <c r="S194" s="34"/>
      <c r="T194" s="34"/>
      <c r="U194" s="34"/>
      <c r="V194" s="34"/>
      <c r="W194" s="34"/>
      <c r="X194" s="34"/>
      <c r="Y194" s="34"/>
      <c r="Z194" s="34"/>
      <c r="AA194" s="34"/>
      <c r="AB194" s="34"/>
      <c r="AC194" s="34"/>
      <c r="AD194" s="34"/>
      <c r="AE194" s="34"/>
      <c r="AF194" s="34"/>
    </row>
    <row r="195" spans="1:32" s="36" customFormat="1" ht="28.5" customHeight="1">
      <c r="A195" s="35"/>
      <c r="B195" s="31" t="s">
        <v>117</v>
      </c>
      <c r="C195" s="31" t="s">
        <v>409</v>
      </c>
      <c r="D195" s="31" t="s">
        <v>264</v>
      </c>
      <c r="E195" s="22" t="s">
        <v>495</v>
      </c>
      <c r="F195" s="119">
        <f>G195+J195</f>
        <v>323000</v>
      </c>
      <c r="G195" s="119">
        <v>323000</v>
      </c>
      <c r="H195" s="119"/>
      <c r="I195" s="119"/>
      <c r="J195" s="119"/>
      <c r="K195" s="119">
        <f>L195+O195</f>
        <v>0</v>
      </c>
      <c r="L195" s="119"/>
      <c r="M195" s="119"/>
      <c r="N195" s="119"/>
      <c r="O195" s="119"/>
      <c r="P195" s="119"/>
      <c r="Q195" s="119">
        <f t="shared" si="45"/>
        <v>323000</v>
      </c>
      <c r="R195" s="247"/>
      <c r="S195" s="34"/>
      <c r="T195" s="34"/>
      <c r="U195" s="34"/>
      <c r="V195" s="34"/>
      <c r="W195" s="34"/>
      <c r="X195" s="34"/>
      <c r="Y195" s="34"/>
      <c r="Z195" s="34"/>
      <c r="AA195" s="34"/>
      <c r="AB195" s="34"/>
      <c r="AC195" s="34"/>
      <c r="AD195" s="34"/>
      <c r="AE195" s="34"/>
      <c r="AF195" s="34"/>
    </row>
    <row r="196" spans="1:32" s="36" customFormat="1" ht="23.25" customHeight="1">
      <c r="A196" s="35"/>
      <c r="B196" s="29" t="s">
        <v>387</v>
      </c>
      <c r="C196" s="29" t="s">
        <v>347</v>
      </c>
      <c r="D196" s="29" t="s">
        <v>348</v>
      </c>
      <c r="E196" s="111" t="s">
        <v>154</v>
      </c>
      <c r="F196" s="119">
        <f>G196+J196</f>
        <v>0</v>
      </c>
      <c r="G196" s="119"/>
      <c r="H196" s="119"/>
      <c r="I196" s="119"/>
      <c r="J196" s="119"/>
      <c r="K196" s="119">
        <f>L196+O196</f>
        <v>300000</v>
      </c>
      <c r="L196" s="119"/>
      <c r="M196" s="119"/>
      <c r="N196" s="119"/>
      <c r="O196" s="119">
        <v>300000</v>
      </c>
      <c r="P196" s="119">
        <v>300000</v>
      </c>
      <c r="Q196" s="119">
        <f t="shared" si="45"/>
        <v>300000</v>
      </c>
      <c r="R196" s="247"/>
      <c r="S196" s="34"/>
      <c r="T196" s="34"/>
      <c r="U196" s="34"/>
      <c r="V196" s="34"/>
      <c r="W196" s="34"/>
      <c r="X196" s="34"/>
      <c r="Y196" s="34"/>
      <c r="Z196" s="34"/>
      <c r="AA196" s="34"/>
      <c r="AB196" s="34"/>
      <c r="AC196" s="34"/>
      <c r="AD196" s="34"/>
      <c r="AE196" s="34"/>
      <c r="AF196" s="34"/>
    </row>
    <row r="197" spans="1:32" s="116" customFormat="1" ht="18" customHeight="1">
      <c r="A197" s="113"/>
      <c r="B197" s="18" t="s">
        <v>118</v>
      </c>
      <c r="C197" s="18"/>
      <c r="D197" s="18"/>
      <c r="E197" s="19" t="s">
        <v>120</v>
      </c>
      <c r="F197" s="126">
        <f>F198</f>
        <v>1617700</v>
      </c>
      <c r="G197" s="126">
        <f aca="true" t="shared" si="55" ref="G197:P197">G198</f>
        <v>1617700</v>
      </c>
      <c r="H197" s="126">
        <f t="shared" si="55"/>
        <v>1217500</v>
      </c>
      <c r="I197" s="126">
        <f t="shared" si="55"/>
        <v>35000</v>
      </c>
      <c r="J197" s="126">
        <f t="shared" si="55"/>
        <v>0</v>
      </c>
      <c r="K197" s="126">
        <f t="shared" si="55"/>
        <v>376000</v>
      </c>
      <c r="L197" s="126">
        <f t="shared" si="55"/>
        <v>0</v>
      </c>
      <c r="M197" s="126">
        <f t="shared" si="55"/>
        <v>0</v>
      </c>
      <c r="N197" s="126">
        <f t="shared" si="55"/>
        <v>0</v>
      </c>
      <c r="O197" s="126">
        <f t="shared" si="55"/>
        <v>376000</v>
      </c>
      <c r="P197" s="126">
        <f t="shared" si="55"/>
        <v>376000</v>
      </c>
      <c r="Q197" s="126">
        <f t="shared" si="45"/>
        <v>1993700</v>
      </c>
      <c r="R197" s="247"/>
      <c r="S197" s="115"/>
      <c r="T197" s="115"/>
      <c r="U197" s="115"/>
      <c r="V197" s="115"/>
      <c r="W197" s="115"/>
      <c r="X197" s="115"/>
      <c r="Y197" s="115"/>
      <c r="Z197" s="115"/>
      <c r="AA197" s="115"/>
      <c r="AB197" s="115"/>
      <c r="AC197" s="115"/>
      <c r="AD197" s="115"/>
      <c r="AE197" s="115"/>
      <c r="AF197" s="115"/>
    </row>
    <row r="198" spans="1:32" s="221" customFormat="1" ht="18" customHeight="1">
      <c r="A198" s="219"/>
      <c r="B198" s="136" t="s">
        <v>119</v>
      </c>
      <c r="C198" s="136"/>
      <c r="D198" s="136"/>
      <c r="E198" s="137" t="s">
        <v>120</v>
      </c>
      <c r="F198" s="135">
        <f>F199+F200</f>
        <v>1617700</v>
      </c>
      <c r="G198" s="135">
        <f aca="true" t="shared" si="56" ref="G198:P198">G199+G200</f>
        <v>1617700</v>
      </c>
      <c r="H198" s="135">
        <f t="shared" si="56"/>
        <v>1217500</v>
      </c>
      <c r="I198" s="135">
        <f t="shared" si="56"/>
        <v>35000</v>
      </c>
      <c r="J198" s="135">
        <f t="shared" si="56"/>
        <v>0</v>
      </c>
      <c r="K198" s="135">
        <f t="shared" si="56"/>
        <v>376000</v>
      </c>
      <c r="L198" s="135">
        <f t="shared" si="56"/>
        <v>0</v>
      </c>
      <c r="M198" s="135">
        <f t="shared" si="56"/>
        <v>0</v>
      </c>
      <c r="N198" s="135">
        <f t="shared" si="56"/>
        <v>0</v>
      </c>
      <c r="O198" s="135">
        <f t="shared" si="56"/>
        <v>376000</v>
      </c>
      <c r="P198" s="135">
        <f t="shared" si="56"/>
        <v>376000</v>
      </c>
      <c r="Q198" s="135">
        <f t="shared" si="45"/>
        <v>1993700</v>
      </c>
      <c r="R198" s="247"/>
      <c r="S198" s="220"/>
      <c r="T198" s="220"/>
      <c r="U198" s="220"/>
      <c r="V198" s="220"/>
      <c r="W198" s="220"/>
      <c r="X198" s="220"/>
      <c r="Y198" s="220"/>
      <c r="Z198" s="220"/>
      <c r="AA198" s="220"/>
      <c r="AB198" s="220"/>
      <c r="AC198" s="220"/>
      <c r="AD198" s="220"/>
      <c r="AE198" s="220"/>
      <c r="AF198" s="220"/>
    </row>
    <row r="199" spans="1:32" s="17" customFormat="1" ht="30">
      <c r="A199" s="181"/>
      <c r="B199" s="110" t="s">
        <v>121</v>
      </c>
      <c r="C199" s="110" t="s">
        <v>251</v>
      </c>
      <c r="D199" s="110" t="s">
        <v>252</v>
      </c>
      <c r="E199" s="111" t="s">
        <v>536</v>
      </c>
      <c r="F199" s="118">
        <f>G199+J199</f>
        <v>1562700</v>
      </c>
      <c r="G199" s="118">
        <f>1472800+3300-21700+108300</f>
        <v>1562700</v>
      </c>
      <c r="H199" s="118">
        <f>1133400+84100</f>
        <v>1217500</v>
      </c>
      <c r="I199" s="118">
        <f>31700+3300</f>
        <v>35000</v>
      </c>
      <c r="J199" s="118"/>
      <c r="K199" s="118">
        <f>L199+O199</f>
        <v>376000</v>
      </c>
      <c r="L199" s="118"/>
      <c r="M199" s="118"/>
      <c r="N199" s="118"/>
      <c r="O199" s="118">
        <f>26000+350000</f>
        <v>376000</v>
      </c>
      <c r="P199" s="118">
        <f>26000+350000</f>
        <v>376000</v>
      </c>
      <c r="Q199" s="118">
        <f aca="true" t="shared" si="57" ref="Q199:Q259">F199+K199</f>
        <v>1938700</v>
      </c>
      <c r="R199" s="247"/>
      <c r="S199" s="44"/>
      <c r="T199" s="44"/>
      <c r="U199" s="44"/>
      <c r="V199" s="44"/>
      <c r="W199" s="44"/>
      <c r="X199" s="44"/>
      <c r="Y199" s="44"/>
      <c r="Z199" s="44"/>
      <c r="AA199" s="44"/>
      <c r="AB199" s="44"/>
      <c r="AC199" s="44"/>
      <c r="AD199" s="44"/>
      <c r="AE199" s="44"/>
      <c r="AF199" s="44"/>
    </row>
    <row r="200" spans="1:32" s="17" customFormat="1" ht="30">
      <c r="A200" s="16"/>
      <c r="B200" s="147" t="s">
        <v>126</v>
      </c>
      <c r="C200" s="147" t="s">
        <v>417</v>
      </c>
      <c r="D200" s="147"/>
      <c r="E200" s="111" t="s">
        <v>125</v>
      </c>
      <c r="F200" s="118">
        <f>F201</f>
        <v>55000</v>
      </c>
      <c r="G200" s="118">
        <f aca="true" t="shared" si="58" ref="G200:P200">G201</f>
        <v>55000</v>
      </c>
      <c r="H200" s="118">
        <f t="shared" si="58"/>
        <v>0</v>
      </c>
      <c r="I200" s="118">
        <f t="shared" si="58"/>
        <v>0</v>
      </c>
      <c r="J200" s="118">
        <f t="shared" si="58"/>
        <v>0</v>
      </c>
      <c r="K200" s="118">
        <f t="shared" si="58"/>
        <v>0</v>
      </c>
      <c r="L200" s="118">
        <f t="shared" si="58"/>
        <v>0</v>
      </c>
      <c r="M200" s="118">
        <f t="shared" si="58"/>
        <v>0</v>
      </c>
      <c r="N200" s="118">
        <f t="shared" si="58"/>
        <v>0</v>
      </c>
      <c r="O200" s="118">
        <f t="shared" si="58"/>
        <v>0</v>
      </c>
      <c r="P200" s="118">
        <f t="shared" si="58"/>
        <v>0</v>
      </c>
      <c r="Q200" s="118">
        <f t="shared" si="57"/>
        <v>55000</v>
      </c>
      <c r="R200" s="247"/>
      <c r="S200" s="44"/>
      <c r="T200" s="44"/>
      <c r="U200" s="44"/>
      <c r="V200" s="44"/>
      <c r="W200" s="44"/>
      <c r="X200" s="44"/>
      <c r="Y200" s="44"/>
      <c r="Z200" s="44"/>
      <c r="AA200" s="44"/>
      <c r="AB200" s="44"/>
      <c r="AC200" s="44"/>
      <c r="AD200" s="44"/>
      <c r="AE200" s="44"/>
      <c r="AF200" s="44"/>
    </row>
    <row r="201" spans="1:32" s="36" customFormat="1" ht="30">
      <c r="A201" s="35"/>
      <c r="B201" s="39" t="s">
        <v>123</v>
      </c>
      <c r="C201" s="39" t="s">
        <v>398</v>
      </c>
      <c r="D201" s="39" t="s">
        <v>394</v>
      </c>
      <c r="E201" s="32" t="s">
        <v>122</v>
      </c>
      <c r="F201" s="119">
        <f>G201+J201</f>
        <v>55000</v>
      </c>
      <c r="G201" s="119">
        <v>55000</v>
      </c>
      <c r="H201" s="119"/>
      <c r="I201" s="119"/>
      <c r="J201" s="119"/>
      <c r="K201" s="119">
        <f>L201+O201</f>
        <v>0</v>
      </c>
      <c r="L201" s="119"/>
      <c r="M201" s="119"/>
      <c r="N201" s="119"/>
      <c r="O201" s="119"/>
      <c r="P201" s="119"/>
      <c r="Q201" s="119">
        <f t="shared" si="57"/>
        <v>55000</v>
      </c>
      <c r="R201" s="247"/>
      <c r="S201" s="34"/>
      <c r="T201" s="34"/>
      <c r="U201" s="34"/>
      <c r="V201" s="34"/>
      <c r="W201" s="34"/>
      <c r="X201" s="34"/>
      <c r="Y201" s="34"/>
      <c r="Z201" s="34"/>
      <c r="AA201" s="34"/>
      <c r="AB201" s="34"/>
      <c r="AC201" s="34"/>
      <c r="AD201" s="34"/>
      <c r="AE201" s="34"/>
      <c r="AF201" s="34"/>
    </row>
    <row r="202" spans="1:32" s="116" customFormat="1" ht="27.75" customHeight="1">
      <c r="A202" s="113"/>
      <c r="B202" s="131" t="s">
        <v>127</v>
      </c>
      <c r="C202" s="131"/>
      <c r="D202" s="131"/>
      <c r="E202" s="19" t="s">
        <v>124</v>
      </c>
      <c r="F202" s="126">
        <f>F203</f>
        <v>43315293</v>
      </c>
      <c r="G202" s="126">
        <f aca="true" t="shared" si="59" ref="G202:P202">G203</f>
        <v>43315293</v>
      </c>
      <c r="H202" s="126">
        <f t="shared" si="59"/>
        <v>31322600</v>
      </c>
      <c r="I202" s="126">
        <f t="shared" si="59"/>
        <v>2235720</v>
      </c>
      <c r="J202" s="126">
        <f t="shared" si="59"/>
        <v>0</v>
      </c>
      <c r="K202" s="126">
        <f t="shared" si="59"/>
        <v>5240007</v>
      </c>
      <c r="L202" s="126">
        <f t="shared" si="59"/>
        <v>1411980</v>
      </c>
      <c r="M202" s="126">
        <f t="shared" si="59"/>
        <v>1136786</v>
      </c>
      <c r="N202" s="126">
        <f t="shared" si="59"/>
        <v>0</v>
      </c>
      <c r="O202" s="126">
        <f t="shared" si="59"/>
        <v>3828027</v>
      </c>
      <c r="P202" s="126">
        <f t="shared" si="59"/>
        <v>3823427</v>
      </c>
      <c r="Q202" s="126">
        <f t="shared" si="57"/>
        <v>48555300</v>
      </c>
      <c r="R202" s="247"/>
      <c r="S202" s="115"/>
      <c r="T202" s="115"/>
      <c r="U202" s="115"/>
      <c r="V202" s="115"/>
      <c r="W202" s="115"/>
      <c r="X202" s="115"/>
      <c r="Y202" s="115"/>
      <c r="Z202" s="115"/>
      <c r="AA202" s="115"/>
      <c r="AB202" s="115"/>
      <c r="AC202" s="115"/>
      <c r="AD202" s="115"/>
      <c r="AE202" s="115"/>
      <c r="AF202" s="115"/>
    </row>
    <row r="203" spans="1:32" s="221" customFormat="1" ht="23.25" customHeight="1">
      <c r="A203" s="219"/>
      <c r="B203" s="133" t="s">
        <v>128</v>
      </c>
      <c r="C203" s="133"/>
      <c r="D203" s="133"/>
      <c r="E203" s="137" t="s">
        <v>124</v>
      </c>
      <c r="F203" s="135">
        <f>F204+F205+F206+F207+F208+F210</f>
        <v>43315293</v>
      </c>
      <c r="G203" s="135">
        <f aca="true" t="shared" si="60" ref="G203:P203">G204+G205+G206+G207+G208+G210</f>
        <v>43315293</v>
      </c>
      <c r="H203" s="135">
        <f t="shared" si="60"/>
        <v>31322600</v>
      </c>
      <c r="I203" s="135">
        <f t="shared" si="60"/>
        <v>2235720</v>
      </c>
      <c r="J203" s="135">
        <f t="shared" si="60"/>
        <v>0</v>
      </c>
      <c r="K203" s="135">
        <f t="shared" si="60"/>
        <v>5240007</v>
      </c>
      <c r="L203" s="135">
        <f t="shared" si="60"/>
        <v>1411980</v>
      </c>
      <c r="M203" s="135">
        <f t="shared" si="60"/>
        <v>1136786</v>
      </c>
      <c r="N203" s="135">
        <f t="shared" si="60"/>
        <v>0</v>
      </c>
      <c r="O203" s="135">
        <f t="shared" si="60"/>
        <v>3828027</v>
      </c>
      <c r="P203" s="135">
        <f t="shared" si="60"/>
        <v>3823427</v>
      </c>
      <c r="Q203" s="135">
        <f t="shared" si="57"/>
        <v>48555300</v>
      </c>
      <c r="R203" s="247"/>
      <c r="S203" s="220"/>
      <c r="T203" s="220"/>
      <c r="U203" s="220"/>
      <c r="V203" s="220"/>
      <c r="W203" s="220"/>
      <c r="X203" s="220"/>
      <c r="Y203" s="220"/>
      <c r="Z203" s="220"/>
      <c r="AA203" s="220"/>
      <c r="AB203" s="220"/>
      <c r="AC203" s="220"/>
      <c r="AD203" s="220"/>
      <c r="AE203" s="220"/>
      <c r="AF203" s="220"/>
    </row>
    <row r="204" spans="1:32" s="17" customFormat="1" ht="30">
      <c r="A204" s="181"/>
      <c r="B204" s="110" t="s">
        <v>129</v>
      </c>
      <c r="C204" s="110" t="s">
        <v>251</v>
      </c>
      <c r="D204" s="110" t="s">
        <v>252</v>
      </c>
      <c r="E204" s="111" t="s">
        <v>536</v>
      </c>
      <c r="F204" s="118">
        <f>G204+J204</f>
        <v>677900</v>
      </c>
      <c r="G204" s="118">
        <f>686700+1400-10200</f>
        <v>677900</v>
      </c>
      <c r="H204" s="118">
        <v>504200</v>
      </c>
      <c r="I204" s="118">
        <f>13100+1400</f>
        <v>14500</v>
      </c>
      <c r="J204" s="118"/>
      <c r="K204" s="118">
        <f>L204+O204</f>
        <v>254500</v>
      </c>
      <c r="L204" s="118"/>
      <c r="M204" s="118"/>
      <c r="N204" s="118"/>
      <c r="O204" s="118">
        <f>13000+241500</f>
        <v>254500</v>
      </c>
      <c r="P204" s="118">
        <f>13000+241500</f>
        <v>254500</v>
      </c>
      <c r="Q204" s="118">
        <f t="shared" si="57"/>
        <v>932400</v>
      </c>
      <c r="R204" s="247"/>
      <c r="S204" s="44"/>
      <c r="T204" s="44"/>
      <c r="U204" s="44"/>
      <c r="V204" s="44"/>
      <c r="W204" s="44"/>
      <c r="X204" s="44"/>
      <c r="Y204" s="44"/>
      <c r="Z204" s="44"/>
      <c r="AA204" s="44"/>
      <c r="AB204" s="44"/>
      <c r="AC204" s="44"/>
      <c r="AD204" s="44"/>
      <c r="AE204" s="44"/>
      <c r="AF204" s="44"/>
    </row>
    <row r="205" spans="1:32" s="17" customFormat="1" ht="37.5" customHeight="1">
      <c r="A205" s="16"/>
      <c r="B205" s="147" t="s">
        <v>131</v>
      </c>
      <c r="C205" s="147" t="s">
        <v>307</v>
      </c>
      <c r="D205" s="147" t="s">
        <v>308</v>
      </c>
      <c r="E205" s="111" t="s">
        <v>130</v>
      </c>
      <c r="F205" s="118">
        <f>G205+J205</f>
        <v>1493500</v>
      </c>
      <c r="G205" s="120">
        <f>1443500+50000</f>
        <v>1493500</v>
      </c>
      <c r="H205" s="120">
        <v>0</v>
      </c>
      <c r="I205" s="120">
        <v>0</v>
      </c>
      <c r="J205" s="120"/>
      <c r="K205" s="118">
        <f>L205+O205</f>
        <v>0</v>
      </c>
      <c r="L205" s="118"/>
      <c r="M205" s="118"/>
      <c r="N205" s="118"/>
      <c r="O205" s="118"/>
      <c r="P205" s="118"/>
      <c r="Q205" s="118">
        <f t="shared" si="57"/>
        <v>1493500</v>
      </c>
      <c r="R205" s="247"/>
      <c r="S205" s="44"/>
      <c r="T205" s="44"/>
      <c r="U205" s="44"/>
      <c r="V205" s="44"/>
      <c r="W205" s="44"/>
      <c r="X205" s="44"/>
      <c r="Y205" s="44"/>
      <c r="Z205" s="44"/>
      <c r="AA205" s="44"/>
      <c r="AB205" s="44"/>
      <c r="AC205" s="44"/>
      <c r="AD205" s="44"/>
      <c r="AE205" s="44"/>
      <c r="AF205" s="44"/>
    </row>
    <row r="206" spans="1:32" s="17" customFormat="1" ht="21" customHeight="1">
      <c r="A206" s="16"/>
      <c r="B206" s="147" t="s">
        <v>133</v>
      </c>
      <c r="C206" s="147" t="s">
        <v>309</v>
      </c>
      <c r="D206" s="147" t="s">
        <v>310</v>
      </c>
      <c r="E206" s="111" t="s">
        <v>132</v>
      </c>
      <c r="F206" s="118">
        <f>G206+J206</f>
        <v>14639830</v>
      </c>
      <c r="G206" s="120">
        <f>14647070+50000-143240+45000+41000</f>
        <v>14639830</v>
      </c>
      <c r="H206" s="120">
        <f>10542300-293100</f>
        <v>10249200</v>
      </c>
      <c r="I206" s="120">
        <f>1094170+212870</f>
        <v>1307040</v>
      </c>
      <c r="J206" s="120"/>
      <c r="K206" s="118">
        <f>L206+O206</f>
        <v>1075000</v>
      </c>
      <c r="L206" s="118">
        <v>25000</v>
      </c>
      <c r="M206" s="118">
        <v>5000</v>
      </c>
      <c r="N206" s="118"/>
      <c r="O206" s="120">
        <f>460000+600000-25000+10000+5000</f>
        <v>1050000</v>
      </c>
      <c r="P206" s="120">
        <f>460000+600000-25000+10000+5000</f>
        <v>1050000</v>
      </c>
      <c r="Q206" s="120">
        <f t="shared" si="57"/>
        <v>15714830</v>
      </c>
      <c r="R206" s="247"/>
      <c r="S206" s="44"/>
      <c r="T206" s="44"/>
      <c r="U206" s="44"/>
      <c r="V206" s="44"/>
      <c r="W206" s="44"/>
      <c r="X206" s="44"/>
      <c r="Y206" s="44"/>
      <c r="Z206" s="44"/>
      <c r="AA206" s="44"/>
      <c r="AB206" s="44"/>
      <c r="AC206" s="44"/>
      <c r="AD206" s="44"/>
      <c r="AE206" s="44"/>
      <c r="AF206" s="44"/>
    </row>
    <row r="207" spans="1:32" s="17" customFormat="1" ht="21" customHeight="1">
      <c r="A207" s="16"/>
      <c r="B207" s="147" t="s">
        <v>135</v>
      </c>
      <c r="C207" s="147" t="s">
        <v>311</v>
      </c>
      <c r="D207" s="147" t="s">
        <v>265</v>
      </c>
      <c r="E207" s="111" t="s">
        <v>134</v>
      </c>
      <c r="F207" s="118">
        <f>G207+J207</f>
        <v>25472853</v>
      </c>
      <c r="G207" s="120">
        <f>24382330-501250+1557573+34200</f>
        <v>25472853</v>
      </c>
      <c r="H207" s="120">
        <f>19115300-535900+1229500</f>
        <v>19808900</v>
      </c>
      <c r="I207" s="120">
        <f>739260+152050</f>
        <v>891310</v>
      </c>
      <c r="J207" s="120"/>
      <c r="K207" s="118">
        <f>L207+O207</f>
        <v>1799007</v>
      </c>
      <c r="L207" s="118">
        <v>1386980</v>
      </c>
      <c r="M207" s="118">
        <v>1131786</v>
      </c>
      <c r="N207" s="118"/>
      <c r="O207" s="120">
        <f>50000+4600+250000+300000+42427-250000+15000</f>
        <v>412027</v>
      </c>
      <c r="P207" s="120">
        <f>50000+250000+300000+42427-250000+15000</f>
        <v>407427</v>
      </c>
      <c r="Q207" s="120">
        <f t="shared" si="57"/>
        <v>27271860</v>
      </c>
      <c r="R207" s="247"/>
      <c r="S207" s="44"/>
      <c r="T207" s="44"/>
      <c r="U207" s="44"/>
      <c r="V207" s="44"/>
      <c r="W207" s="44"/>
      <c r="X207" s="44"/>
      <c r="Y207" s="44"/>
      <c r="Z207" s="44"/>
      <c r="AA207" s="44"/>
      <c r="AB207" s="44"/>
      <c r="AC207" s="44"/>
      <c r="AD207" s="44"/>
      <c r="AE207" s="44"/>
      <c r="AF207" s="44"/>
    </row>
    <row r="208" spans="1:32" s="17" customFormat="1" ht="21" customHeight="1">
      <c r="A208" s="16"/>
      <c r="B208" s="147" t="s">
        <v>136</v>
      </c>
      <c r="C208" s="147" t="s">
        <v>312</v>
      </c>
      <c r="D208" s="147" t="s">
        <v>313</v>
      </c>
      <c r="E208" s="111" t="s">
        <v>42</v>
      </c>
      <c r="F208" s="118">
        <f aca="true" t="shared" si="61" ref="F208:P208">F209</f>
        <v>1026210</v>
      </c>
      <c r="G208" s="118">
        <f t="shared" si="61"/>
        <v>1026210</v>
      </c>
      <c r="H208" s="118">
        <f t="shared" si="61"/>
        <v>760300</v>
      </c>
      <c r="I208" s="118">
        <f t="shared" si="61"/>
        <v>22870</v>
      </c>
      <c r="J208" s="118">
        <f t="shared" si="61"/>
        <v>0</v>
      </c>
      <c r="K208" s="118">
        <f t="shared" si="61"/>
        <v>309500</v>
      </c>
      <c r="L208" s="118">
        <f t="shared" si="61"/>
        <v>0</v>
      </c>
      <c r="M208" s="118">
        <f t="shared" si="61"/>
        <v>0</v>
      </c>
      <c r="N208" s="118">
        <f t="shared" si="61"/>
        <v>0</v>
      </c>
      <c r="O208" s="118">
        <f t="shared" si="61"/>
        <v>309500</v>
      </c>
      <c r="P208" s="118">
        <f t="shared" si="61"/>
        <v>309500</v>
      </c>
      <c r="Q208" s="118">
        <f t="shared" si="57"/>
        <v>1335710</v>
      </c>
      <c r="R208" s="247"/>
      <c r="S208" s="44"/>
      <c r="T208" s="44"/>
      <c r="U208" s="44"/>
      <c r="V208" s="44"/>
      <c r="W208" s="44"/>
      <c r="X208" s="44"/>
      <c r="Y208" s="44"/>
      <c r="Z208" s="44"/>
      <c r="AA208" s="44"/>
      <c r="AB208" s="44"/>
      <c r="AC208" s="44"/>
      <c r="AD208" s="44"/>
      <c r="AE208" s="44"/>
      <c r="AF208" s="44"/>
    </row>
    <row r="209" spans="1:32" s="36" customFormat="1" ht="30.75" customHeight="1">
      <c r="A209" s="35"/>
      <c r="B209" s="39" t="s">
        <v>136</v>
      </c>
      <c r="C209" s="39" t="s">
        <v>312</v>
      </c>
      <c r="D209" s="31" t="s">
        <v>313</v>
      </c>
      <c r="E209" s="32" t="s">
        <v>137</v>
      </c>
      <c r="F209" s="119">
        <f>G209+J209</f>
        <v>1026210</v>
      </c>
      <c r="G209" s="124">
        <f>1060300-34090</f>
        <v>1026210</v>
      </c>
      <c r="H209" s="124">
        <f>789640-29340</f>
        <v>760300</v>
      </c>
      <c r="I209" s="124">
        <f>21200+1670</f>
        <v>22870</v>
      </c>
      <c r="J209" s="124"/>
      <c r="K209" s="119">
        <f>L209+O209</f>
        <v>309500</v>
      </c>
      <c r="L209" s="119"/>
      <c r="M209" s="119"/>
      <c r="N209" s="119"/>
      <c r="O209" s="124">
        <f>51000+258500</f>
        <v>309500</v>
      </c>
      <c r="P209" s="124">
        <f>51000+258500</f>
        <v>309500</v>
      </c>
      <c r="Q209" s="124">
        <f t="shared" si="57"/>
        <v>1335710</v>
      </c>
      <c r="R209" s="247"/>
      <c r="S209" s="34"/>
      <c r="T209" s="34"/>
      <c r="U209" s="34"/>
      <c r="V209" s="34"/>
      <c r="W209" s="34"/>
      <c r="X209" s="34"/>
      <c r="Y209" s="34"/>
      <c r="Z209" s="34"/>
      <c r="AA209" s="34"/>
      <c r="AB209" s="34"/>
      <c r="AC209" s="34"/>
      <c r="AD209" s="34"/>
      <c r="AE209" s="34"/>
      <c r="AF209" s="34"/>
    </row>
    <row r="210" spans="1:32" s="17" customFormat="1" ht="22.5" customHeight="1">
      <c r="A210" s="25"/>
      <c r="B210" s="29" t="s">
        <v>384</v>
      </c>
      <c r="C210" s="29" t="s">
        <v>347</v>
      </c>
      <c r="D210" s="29" t="s">
        <v>348</v>
      </c>
      <c r="E210" s="26" t="s">
        <v>154</v>
      </c>
      <c r="F210" s="118">
        <f>G210+J210</f>
        <v>5000</v>
      </c>
      <c r="G210" s="120">
        <v>5000</v>
      </c>
      <c r="H210" s="120"/>
      <c r="I210" s="120"/>
      <c r="J210" s="120"/>
      <c r="K210" s="118">
        <f>L210+O210</f>
        <v>1802000</v>
      </c>
      <c r="L210" s="118"/>
      <c r="M210" s="118"/>
      <c r="N210" s="118"/>
      <c r="O210" s="120">
        <f>1088000+439000+275000</f>
        <v>1802000</v>
      </c>
      <c r="P210" s="120">
        <f>1088000+439000+275000</f>
        <v>1802000</v>
      </c>
      <c r="Q210" s="120">
        <f t="shared" si="57"/>
        <v>1807000</v>
      </c>
      <c r="R210" s="247"/>
      <c r="S210" s="44"/>
      <c r="T210" s="44"/>
      <c r="U210" s="44"/>
      <c r="V210" s="44"/>
      <c r="W210" s="44"/>
      <c r="X210" s="44"/>
      <c r="Y210" s="44"/>
      <c r="Z210" s="44"/>
      <c r="AA210" s="44"/>
      <c r="AB210" s="44"/>
      <c r="AC210" s="44"/>
      <c r="AD210" s="44"/>
      <c r="AE210" s="44"/>
      <c r="AF210" s="44"/>
    </row>
    <row r="211" spans="1:32" s="116" customFormat="1" ht="33" customHeight="1">
      <c r="A211" s="113"/>
      <c r="B211" s="131" t="s">
        <v>139</v>
      </c>
      <c r="C211" s="131"/>
      <c r="D211" s="131"/>
      <c r="E211" s="19" t="s">
        <v>138</v>
      </c>
      <c r="F211" s="126">
        <f>F212</f>
        <v>69942182</v>
      </c>
      <c r="G211" s="126">
        <f aca="true" t="shared" si="62" ref="G211:O211">G212</f>
        <v>36880131</v>
      </c>
      <c r="H211" s="126">
        <f t="shared" si="62"/>
        <v>3905608</v>
      </c>
      <c r="I211" s="126">
        <f t="shared" si="62"/>
        <v>18693200</v>
      </c>
      <c r="J211" s="126">
        <f t="shared" si="62"/>
        <v>33062051</v>
      </c>
      <c r="K211" s="126">
        <f t="shared" si="62"/>
        <v>178219630.18</v>
      </c>
      <c r="L211" s="126">
        <f t="shared" si="62"/>
        <v>1919270.18</v>
      </c>
      <c r="M211" s="126">
        <f t="shared" si="62"/>
        <v>0</v>
      </c>
      <c r="N211" s="126">
        <f t="shared" si="62"/>
        <v>0</v>
      </c>
      <c r="O211" s="126">
        <f t="shared" si="62"/>
        <v>176300360</v>
      </c>
      <c r="P211" s="126">
        <f>P212</f>
        <v>168034900</v>
      </c>
      <c r="Q211" s="126">
        <f t="shared" si="57"/>
        <v>248161812.18</v>
      </c>
      <c r="R211" s="247"/>
      <c r="S211" s="115"/>
      <c r="T211" s="115"/>
      <c r="U211" s="115"/>
      <c r="V211" s="115"/>
      <c r="W211" s="115"/>
      <c r="X211" s="115"/>
      <c r="Y211" s="115"/>
      <c r="Z211" s="115"/>
      <c r="AA211" s="115"/>
      <c r="AB211" s="115"/>
      <c r="AC211" s="115"/>
      <c r="AD211" s="115"/>
      <c r="AE211" s="115"/>
      <c r="AF211" s="115"/>
    </row>
    <row r="212" spans="1:32" s="221" customFormat="1" ht="36" customHeight="1">
      <c r="A212" s="219"/>
      <c r="B212" s="133" t="s">
        <v>140</v>
      </c>
      <c r="C212" s="133"/>
      <c r="D212" s="133"/>
      <c r="E212" s="137" t="s">
        <v>138</v>
      </c>
      <c r="F212" s="135">
        <f aca="true" t="shared" si="63" ref="F212:Q212">F213+F216+F219+F221+F228+F229+F236+F231+F230+F234+F215+F227+F237+F222+F214+F238+F226+F223+F224</f>
        <v>69942182</v>
      </c>
      <c r="G212" s="135">
        <f t="shared" si="63"/>
        <v>36880131</v>
      </c>
      <c r="H212" s="135">
        <f t="shared" si="63"/>
        <v>3905608</v>
      </c>
      <c r="I212" s="135">
        <f t="shared" si="63"/>
        <v>18693200</v>
      </c>
      <c r="J212" s="135">
        <f t="shared" si="63"/>
        <v>33062051</v>
      </c>
      <c r="K212" s="135">
        <f t="shared" si="63"/>
        <v>178219630.18</v>
      </c>
      <c r="L212" s="135">
        <f t="shared" si="63"/>
        <v>1919270.18</v>
      </c>
      <c r="M212" s="135">
        <f t="shared" si="63"/>
        <v>0</v>
      </c>
      <c r="N212" s="135">
        <f t="shared" si="63"/>
        <v>0</v>
      </c>
      <c r="O212" s="135">
        <f t="shared" si="63"/>
        <v>176300360</v>
      </c>
      <c r="P212" s="135">
        <f t="shared" si="63"/>
        <v>168034900</v>
      </c>
      <c r="Q212" s="135">
        <f t="shared" si="63"/>
        <v>248161812.18</v>
      </c>
      <c r="R212" s="247"/>
      <c r="S212" s="220"/>
      <c r="T212" s="220"/>
      <c r="U212" s="220"/>
      <c r="V212" s="220"/>
      <c r="W212" s="220"/>
      <c r="X212" s="220"/>
      <c r="Y212" s="220"/>
      <c r="Z212" s="220"/>
      <c r="AA212" s="220"/>
      <c r="AB212" s="220"/>
      <c r="AC212" s="220"/>
      <c r="AD212" s="220"/>
      <c r="AE212" s="220"/>
      <c r="AF212" s="220"/>
    </row>
    <row r="213" spans="1:32" s="17" customFormat="1" ht="30">
      <c r="A213" s="181"/>
      <c r="B213" s="110" t="s">
        <v>141</v>
      </c>
      <c r="C213" s="110" t="s">
        <v>251</v>
      </c>
      <c r="D213" s="110" t="s">
        <v>252</v>
      </c>
      <c r="E213" s="111" t="s">
        <v>536</v>
      </c>
      <c r="F213" s="118">
        <f>G213+J213</f>
        <v>5107800</v>
      </c>
      <c r="G213" s="118">
        <f>5141100+13000-46300</f>
        <v>5107800</v>
      </c>
      <c r="H213" s="118">
        <v>3893800</v>
      </c>
      <c r="I213" s="118">
        <f>105700+13000</f>
        <v>118700</v>
      </c>
      <c r="J213" s="118"/>
      <c r="K213" s="118">
        <f>L213+O213</f>
        <v>200000</v>
      </c>
      <c r="L213" s="118"/>
      <c r="M213" s="118"/>
      <c r="N213" s="118"/>
      <c r="O213" s="118">
        <v>200000</v>
      </c>
      <c r="P213" s="118">
        <v>200000</v>
      </c>
      <c r="Q213" s="118">
        <f t="shared" si="57"/>
        <v>5307800</v>
      </c>
      <c r="R213" s="247"/>
      <c r="S213" s="44"/>
      <c r="T213" s="44"/>
      <c r="U213" s="44"/>
      <c r="V213" s="44"/>
      <c r="W213" s="44"/>
      <c r="X213" s="44"/>
      <c r="Y213" s="44"/>
      <c r="Z213" s="44"/>
      <c r="AA213" s="44"/>
      <c r="AB213" s="44"/>
      <c r="AC213" s="44"/>
      <c r="AD213" s="44"/>
      <c r="AE213" s="44"/>
      <c r="AF213" s="44"/>
    </row>
    <row r="214" spans="1:32" s="17" customFormat="1" ht="19.5" customHeight="1">
      <c r="A214" s="16"/>
      <c r="B214" s="82" t="s">
        <v>428</v>
      </c>
      <c r="C214" s="82" t="s">
        <v>406</v>
      </c>
      <c r="D214" s="82" t="s">
        <v>407</v>
      </c>
      <c r="E214" s="111" t="s">
        <v>208</v>
      </c>
      <c r="F214" s="118">
        <f>G214+J214</f>
        <v>564400</v>
      </c>
      <c r="G214" s="118">
        <f>364400+150000+50000</f>
        <v>564400</v>
      </c>
      <c r="H214" s="118">
        <v>11808</v>
      </c>
      <c r="I214" s="118"/>
      <c r="J214" s="118"/>
      <c r="K214" s="118"/>
      <c r="L214" s="118"/>
      <c r="M214" s="118"/>
      <c r="N214" s="118"/>
      <c r="O214" s="118"/>
      <c r="P214" s="118"/>
      <c r="Q214" s="118">
        <f t="shared" si="57"/>
        <v>564400</v>
      </c>
      <c r="R214" s="247"/>
      <c r="S214" s="44"/>
      <c r="T214" s="44"/>
      <c r="U214" s="44"/>
      <c r="V214" s="44"/>
      <c r="W214" s="44"/>
      <c r="X214" s="44"/>
      <c r="Y214" s="44"/>
      <c r="Z214" s="44"/>
      <c r="AA214" s="44"/>
      <c r="AB214" s="44"/>
      <c r="AC214" s="44"/>
      <c r="AD214" s="44"/>
      <c r="AE214" s="44"/>
      <c r="AF214" s="44"/>
    </row>
    <row r="215" spans="1:32" s="17" customFormat="1" ht="45">
      <c r="A215" s="16"/>
      <c r="B215" s="147" t="s">
        <v>210</v>
      </c>
      <c r="C215" s="147" t="s">
        <v>295</v>
      </c>
      <c r="D215" s="147" t="s">
        <v>296</v>
      </c>
      <c r="E215" s="111" t="s">
        <v>211</v>
      </c>
      <c r="F215" s="118">
        <f>G215+J215</f>
        <v>1572000</v>
      </c>
      <c r="G215" s="118">
        <f>1500000+72000</f>
        <v>1572000</v>
      </c>
      <c r="H215" s="118"/>
      <c r="I215" s="118"/>
      <c r="J215" s="118"/>
      <c r="K215" s="118">
        <f>L215+O215</f>
        <v>0</v>
      </c>
      <c r="L215" s="118"/>
      <c r="M215" s="118"/>
      <c r="N215" s="118"/>
      <c r="O215" s="118"/>
      <c r="P215" s="118"/>
      <c r="Q215" s="118">
        <f t="shared" si="57"/>
        <v>1572000</v>
      </c>
      <c r="R215" s="247"/>
      <c r="S215" s="44"/>
      <c r="T215" s="44"/>
      <c r="U215" s="44"/>
      <c r="V215" s="44"/>
      <c r="W215" s="44"/>
      <c r="X215" s="44"/>
      <c r="Y215" s="44"/>
      <c r="Z215" s="44"/>
      <c r="AA215" s="44"/>
      <c r="AB215" s="44"/>
      <c r="AC215" s="44"/>
      <c r="AD215" s="44"/>
      <c r="AE215" s="44"/>
      <c r="AF215" s="44"/>
    </row>
    <row r="216" spans="1:32" s="17" customFormat="1" ht="25.5" customHeight="1">
      <c r="A216" s="16"/>
      <c r="B216" s="147" t="s">
        <v>143</v>
      </c>
      <c r="C216" s="147" t="s">
        <v>297</v>
      </c>
      <c r="D216" s="147"/>
      <c r="E216" s="111" t="s">
        <v>142</v>
      </c>
      <c r="F216" s="118">
        <f>F217+F218</f>
        <v>480000</v>
      </c>
      <c r="G216" s="118">
        <f aca="true" t="shared" si="64" ref="G216:O216">G217+G218</f>
        <v>480000</v>
      </c>
      <c r="H216" s="118">
        <f t="shared" si="64"/>
        <v>0</v>
      </c>
      <c r="I216" s="118">
        <f t="shared" si="64"/>
        <v>0</v>
      </c>
      <c r="J216" s="118">
        <f t="shared" si="64"/>
        <v>0</v>
      </c>
      <c r="K216" s="118">
        <f t="shared" si="64"/>
        <v>71307427</v>
      </c>
      <c r="L216" s="118">
        <f t="shared" si="64"/>
        <v>0</v>
      </c>
      <c r="M216" s="118">
        <f t="shared" si="64"/>
        <v>0</v>
      </c>
      <c r="N216" s="118">
        <f t="shared" si="64"/>
        <v>0</v>
      </c>
      <c r="O216" s="118">
        <f t="shared" si="64"/>
        <v>71307427</v>
      </c>
      <c r="P216" s="118">
        <f>P217+P218</f>
        <v>71307427</v>
      </c>
      <c r="Q216" s="118">
        <f t="shared" si="57"/>
        <v>71787427</v>
      </c>
      <c r="R216" s="247"/>
      <c r="S216" s="44"/>
      <c r="T216" s="44"/>
      <c r="U216" s="44"/>
      <c r="V216" s="44"/>
      <c r="W216" s="44"/>
      <c r="X216" s="44"/>
      <c r="Y216" s="44"/>
      <c r="Z216" s="44"/>
      <c r="AA216" s="44"/>
      <c r="AB216" s="44"/>
      <c r="AC216" s="44"/>
      <c r="AD216" s="44"/>
      <c r="AE216" s="44"/>
      <c r="AF216" s="44"/>
    </row>
    <row r="217" spans="1:32" s="36" customFormat="1" ht="19.5" customHeight="1">
      <c r="A217" s="35"/>
      <c r="B217" s="39" t="s">
        <v>145</v>
      </c>
      <c r="C217" s="39" t="s">
        <v>298</v>
      </c>
      <c r="D217" s="39" t="s">
        <v>296</v>
      </c>
      <c r="E217" s="32" t="s">
        <v>144</v>
      </c>
      <c r="F217" s="119">
        <f>G217+J217</f>
        <v>480000</v>
      </c>
      <c r="G217" s="119">
        <v>480000</v>
      </c>
      <c r="H217" s="119"/>
      <c r="I217" s="119"/>
      <c r="J217" s="119"/>
      <c r="K217" s="119">
        <f>L217+O217</f>
        <v>54807427</v>
      </c>
      <c r="L217" s="119"/>
      <c r="M217" s="119"/>
      <c r="N217" s="119"/>
      <c r="O217" s="119">
        <f>45000000+219600+70917+37441-10000000+1500000-327958+18960000-737000+84427</f>
        <v>54807427</v>
      </c>
      <c r="P217" s="119">
        <f>45000000+327958-10000000+1500000-327958+18960000-737000+84427</f>
        <v>54807427</v>
      </c>
      <c r="Q217" s="119">
        <f t="shared" si="57"/>
        <v>55287427</v>
      </c>
      <c r="R217" s="247"/>
      <c r="S217" s="34"/>
      <c r="T217" s="34"/>
      <c r="U217" s="34"/>
      <c r="V217" s="34"/>
      <c r="W217" s="34"/>
      <c r="X217" s="34"/>
      <c r="Y217" s="34"/>
      <c r="Z217" s="34"/>
      <c r="AA217" s="34"/>
      <c r="AB217" s="34"/>
      <c r="AC217" s="34"/>
      <c r="AD217" s="34"/>
      <c r="AE217" s="34"/>
      <c r="AF217" s="34"/>
    </row>
    <row r="218" spans="1:32" s="36" customFormat="1" ht="39.75" customHeight="1">
      <c r="A218" s="35"/>
      <c r="B218" s="39" t="s">
        <v>147</v>
      </c>
      <c r="C218" s="39" t="s">
        <v>299</v>
      </c>
      <c r="D218" s="39" t="s">
        <v>296</v>
      </c>
      <c r="E218" s="32" t="s">
        <v>146</v>
      </c>
      <c r="F218" s="119">
        <f>G218+J218</f>
        <v>0</v>
      </c>
      <c r="G218" s="119"/>
      <c r="H218" s="119"/>
      <c r="I218" s="119"/>
      <c r="J218" s="119"/>
      <c r="K218" s="119">
        <f>L218+O218</f>
        <v>16500000</v>
      </c>
      <c r="L218" s="119"/>
      <c r="M218" s="119"/>
      <c r="N218" s="119"/>
      <c r="O218" s="119">
        <f>5000000+10000000+500000+1000000</f>
        <v>16500000</v>
      </c>
      <c r="P218" s="119">
        <f>5000000+10000000+500000+1000000</f>
        <v>16500000</v>
      </c>
      <c r="Q218" s="119">
        <f t="shared" si="57"/>
        <v>16500000</v>
      </c>
      <c r="R218" s="247"/>
      <c r="S218" s="34"/>
      <c r="T218" s="34"/>
      <c r="U218" s="34"/>
      <c r="V218" s="34"/>
      <c r="W218" s="34"/>
      <c r="X218" s="34"/>
      <c r="Y218" s="34"/>
      <c r="Z218" s="34"/>
      <c r="AA218" s="34"/>
      <c r="AB218" s="34"/>
      <c r="AC218" s="34"/>
      <c r="AD218" s="34"/>
      <c r="AE218" s="34"/>
      <c r="AF218" s="34"/>
    </row>
    <row r="219" spans="1:32" s="17" customFormat="1" ht="30">
      <c r="A219" s="25"/>
      <c r="B219" s="29" t="s">
        <v>150</v>
      </c>
      <c r="C219" s="29" t="s">
        <v>300</v>
      </c>
      <c r="D219" s="29"/>
      <c r="E219" s="26" t="s">
        <v>149</v>
      </c>
      <c r="F219" s="118">
        <f>F220</f>
        <v>3417000</v>
      </c>
      <c r="G219" s="118">
        <f aca="true" t="shared" si="65" ref="G219:P219">G220</f>
        <v>0</v>
      </c>
      <c r="H219" s="118">
        <f t="shared" si="65"/>
        <v>0</v>
      </c>
      <c r="I219" s="118">
        <f t="shared" si="65"/>
        <v>0</v>
      </c>
      <c r="J219" s="118">
        <f t="shared" si="65"/>
        <v>3417000</v>
      </c>
      <c r="K219" s="118">
        <f t="shared" si="65"/>
        <v>0</v>
      </c>
      <c r="L219" s="118">
        <f t="shared" si="65"/>
        <v>0</v>
      </c>
      <c r="M219" s="118">
        <f t="shared" si="65"/>
        <v>0</v>
      </c>
      <c r="N219" s="118">
        <f t="shared" si="65"/>
        <v>0</v>
      </c>
      <c r="O219" s="118">
        <f t="shared" si="65"/>
        <v>0</v>
      </c>
      <c r="P219" s="118">
        <f t="shared" si="65"/>
        <v>0</v>
      </c>
      <c r="Q219" s="118">
        <f t="shared" si="57"/>
        <v>3417000</v>
      </c>
      <c r="R219" s="247"/>
      <c r="S219" s="44"/>
      <c r="T219" s="44"/>
      <c r="U219" s="44"/>
      <c r="V219" s="44"/>
      <c r="W219" s="44"/>
      <c r="X219" s="44"/>
      <c r="Y219" s="44"/>
      <c r="Z219" s="44"/>
      <c r="AA219" s="44"/>
      <c r="AB219" s="44"/>
      <c r="AC219" s="44"/>
      <c r="AD219" s="44"/>
      <c r="AE219" s="44"/>
      <c r="AF219" s="44"/>
    </row>
    <row r="220" spans="1:32" s="36" customFormat="1" ht="36.75" customHeight="1">
      <c r="A220" s="35"/>
      <c r="B220" s="39" t="s">
        <v>151</v>
      </c>
      <c r="C220" s="39" t="s">
        <v>301</v>
      </c>
      <c r="D220" s="39" t="s">
        <v>302</v>
      </c>
      <c r="E220" s="22" t="s">
        <v>148</v>
      </c>
      <c r="F220" s="119">
        <f aca="true" t="shared" si="66" ref="F220:F236">G220+J220</f>
        <v>3417000</v>
      </c>
      <c r="G220" s="119"/>
      <c r="H220" s="119"/>
      <c r="I220" s="119"/>
      <c r="J220" s="119">
        <f>3151000+266000</f>
        <v>3417000</v>
      </c>
      <c r="K220" s="119">
        <f aca="true" t="shared" si="67" ref="K220:K233">L220+O220</f>
        <v>0</v>
      </c>
      <c r="L220" s="119"/>
      <c r="M220" s="119"/>
      <c r="N220" s="119"/>
      <c r="O220" s="119"/>
      <c r="P220" s="119"/>
      <c r="Q220" s="119">
        <f t="shared" si="57"/>
        <v>3417000</v>
      </c>
      <c r="R220" s="247"/>
      <c r="S220" s="34"/>
      <c r="T220" s="34"/>
      <c r="U220" s="34"/>
      <c r="V220" s="34"/>
      <c r="W220" s="34"/>
      <c r="X220" s="34"/>
      <c r="Y220" s="34"/>
      <c r="Z220" s="34"/>
      <c r="AA220" s="34"/>
      <c r="AB220" s="34"/>
      <c r="AC220" s="34"/>
      <c r="AD220" s="34"/>
      <c r="AE220" s="34"/>
      <c r="AF220" s="34"/>
    </row>
    <row r="221" spans="1:32" s="161" customFormat="1" ht="21.75" customHeight="1">
      <c r="A221" s="216"/>
      <c r="B221" s="147" t="s">
        <v>152</v>
      </c>
      <c r="C221" s="147" t="s">
        <v>303</v>
      </c>
      <c r="D221" s="147" t="s">
        <v>302</v>
      </c>
      <c r="E221" s="218" t="s">
        <v>52</v>
      </c>
      <c r="F221" s="118">
        <f>G221+J221</f>
        <v>52605549</v>
      </c>
      <c r="G221" s="118">
        <f>17329456+15356600-1267658-102200+199810-7400000-305510</f>
        <v>23810498</v>
      </c>
      <c r="H221" s="118"/>
      <c r="I221" s="118">
        <f>11364900+7156600</f>
        <v>18521500</v>
      </c>
      <c r="J221" s="118">
        <f>23585944+5106907+102200</f>
        <v>28795051</v>
      </c>
      <c r="K221" s="118">
        <f>L221+O221</f>
        <v>54733765</v>
      </c>
      <c r="L221" s="118"/>
      <c r="M221" s="118"/>
      <c r="N221" s="118"/>
      <c r="O221" s="118">
        <f>27612000+6000000-12000000+1612717-219600-70917+12000000+150000+327958-244003+12522000+7400000-356390</f>
        <v>54733765</v>
      </c>
      <c r="P221" s="118">
        <f>27612000+6000000-12000000+1322200+12000000+150000+327958-244003+12522000+7400000-356390</f>
        <v>54733765</v>
      </c>
      <c r="Q221" s="118">
        <f>F221+K221</f>
        <v>107339314</v>
      </c>
      <c r="R221" s="247"/>
      <c r="S221" s="160"/>
      <c r="T221" s="160"/>
      <c r="U221" s="160"/>
      <c r="V221" s="160"/>
      <c r="W221" s="160"/>
      <c r="X221" s="160"/>
      <c r="Y221" s="160"/>
      <c r="Z221" s="160"/>
      <c r="AA221" s="160"/>
      <c r="AB221" s="160"/>
      <c r="AC221" s="160"/>
      <c r="AD221" s="160"/>
      <c r="AE221" s="160"/>
      <c r="AF221" s="160"/>
    </row>
    <row r="222" spans="1:32" s="17" customFormat="1" ht="30">
      <c r="A222" s="16"/>
      <c r="B222" s="147" t="s">
        <v>430</v>
      </c>
      <c r="C222" s="147" t="s">
        <v>304</v>
      </c>
      <c r="D222" s="147" t="s">
        <v>302</v>
      </c>
      <c r="E222" s="111" t="s">
        <v>221</v>
      </c>
      <c r="F222" s="118">
        <f t="shared" si="66"/>
        <v>0</v>
      </c>
      <c r="G222" s="118"/>
      <c r="H222" s="118"/>
      <c r="I222" s="118"/>
      <c r="J222" s="118"/>
      <c r="K222" s="118">
        <f t="shared" si="67"/>
        <v>1000000</v>
      </c>
      <c r="L222" s="118"/>
      <c r="M222" s="118"/>
      <c r="N222" s="118"/>
      <c r="O222" s="118">
        <v>1000000</v>
      </c>
      <c r="P222" s="118">
        <v>1000000</v>
      </c>
      <c r="Q222" s="118">
        <f t="shared" si="57"/>
        <v>1000000</v>
      </c>
      <c r="R222" s="247"/>
      <c r="S222" s="44"/>
      <c r="T222" s="44"/>
      <c r="U222" s="44"/>
      <c r="V222" s="44"/>
      <c r="W222" s="44"/>
      <c r="X222" s="44"/>
      <c r="Y222" s="44"/>
      <c r="Z222" s="44"/>
      <c r="AA222" s="44"/>
      <c r="AB222" s="44"/>
      <c r="AC222" s="44"/>
      <c r="AD222" s="44"/>
      <c r="AE222" s="44"/>
      <c r="AF222" s="44"/>
    </row>
    <row r="223" spans="1:32" s="17" customFormat="1" ht="25.5" customHeight="1">
      <c r="A223" s="16"/>
      <c r="B223" s="147" t="s">
        <v>446</v>
      </c>
      <c r="C223" s="147" t="s">
        <v>329</v>
      </c>
      <c r="D223" s="147" t="s">
        <v>330</v>
      </c>
      <c r="E223" s="111" t="s">
        <v>163</v>
      </c>
      <c r="F223" s="118">
        <f t="shared" si="66"/>
        <v>0</v>
      </c>
      <c r="G223" s="118"/>
      <c r="H223" s="118"/>
      <c r="I223" s="118"/>
      <c r="J223" s="118"/>
      <c r="K223" s="118">
        <f t="shared" si="67"/>
        <v>14011508</v>
      </c>
      <c r="L223" s="118"/>
      <c r="M223" s="118"/>
      <c r="N223" s="118"/>
      <c r="O223" s="118">
        <f>12774508+500000+737000</f>
        <v>14011508</v>
      </c>
      <c r="P223" s="118">
        <f>12774508+500000+737000</f>
        <v>14011508</v>
      </c>
      <c r="Q223" s="118">
        <f t="shared" si="57"/>
        <v>14011508</v>
      </c>
      <c r="R223" s="247"/>
      <c r="S223" s="44"/>
      <c r="T223" s="44"/>
      <c r="U223" s="44"/>
      <c r="V223" s="44"/>
      <c r="W223" s="44"/>
      <c r="X223" s="44"/>
      <c r="Y223" s="44"/>
      <c r="Z223" s="44"/>
      <c r="AA223" s="44"/>
      <c r="AB223" s="44"/>
      <c r="AC223" s="44"/>
      <c r="AD223" s="44"/>
      <c r="AE223" s="44"/>
      <c r="AF223" s="44"/>
    </row>
    <row r="224" spans="1:32" s="17" customFormat="1" ht="15.75">
      <c r="A224" s="16"/>
      <c r="B224" s="147" t="s">
        <v>540</v>
      </c>
      <c r="C224" s="147" t="s">
        <v>331</v>
      </c>
      <c r="D224" s="147"/>
      <c r="E224" s="12" t="s">
        <v>232</v>
      </c>
      <c r="F224" s="118">
        <f>F225</f>
        <v>0</v>
      </c>
      <c r="G224" s="118">
        <f aca="true" t="shared" si="68" ref="G224:Q224">G225</f>
        <v>0</v>
      </c>
      <c r="H224" s="118">
        <f t="shared" si="68"/>
        <v>0</v>
      </c>
      <c r="I224" s="118">
        <f t="shared" si="68"/>
        <v>0</v>
      </c>
      <c r="J224" s="118">
        <f t="shared" si="68"/>
        <v>0</v>
      </c>
      <c r="K224" s="118">
        <f t="shared" si="68"/>
        <v>2535000</v>
      </c>
      <c r="L224" s="118">
        <f t="shared" si="68"/>
        <v>0</v>
      </c>
      <c r="M224" s="118">
        <f t="shared" si="68"/>
        <v>0</v>
      </c>
      <c r="N224" s="118">
        <f t="shared" si="68"/>
        <v>0</v>
      </c>
      <c r="O224" s="118">
        <f t="shared" si="68"/>
        <v>2535000</v>
      </c>
      <c r="P224" s="118">
        <f t="shared" si="68"/>
        <v>2535000</v>
      </c>
      <c r="Q224" s="118">
        <f t="shared" si="68"/>
        <v>2535000</v>
      </c>
      <c r="R224" s="247"/>
      <c r="S224" s="44"/>
      <c r="T224" s="44"/>
      <c r="U224" s="44"/>
      <c r="V224" s="44"/>
      <c r="W224" s="44"/>
      <c r="X224" s="44"/>
      <c r="Y224" s="44"/>
      <c r="Z224" s="44"/>
      <c r="AA224" s="44"/>
      <c r="AB224" s="44"/>
      <c r="AC224" s="44"/>
      <c r="AD224" s="44"/>
      <c r="AE224" s="44"/>
      <c r="AF224" s="44"/>
    </row>
    <row r="225" spans="1:32" s="17" customFormat="1" ht="39" customHeight="1">
      <c r="A225" s="16"/>
      <c r="B225" s="39" t="s">
        <v>541</v>
      </c>
      <c r="C225" s="39" t="s">
        <v>332</v>
      </c>
      <c r="D225" s="39" t="s">
        <v>313</v>
      </c>
      <c r="E225" s="32" t="s">
        <v>542</v>
      </c>
      <c r="F225" s="118">
        <f t="shared" si="66"/>
        <v>0</v>
      </c>
      <c r="G225" s="118"/>
      <c r="H225" s="118"/>
      <c r="I225" s="118"/>
      <c r="J225" s="118"/>
      <c r="K225" s="119">
        <f t="shared" si="67"/>
        <v>2535000</v>
      </c>
      <c r="L225" s="118"/>
      <c r="M225" s="118"/>
      <c r="N225" s="118"/>
      <c r="O225" s="118">
        <v>2535000</v>
      </c>
      <c r="P225" s="118">
        <v>2535000</v>
      </c>
      <c r="Q225" s="118">
        <f t="shared" si="57"/>
        <v>2535000</v>
      </c>
      <c r="R225" s="247"/>
      <c r="S225" s="44"/>
      <c r="T225" s="44"/>
      <c r="U225" s="44"/>
      <c r="V225" s="44"/>
      <c r="W225" s="44"/>
      <c r="X225" s="44"/>
      <c r="Y225" s="44"/>
      <c r="Z225" s="44"/>
      <c r="AA225" s="44"/>
      <c r="AB225" s="44"/>
      <c r="AC225" s="44"/>
      <c r="AD225" s="44"/>
      <c r="AE225" s="44"/>
      <c r="AF225" s="44"/>
    </row>
    <row r="226" spans="1:32" s="17" customFormat="1" ht="30">
      <c r="A226" s="16"/>
      <c r="B226" s="147" t="s">
        <v>442</v>
      </c>
      <c r="C226" s="147" t="s">
        <v>444</v>
      </c>
      <c r="D226" s="147" t="s">
        <v>443</v>
      </c>
      <c r="E226" s="111" t="s">
        <v>445</v>
      </c>
      <c r="F226" s="118">
        <f t="shared" si="66"/>
        <v>650000</v>
      </c>
      <c r="G226" s="118"/>
      <c r="H226" s="118"/>
      <c r="I226" s="118"/>
      <c r="J226" s="118">
        <f>185000+465000</f>
        <v>650000</v>
      </c>
      <c r="K226" s="118">
        <f t="shared" si="67"/>
        <v>130000</v>
      </c>
      <c r="L226" s="118"/>
      <c r="M226" s="118"/>
      <c r="N226" s="118"/>
      <c r="O226" s="118">
        <v>130000</v>
      </c>
      <c r="P226" s="118">
        <v>130000</v>
      </c>
      <c r="Q226" s="118">
        <f t="shared" si="57"/>
        <v>780000</v>
      </c>
      <c r="R226" s="247"/>
      <c r="S226" s="44"/>
      <c r="T226" s="44"/>
      <c r="U226" s="44"/>
      <c r="V226" s="44"/>
      <c r="W226" s="44"/>
      <c r="X226" s="44"/>
      <c r="Y226" s="44"/>
      <c r="Z226" s="44"/>
      <c r="AA226" s="44"/>
      <c r="AB226" s="44"/>
      <c r="AC226" s="44"/>
      <c r="AD226" s="44"/>
      <c r="AE226" s="44"/>
      <c r="AF226" s="44"/>
    </row>
    <row r="227" spans="1:32" s="36" customFormat="1" ht="24.75" customHeight="1">
      <c r="A227" s="35"/>
      <c r="B227" s="29" t="s">
        <v>212</v>
      </c>
      <c r="C227" s="29" t="s">
        <v>421</v>
      </c>
      <c r="D227" s="29" t="s">
        <v>334</v>
      </c>
      <c r="E227" s="111" t="s">
        <v>153</v>
      </c>
      <c r="F227" s="118">
        <f t="shared" si="66"/>
        <v>1570000</v>
      </c>
      <c r="G227" s="118">
        <f>1500000+70000</f>
        <v>1570000</v>
      </c>
      <c r="H227" s="119"/>
      <c r="I227" s="119"/>
      <c r="J227" s="118"/>
      <c r="K227" s="119"/>
      <c r="L227" s="119"/>
      <c r="M227" s="119"/>
      <c r="N227" s="119"/>
      <c r="O227" s="119"/>
      <c r="P227" s="119"/>
      <c r="Q227" s="118">
        <f t="shared" si="57"/>
        <v>1570000</v>
      </c>
      <c r="R227" s="247" t="s">
        <v>554</v>
      </c>
      <c r="S227" s="34"/>
      <c r="T227" s="34"/>
      <c r="U227" s="34"/>
      <c r="V227" s="34"/>
      <c r="W227" s="34"/>
      <c r="X227" s="34"/>
      <c r="Y227" s="34"/>
      <c r="Z227" s="34"/>
      <c r="AA227" s="34"/>
      <c r="AB227" s="34"/>
      <c r="AC227" s="34"/>
      <c r="AD227" s="34"/>
      <c r="AE227" s="34"/>
      <c r="AF227" s="34"/>
    </row>
    <row r="228" spans="1:32" s="17" customFormat="1" ht="24.75" customHeight="1">
      <c r="A228" s="25"/>
      <c r="B228" s="29" t="s">
        <v>155</v>
      </c>
      <c r="C228" s="29" t="s">
        <v>347</v>
      </c>
      <c r="D228" s="29" t="s">
        <v>348</v>
      </c>
      <c r="E228" s="111" t="s">
        <v>154</v>
      </c>
      <c r="F228" s="118">
        <f t="shared" si="66"/>
        <v>1000000</v>
      </c>
      <c r="G228" s="118">
        <v>800000</v>
      </c>
      <c r="H228" s="118"/>
      <c r="I228" s="118"/>
      <c r="J228" s="118">
        <v>200000</v>
      </c>
      <c r="K228" s="118">
        <f t="shared" si="67"/>
        <v>0</v>
      </c>
      <c r="L228" s="118"/>
      <c r="M228" s="118"/>
      <c r="N228" s="118"/>
      <c r="O228" s="118"/>
      <c r="P228" s="118"/>
      <c r="Q228" s="118">
        <f t="shared" si="57"/>
        <v>1000000</v>
      </c>
      <c r="R228" s="247"/>
      <c r="S228" s="44"/>
      <c r="T228" s="44"/>
      <c r="U228" s="44"/>
      <c r="V228" s="44"/>
      <c r="W228" s="44"/>
      <c r="X228" s="44"/>
      <c r="Y228" s="44"/>
      <c r="Z228" s="44"/>
      <c r="AA228" s="44"/>
      <c r="AB228" s="44"/>
      <c r="AC228" s="44"/>
      <c r="AD228" s="44"/>
      <c r="AE228" s="44"/>
      <c r="AF228" s="44"/>
    </row>
    <row r="229" spans="1:32" s="17" customFormat="1" ht="34.5" customHeight="1">
      <c r="A229" s="16"/>
      <c r="B229" s="147" t="s">
        <v>156</v>
      </c>
      <c r="C229" s="147" t="s">
        <v>351</v>
      </c>
      <c r="D229" s="147" t="s">
        <v>330</v>
      </c>
      <c r="E229" s="111" t="s">
        <v>56</v>
      </c>
      <c r="F229" s="118">
        <f t="shared" si="66"/>
        <v>0</v>
      </c>
      <c r="G229" s="118"/>
      <c r="H229" s="118"/>
      <c r="I229" s="118"/>
      <c r="J229" s="118"/>
      <c r="K229" s="118">
        <f t="shared" si="67"/>
        <v>22895700</v>
      </c>
      <c r="L229" s="118"/>
      <c r="M229" s="118"/>
      <c r="N229" s="118"/>
      <c r="O229" s="118">
        <f>18610900+3000000-1149000-1000000+2520800+913000</f>
        <v>22895700</v>
      </c>
      <c r="P229" s="118">
        <f>18610900+3000000-1149000-1000000+2520800+913000</f>
        <v>22895700</v>
      </c>
      <c r="Q229" s="118">
        <f t="shared" si="57"/>
        <v>22895700</v>
      </c>
      <c r="R229" s="247"/>
      <c r="S229" s="44"/>
      <c r="T229" s="44"/>
      <c r="U229" s="44"/>
      <c r="V229" s="44"/>
      <c r="W229" s="44"/>
      <c r="X229" s="44"/>
      <c r="Y229" s="44"/>
      <c r="Z229" s="44"/>
      <c r="AA229" s="44"/>
      <c r="AB229" s="44"/>
      <c r="AC229" s="44"/>
      <c r="AD229" s="44"/>
      <c r="AE229" s="44"/>
      <c r="AF229" s="44"/>
    </row>
    <row r="230" spans="1:32" s="17" customFormat="1" ht="24.75" customHeight="1">
      <c r="A230" s="16"/>
      <c r="B230" s="184" t="s">
        <v>192</v>
      </c>
      <c r="C230" s="184" t="s">
        <v>355</v>
      </c>
      <c r="D230" s="184" t="s">
        <v>356</v>
      </c>
      <c r="E230" s="111" t="s">
        <v>19</v>
      </c>
      <c r="F230" s="118">
        <f t="shared" si="66"/>
        <v>199733</v>
      </c>
      <c r="G230" s="118">
        <v>199733</v>
      </c>
      <c r="H230" s="118"/>
      <c r="I230" s="118"/>
      <c r="J230" s="118"/>
      <c r="K230" s="118">
        <f t="shared" si="67"/>
        <v>0</v>
      </c>
      <c r="L230" s="118"/>
      <c r="M230" s="118"/>
      <c r="N230" s="118"/>
      <c r="O230" s="118"/>
      <c r="P230" s="118"/>
      <c r="Q230" s="118">
        <f t="shared" si="57"/>
        <v>199733</v>
      </c>
      <c r="R230" s="247"/>
      <c r="S230" s="44"/>
      <c r="T230" s="44"/>
      <c r="U230" s="44"/>
      <c r="V230" s="44"/>
      <c r="W230" s="44"/>
      <c r="X230" s="44"/>
      <c r="Y230" s="44"/>
      <c r="Z230" s="44"/>
      <c r="AA230" s="44"/>
      <c r="AB230" s="44"/>
      <c r="AC230" s="44"/>
      <c r="AD230" s="44"/>
      <c r="AE230" s="44"/>
      <c r="AF230" s="44"/>
    </row>
    <row r="231" spans="1:32" s="17" customFormat="1" ht="24.75" customHeight="1">
      <c r="A231" s="16"/>
      <c r="B231" s="81" t="s">
        <v>158</v>
      </c>
      <c r="C231" s="81" t="s">
        <v>379</v>
      </c>
      <c r="D231" s="81" t="s">
        <v>251</v>
      </c>
      <c r="E231" s="111" t="s">
        <v>12</v>
      </c>
      <c r="F231" s="118">
        <f>F232+F233</f>
        <v>2017200</v>
      </c>
      <c r="G231" s="118">
        <f aca="true" t="shared" si="69" ref="G231:P231">G232+G233</f>
        <v>2017200</v>
      </c>
      <c r="H231" s="118">
        <f t="shared" si="69"/>
        <v>0</v>
      </c>
      <c r="I231" s="118">
        <f t="shared" si="69"/>
        <v>53000</v>
      </c>
      <c r="J231" s="118">
        <f t="shared" si="69"/>
        <v>0</v>
      </c>
      <c r="K231" s="118">
        <f t="shared" si="67"/>
        <v>0</v>
      </c>
      <c r="L231" s="118">
        <f t="shared" si="69"/>
        <v>0</v>
      </c>
      <c r="M231" s="118">
        <f t="shared" si="69"/>
        <v>0</v>
      </c>
      <c r="N231" s="118">
        <f t="shared" si="69"/>
        <v>0</v>
      </c>
      <c r="O231" s="118">
        <f t="shared" si="69"/>
        <v>0</v>
      </c>
      <c r="P231" s="118">
        <f t="shared" si="69"/>
        <v>0</v>
      </c>
      <c r="Q231" s="118">
        <f t="shared" si="57"/>
        <v>2017200</v>
      </c>
      <c r="R231" s="247"/>
      <c r="S231" s="44"/>
      <c r="T231" s="44"/>
      <c r="U231" s="44"/>
      <c r="V231" s="44"/>
      <c r="W231" s="44"/>
      <c r="X231" s="44"/>
      <c r="Y231" s="44"/>
      <c r="Z231" s="44"/>
      <c r="AA231" s="44"/>
      <c r="AB231" s="44"/>
      <c r="AC231" s="44"/>
      <c r="AD231" s="44"/>
      <c r="AE231" s="44"/>
      <c r="AF231" s="44"/>
    </row>
    <row r="232" spans="1:32" s="17" customFormat="1" ht="59.25" customHeight="1">
      <c r="A232" s="16"/>
      <c r="B232" s="50" t="s">
        <v>158</v>
      </c>
      <c r="C232" s="50" t="s">
        <v>379</v>
      </c>
      <c r="D232" s="31" t="s">
        <v>251</v>
      </c>
      <c r="E232" s="40" t="s">
        <v>204</v>
      </c>
      <c r="F232" s="119">
        <f>G232+J232</f>
        <v>285000</v>
      </c>
      <c r="G232" s="119">
        <v>285000</v>
      </c>
      <c r="H232" s="119"/>
      <c r="I232" s="119"/>
      <c r="J232" s="119"/>
      <c r="K232" s="118">
        <f t="shared" si="67"/>
        <v>0</v>
      </c>
      <c r="L232" s="119"/>
      <c r="M232" s="119"/>
      <c r="N232" s="119"/>
      <c r="O232" s="119"/>
      <c r="P232" s="119"/>
      <c r="Q232" s="119">
        <f t="shared" si="57"/>
        <v>285000</v>
      </c>
      <c r="R232" s="247"/>
      <c r="S232" s="44"/>
      <c r="T232" s="44"/>
      <c r="U232" s="44"/>
      <c r="V232" s="44"/>
      <c r="W232" s="44"/>
      <c r="X232" s="44"/>
      <c r="Y232" s="44"/>
      <c r="Z232" s="44"/>
      <c r="AA232" s="44"/>
      <c r="AB232" s="44"/>
      <c r="AC232" s="44"/>
      <c r="AD232" s="44"/>
      <c r="AE232" s="44"/>
      <c r="AF232" s="44"/>
    </row>
    <row r="233" spans="1:32" s="17" customFormat="1" ht="55.5" customHeight="1">
      <c r="A233" s="16"/>
      <c r="B233" s="50" t="s">
        <v>158</v>
      </c>
      <c r="C233" s="50" t="s">
        <v>379</v>
      </c>
      <c r="D233" s="31" t="s">
        <v>251</v>
      </c>
      <c r="E233" s="37" t="s">
        <v>569</v>
      </c>
      <c r="F233" s="119">
        <f>G233+J233</f>
        <v>1732200</v>
      </c>
      <c r="G233" s="119">
        <f>1622200+110000</f>
        <v>1732200</v>
      </c>
      <c r="H233" s="119"/>
      <c r="I233" s="118">
        <v>53000</v>
      </c>
      <c r="J233" s="119"/>
      <c r="K233" s="118">
        <f t="shared" si="67"/>
        <v>0</v>
      </c>
      <c r="L233" s="119"/>
      <c r="M233" s="119"/>
      <c r="N233" s="119"/>
      <c r="O233" s="119"/>
      <c r="P233" s="119"/>
      <c r="Q233" s="119">
        <f t="shared" si="57"/>
        <v>1732200</v>
      </c>
      <c r="R233" s="247"/>
      <c r="S233" s="44"/>
      <c r="T233" s="44"/>
      <c r="U233" s="44"/>
      <c r="V233" s="44"/>
      <c r="W233" s="44"/>
      <c r="X233" s="44"/>
      <c r="Y233" s="44"/>
      <c r="Z233" s="44"/>
      <c r="AA233" s="44"/>
      <c r="AB233" s="44"/>
      <c r="AC233" s="44"/>
      <c r="AD233" s="44"/>
      <c r="AE233" s="44"/>
      <c r="AF233" s="44"/>
    </row>
    <row r="234" spans="1:32" s="17" customFormat="1" ht="15.75">
      <c r="A234" s="16"/>
      <c r="B234" s="148">
        <v>4118800</v>
      </c>
      <c r="C234" s="148">
        <v>8800</v>
      </c>
      <c r="D234" s="147" t="s">
        <v>251</v>
      </c>
      <c r="E234" s="205" t="s">
        <v>26</v>
      </c>
      <c r="F234" s="118">
        <f>F235</f>
        <v>758500</v>
      </c>
      <c r="G234" s="118">
        <f aca="true" t="shared" si="70" ref="G234:Q234">G235</f>
        <v>758500</v>
      </c>
      <c r="H234" s="118">
        <f t="shared" si="70"/>
        <v>0</v>
      </c>
      <c r="I234" s="118">
        <f t="shared" si="70"/>
        <v>0</v>
      </c>
      <c r="J234" s="118">
        <f t="shared" si="70"/>
        <v>0</v>
      </c>
      <c r="K234" s="118">
        <f t="shared" si="70"/>
        <v>1221500</v>
      </c>
      <c r="L234" s="118">
        <f t="shared" si="70"/>
        <v>0</v>
      </c>
      <c r="M234" s="118">
        <f t="shared" si="70"/>
        <v>0</v>
      </c>
      <c r="N234" s="118">
        <f t="shared" si="70"/>
        <v>0</v>
      </c>
      <c r="O234" s="118">
        <f t="shared" si="70"/>
        <v>1221500</v>
      </c>
      <c r="P234" s="118">
        <f t="shared" si="70"/>
        <v>1221500</v>
      </c>
      <c r="Q234" s="118">
        <f t="shared" si="70"/>
        <v>1980000</v>
      </c>
      <c r="R234" s="247"/>
      <c r="S234" s="44"/>
      <c r="T234" s="44"/>
      <c r="U234" s="44"/>
      <c r="V234" s="44"/>
      <c r="W234" s="44"/>
      <c r="X234" s="44"/>
      <c r="Y234" s="44"/>
      <c r="Z234" s="44"/>
      <c r="AA234" s="44"/>
      <c r="AB234" s="44"/>
      <c r="AC234" s="44"/>
      <c r="AD234" s="44"/>
      <c r="AE234" s="44"/>
      <c r="AF234" s="44"/>
    </row>
    <row r="235" spans="1:32" s="17" customFormat="1" ht="68.25" customHeight="1">
      <c r="A235" s="16"/>
      <c r="B235" s="239">
        <v>4118800</v>
      </c>
      <c r="C235" s="239">
        <v>8800</v>
      </c>
      <c r="D235" s="238" t="s">
        <v>251</v>
      </c>
      <c r="E235" s="208" t="s">
        <v>440</v>
      </c>
      <c r="F235" s="125">
        <f>G235+J235</f>
        <v>758500</v>
      </c>
      <c r="G235" s="118">
        <f>250000+508500</f>
        <v>758500</v>
      </c>
      <c r="H235" s="118"/>
      <c r="I235" s="118"/>
      <c r="J235" s="118"/>
      <c r="K235" s="118">
        <f>L235+O235</f>
        <v>1221500</v>
      </c>
      <c r="L235" s="118"/>
      <c r="M235" s="118"/>
      <c r="N235" s="118"/>
      <c r="O235" s="118">
        <f>1730000-508500</f>
        <v>1221500</v>
      </c>
      <c r="P235" s="118">
        <f>1730000-508500</f>
        <v>1221500</v>
      </c>
      <c r="Q235" s="118">
        <f t="shared" si="57"/>
        <v>1980000</v>
      </c>
      <c r="R235" s="247"/>
      <c r="S235" s="44"/>
      <c r="T235" s="44"/>
      <c r="U235" s="44"/>
      <c r="V235" s="44"/>
      <c r="W235" s="44"/>
      <c r="X235" s="44"/>
      <c r="Y235" s="44"/>
      <c r="Z235" s="44"/>
      <c r="AA235" s="44"/>
      <c r="AB235" s="44"/>
      <c r="AC235" s="44"/>
      <c r="AD235" s="44"/>
      <c r="AE235" s="44"/>
      <c r="AF235" s="44"/>
    </row>
    <row r="236" spans="1:32" s="17" customFormat="1" ht="30">
      <c r="A236" s="16"/>
      <c r="B236" s="147" t="s">
        <v>157</v>
      </c>
      <c r="C236" s="147" t="s">
        <v>367</v>
      </c>
      <c r="D236" s="147" t="s">
        <v>368</v>
      </c>
      <c r="E236" s="111" t="s">
        <v>24</v>
      </c>
      <c r="F236" s="118">
        <f t="shared" si="66"/>
        <v>0</v>
      </c>
      <c r="G236" s="118">
        <f>220000-220000</f>
        <v>0</v>
      </c>
      <c r="H236" s="118"/>
      <c r="I236" s="118"/>
      <c r="J236" s="118"/>
      <c r="K236" s="118">
        <f>L236+O236</f>
        <v>4985460</v>
      </c>
      <c r="L236" s="118">
        <f>160000+620000+500000</f>
        <v>1280000</v>
      </c>
      <c r="M236" s="118"/>
      <c r="N236" s="118"/>
      <c r="O236" s="118">
        <f>880000-620000+3445460</f>
        <v>3705460</v>
      </c>
      <c r="P236" s="118">
        <f>868800-868800</f>
        <v>0</v>
      </c>
      <c r="Q236" s="118">
        <f t="shared" si="57"/>
        <v>4985460</v>
      </c>
      <c r="R236" s="247"/>
      <c r="S236" s="44"/>
      <c r="T236" s="44"/>
      <c r="U236" s="44"/>
      <c r="V236" s="44"/>
      <c r="W236" s="44"/>
      <c r="X236" s="44"/>
      <c r="Y236" s="44"/>
      <c r="Z236" s="44"/>
      <c r="AA236" s="44"/>
      <c r="AB236" s="44"/>
      <c r="AC236" s="44"/>
      <c r="AD236" s="44"/>
      <c r="AE236" s="44"/>
      <c r="AF236" s="44"/>
    </row>
    <row r="237" spans="1:32" s="17" customFormat="1" ht="20.25" customHeight="1">
      <c r="A237" s="16"/>
      <c r="B237" s="147" t="s">
        <v>217</v>
      </c>
      <c r="C237" s="147" t="s">
        <v>373</v>
      </c>
      <c r="D237" s="147" t="s">
        <v>356</v>
      </c>
      <c r="E237" s="111" t="s">
        <v>19</v>
      </c>
      <c r="F237" s="118"/>
      <c r="G237" s="118"/>
      <c r="H237" s="118"/>
      <c r="I237" s="118"/>
      <c r="J237" s="118"/>
      <c r="K237" s="118">
        <f>L237+O237</f>
        <v>448267</v>
      </c>
      <c r="L237" s="118">
        <f>220267+88000+80000</f>
        <v>388267</v>
      </c>
      <c r="M237" s="118"/>
      <c r="N237" s="118"/>
      <c r="O237" s="118">
        <f>88000-88000+60000</f>
        <v>60000</v>
      </c>
      <c r="P237" s="118"/>
      <c r="Q237" s="118">
        <f t="shared" si="57"/>
        <v>448267</v>
      </c>
      <c r="R237" s="247"/>
      <c r="S237" s="44"/>
      <c r="T237" s="44"/>
      <c r="U237" s="44"/>
      <c r="V237" s="44"/>
      <c r="W237" s="44"/>
      <c r="X237" s="44"/>
      <c r="Y237" s="44"/>
      <c r="Z237" s="44"/>
      <c r="AA237" s="44"/>
      <c r="AB237" s="44"/>
      <c r="AC237" s="44"/>
      <c r="AD237" s="44"/>
      <c r="AE237" s="44"/>
      <c r="AF237" s="44"/>
    </row>
    <row r="238" spans="1:32" s="17" customFormat="1" ht="68.25" customHeight="1">
      <c r="A238" s="16"/>
      <c r="B238" s="81" t="s">
        <v>523</v>
      </c>
      <c r="C238" s="81" t="s">
        <v>374</v>
      </c>
      <c r="D238" s="81" t="s">
        <v>375</v>
      </c>
      <c r="E238" s="111" t="s">
        <v>17</v>
      </c>
      <c r="F238" s="118">
        <f>G238+J238</f>
        <v>0</v>
      </c>
      <c r="G238" s="118"/>
      <c r="H238" s="118"/>
      <c r="I238" s="118"/>
      <c r="J238" s="118"/>
      <c r="K238" s="118">
        <f>L238+O238</f>
        <v>4751003.18</v>
      </c>
      <c r="L238" s="118">
        <f>4580000-4500000+171003.18</f>
        <v>251003.18</v>
      </c>
      <c r="M238" s="118"/>
      <c r="N238" s="118"/>
      <c r="O238" s="118">
        <f>4500000</f>
        <v>4500000</v>
      </c>
      <c r="P238" s="118"/>
      <c r="Q238" s="118">
        <f t="shared" si="57"/>
        <v>4751003.18</v>
      </c>
      <c r="R238" s="247"/>
      <c r="S238" s="44"/>
      <c r="T238" s="44"/>
      <c r="U238" s="44"/>
      <c r="V238" s="44"/>
      <c r="W238" s="44"/>
      <c r="X238" s="44"/>
      <c r="Y238" s="44"/>
      <c r="Z238" s="44"/>
      <c r="AA238" s="44"/>
      <c r="AB238" s="44"/>
      <c r="AC238" s="44"/>
      <c r="AD238" s="44"/>
      <c r="AE238" s="44"/>
      <c r="AF238" s="44"/>
    </row>
    <row r="239" spans="1:32" s="116" customFormat="1" ht="33" customHeight="1">
      <c r="A239" s="113"/>
      <c r="B239" s="131" t="s">
        <v>162</v>
      </c>
      <c r="C239" s="131"/>
      <c r="D239" s="131"/>
      <c r="E239" s="19" t="s">
        <v>226</v>
      </c>
      <c r="F239" s="126">
        <f>F240</f>
        <v>8984256.67</v>
      </c>
      <c r="G239" s="126">
        <f aca="true" t="shared" si="71" ref="G239:P239">G240</f>
        <v>7984256.67</v>
      </c>
      <c r="H239" s="126">
        <f t="shared" si="71"/>
        <v>5057500</v>
      </c>
      <c r="I239" s="126">
        <f t="shared" si="71"/>
        <v>255000</v>
      </c>
      <c r="J239" s="126">
        <f t="shared" si="71"/>
        <v>1000000</v>
      </c>
      <c r="K239" s="126">
        <f t="shared" si="71"/>
        <v>164343.33000000002</v>
      </c>
      <c r="L239" s="126">
        <f t="shared" si="71"/>
        <v>14343.33</v>
      </c>
      <c r="M239" s="126">
        <f t="shared" si="71"/>
        <v>0</v>
      </c>
      <c r="N239" s="126">
        <f t="shared" si="71"/>
        <v>0</v>
      </c>
      <c r="O239" s="126">
        <f t="shared" si="71"/>
        <v>150000</v>
      </c>
      <c r="P239" s="126">
        <f t="shared" si="71"/>
        <v>150000</v>
      </c>
      <c r="Q239" s="126">
        <f t="shared" si="57"/>
        <v>9148600</v>
      </c>
      <c r="R239" s="247"/>
      <c r="S239" s="115"/>
      <c r="T239" s="115"/>
      <c r="U239" s="115"/>
      <c r="V239" s="115"/>
      <c r="W239" s="115"/>
      <c r="X239" s="115"/>
      <c r="Y239" s="115"/>
      <c r="Z239" s="115"/>
      <c r="AA239" s="115"/>
      <c r="AB239" s="115"/>
      <c r="AC239" s="115"/>
      <c r="AD239" s="115"/>
      <c r="AE239" s="115"/>
      <c r="AF239" s="115"/>
    </row>
    <row r="240" spans="1:32" s="116" customFormat="1" ht="31.5" customHeight="1">
      <c r="A240" s="113"/>
      <c r="B240" s="133" t="s">
        <v>161</v>
      </c>
      <c r="C240" s="133"/>
      <c r="D240" s="133"/>
      <c r="E240" s="137" t="s">
        <v>226</v>
      </c>
      <c r="F240" s="135">
        <f>F241+F244+F242+F243</f>
        <v>8984256.67</v>
      </c>
      <c r="G240" s="135">
        <f aca="true" t="shared" si="72" ref="G240:P240">G241+G244+G242+G243</f>
        <v>7984256.67</v>
      </c>
      <c r="H240" s="135">
        <f t="shared" si="72"/>
        <v>5057500</v>
      </c>
      <c r="I240" s="135">
        <f t="shared" si="72"/>
        <v>255000</v>
      </c>
      <c r="J240" s="135">
        <f t="shared" si="72"/>
        <v>1000000</v>
      </c>
      <c r="K240" s="135">
        <f t="shared" si="72"/>
        <v>164343.33000000002</v>
      </c>
      <c r="L240" s="135">
        <f t="shared" si="72"/>
        <v>14343.33</v>
      </c>
      <c r="M240" s="135">
        <f t="shared" si="72"/>
        <v>0</v>
      </c>
      <c r="N240" s="135">
        <f t="shared" si="72"/>
        <v>0</v>
      </c>
      <c r="O240" s="135">
        <f t="shared" si="72"/>
        <v>150000</v>
      </c>
      <c r="P240" s="135">
        <f t="shared" si="72"/>
        <v>150000</v>
      </c>
      <c r="Q240" s="135">
        <f t="shared" si="57"/>
        <v>9148600</v>
      </c>
      <c r="R240" s="247"/>
      <c r="S240" s="115"/>
      <c r="T240" s="115"/>
      <c r="U240" s="115"/>
      <c r="V240" s="115"/>
      <c r="W240" s="115"/>
      <c r="X240" s="115"/>
      <c r="Y240" s="115"/>
      <c r="Z240" s="115"/>
      <c r="AA240" s="115"/>
      <c r="AB240" s="115"/>
      <c r="AC240" s="115"/>
      <c r="AD240" s="115"/>
      <c r="AE240" s="115"/>
      <c r="AF240" s="115"/>
    </row>
    <row r="241" spans="1:32" s="17" customFormat="1" ht="30">
      <c r="A241" s="25"/>
      <c r="B241" s="29" t="s">
        <v>160</v>
      </c>
      <c r="C241" s="29" t="s">
        <v>251</v>
      </c>
      <c r="D241" s="29" t="s">
        <v>252</v>
      </c>
      <c r="E241" s="111" t="s">
        <v>536</v>
      </c>
      <c r="F241" s="118">
        <f>G241+J241</f>
        <v>6802600</v>
      </c>
      <c r="G241" s="118">
        <f>6853500+30100-81000</f>
        <v>6802600</v>
      </c>
      <c r="H241" s="118">
        <v>5057500</v>
      </c>
      <c r="I241" s="118">
        <f>224900+30100</f>
        <v>255000</v>
      </c>
      <c r="J241" s="118"/>
      <c r="K241" s="118">
        <f>L241+O241</f>
        <v>100000</v>
      </c>
      <c r="L241" s="118"/>
      <c r="M241" s="118"/>
      <c r="N241" s="118"/>
      <c r="O241" s="118">
        <v>100000</v>
      </c>
      <c r="P241" s="118">
        <v>100000</v>
      </c>
      <c r="Q241" s="118">
        <f t="shared" si="57"/>
        <v>6902600</v>
      </c>
      <c r="R241" s="247"/>
      <c r="S241" s="44"/>
      <c r="T241" s="44"/>
      <c r="U241" s="44"/>
      <c r="V241" s="44"/>
      <c r="W241" s="44"/>
      <c r="X241" s="44"/>
      <c r="Y241" s="44"/>
      <c r="Z241" s="44"/>
      <c r="AA241" s="44"/>
      <c r="AB241" s="44"/>
      <c r="AC241" s="44"/>
      <c r="AD241" s="44"/>
      <c r="AE241" s="44"/>
      <c r="AF241" s="44"/>
    </row>
    <row r="242" spans="1:32" s="17" customFormat="1" ht="15.75" customHeight="1">
      <c r="A242" s="16"/>
      <c r="B242" s="147" t="s">
        <v>164</v>
      </c>
      <c r="C242" s="147" t="s">
        <v>421</v>
      </c>
      <c r="D242" s="147" t="s">
        <v>334</v>
      </c>
      <c r="E242" s="111" t="s">
        <v>153</v>
      </c>
      <c r="F242" s="118">
        <f>G242+J242</f>
        <v>324656.67</v>
      </c>
      <c r="G242" s="118">
        <f>28000+296656.67</f>
        <v>324656.67</v>
      </c>
      <c r="H242" s="118"/>
      <c r="I242" s="118"/>
      <c r="J242" s="118"/>
      <c r="K242" s="118">
        <f>L242+O242</f>
        <v>64343.33</v>
      </c>
      <c r="L242" s="118">
        <v>14343.33</v>
      </c>
      <c r="M242" s="118"/>
      <c r="N242" s="118"/>
      <c r="O242" s="118">
        <f>50000</f>
        <v>50000</v>
      </c>
      <c r="P242" s="118">
        <f>50000</f>
        <v>50000</v>
      </c>
      <c r="Q242" s="118">
        <f>F242+K242</f>
        <v>389000</v>
      </c>
      <c r="R242" s="247"/>
      <c r="S242" s="44"/>
      <c r="T242" s="44"/>
      <c r="U242" s="44"/>
      <c r="V242" s="44"/>
      <c r="W242" s="44"/>
      <c r="X242" s="44"/>
      <c r="Y242" s="44"/>
      <c r="Z242" s="44"/>
      <c r="AA242" s="44"/>
      <c r="AB242" s="44"/>
      <c r="AC242" s="44"/>
      <c r="AD242" s="44"/>
      <c r="AE242" s="44"/>
      <c r="AF242" s="44"/>
    </row>
    <row r="243" spans="1:32" s="17" customFormat="1" ht="30">
      <c r="A243" s="16"/>
      <c r="B243" s="81" t="s">
        <v>429</v>
      </c>
      <c r="C243" s="81" t="s">
        <v>349</v>
      </c>
      <c r="D243" s="81" t="s">
        <v>350</v>
      </c>
      <c r="E243" s="111" t="s">
        <v>54</v>
      </c>
      <c r="F243" s="118">
        <f>G243+J243</f>
        <v>1227000</v>
      </c>
      <c r="G243" s="118">
        <f>227000</f>
        <v>227000</v>
      </c>
      <c r="H243" s="118"/>
      <c r="I243" s="118"/>
      <c r="J243" s="118">
        <v>1000000</v>
      </c>
      <c r="K243" s="118"/>
      <c r="L243" s="118"/>
      <c r="M243" s="118"/>
      <c r="N243" s="118"/>
      <c r="O243" s="118"/>
      <c r="P243" s="118"/>
      <c r="Q243" s="118">
        <f t="shared" si="57"/>
        <v>1227000</v>
      </c>
      <c r="R243" s="247"/>
      <c r="S243" s="44"/>
      <c r="T243" s="44"/>
      <c r="U243" s="44"/>
      <c r="V243" s="44"/>
      <c r="W243" s="44"/>
      <c r="X243" s="44"/>
      <c r="Y243" s="44"/>
      <c r="Z243" s="44"/>
      <c r="AA243" s="44"/>
      <c r="AB243" s="44"/>
      <c r="AC243" s="44"/>
      <c r="AD243" s="44"/>
      <c r="AE243" s="44"/>
      <c r="AF243" s="44"/>
    </row>
    <row r="244" spans="1:32" s="17" customFormat="1" ht="15.75">
      <c r="A244" s="16"/>
      <c r="B244" s="81" t="s">
        <v>165</v>
      </c>
      <c r="C244" s="81" t="s">
        <v>379</v>
      </c>
      <c r="D244" s="81" t="s">
        <v>375</v>
      </c>
      <c r="E244" s="111" t="s">
        <v>12</v>
      </c>
      <c r="F244" s="118">
        <f>F245</f>
        <v>630000</v>
      </c>
      <c r="G244" s="118">
        <f aca="true" t="shared" si="73" ref="G244:P244">G245</f>
        <v>630000</v>
      </c>
      <c r="H244" s="118">
        <f t="shared" si="73"/>
        <v>0</v>
      </c>
      <c r="I244" s="118">
        <f t="shared" si="73"/>
        <v>0</v>
      </c>
      <c r="J244" s="118">
        <f t="shared" si="73"/>
        <v>0</v>
      </c>
      <c r="K244" s="118">
        <f t="shared" si="73"/>
        <v>0</v>
      </c>
      <c r="L244" s="118">
        <f t="shared" si="73"/>
        <v>0</v>
      </c>
      <c r="M244" s="118">
        <f t="shared" si="73"/>
        <v>0</v>
      </c>
      <c r="N244" s="118">
        <f t="shared" si="73"/>
        <v>0</v>
      </c>
      <c r="O244" s="118">
        <f t="shared" si="73"/>
        <v>0</v>
      </c>
      <c r="P244" s="118">
        <f t="shared" si="73"/>
        <v>0</v>
      </c>
      <c r="Q244" s="118">
        <f t="shared" si="57"/>
        <v>630000</v>
      </c>
      <c r="R244" s="247"/>
      <c r="S244" s="44"/>
      <c r="T244" s="44"/>
      <c r="U244" s="44"/>
      <c r="V244" s="44"/>
      <c r="W244" s="44"/>
      <c r="X244" s="44"/>
      <c r="Y244" s="44"/>
      <c r="Z244" s="44"/>
      <c r="AA244" s="44"/>
      <c r="AB244" s="44"/>
      <c r="AC244" s="44"/>
      <c r="AD244" s="44"/>
      <c r="AE244" s="44"/>
      <c r="AF244" s="44"/>
    </row>
    <row r="245" spans="1:32" s="36" customFormat="1" ht="60" customHeight="1">
      <c r="A245" s="35"/>
      <c r="B245" s="50" t="s">
        <v>165</v>
      </c>
      <c r="C245" s="50" t="s">
        <v>379</v>
      </c>
      <c r="D245" s="31" t="s">
        <v>375</v>
      </c>
      <c r="E245" s="32" t="s">
        <v>570</v>
      </c>
      <c r="F245" s="119">
        <f>G245+J245</f>
        <v>630000</v>
      </c>
      <c r="G245" s="119">
        <f>430000+200000</f>
        <v>630000</v>
      </c>
      <c r="H245" s="119"/>
      <c r="I245" s="119"/>
      <c r="J245" s="119"/>
      <c r="K245" s="119"/>
      <c r="L245" s="119"/>
      <c r="M245" s="119"/>
      <c r="N245" s="119"/>
      <c r="O245" s="119"/>
      <c r="P245" s="119"/>
      <c r="Q245" s="119">
        <f t="shared" si="57"/>
        <v>630000</v>
      </c>
      <c r="R245" s="247"/>
      <c r="S245" s="34"/>
      <c r="T245" s="34"/>
      <c r="U245" s="34"/>
      <c r="V245" s="34"/>
      <c r="W245" s="34"/>
      <c r="X245" s="34"/>
      <c r="Y245" s="34"/>
      <c r="Z245" s="34"/>
      <c r="AA245" s="34"/>
      <c r="AB245" s="34"/>
      <c r="AC245" s="34"/>
      <c r="AD245" s="34"/>
      <c r="AE245" s="34"/>
      <c r="AF245" s="34"/>
    </row>
    <row r="246" spans="1:32" s="221" customFormat="1" ht="35.25" customHeight="1">
      <c r="A246" s="219"/>
      <c r="B246" s="114">
        <v>4600000</v>
      </c>
      <c r="C246" s="114"/>
      <c r="D246" s="114"/>
      <c r="E246" s="19" t="s">
        <v>244</v>
      </c>
      <c r="F246" s="126">
        <f>F247</f>
        <v>1150600</v>
      </c>
      <c r="G246" s="126">
        <f aca="true" t="shared" si="74" ref="G246:P247">G247</f>
        <v>1150600</v>
      </c>
      <c r="H246" s="126">
        <f t="shared" si="74"/>
        <v>851400</v>
      </c>
      <c r="I246" s="126">
        <f t="shared" si="74"/>
        <v>37200</v>
      </c>
      <c r="J246" s="126">
        <f t="shared" si="74"/>
        <v>0</v>
      </c>
      <c r="K246" s="126">
        <f t="shared" si="74"/>
        <v>12000</v>
      </c>
      <c r="L246" s="126">
        <f t="shared" si="74"/>
        <v>0</v>
      </c>
      <c r="M246" s="126">
        <f t="shared" si="74"/>
        <v>0</v>
      </c>
      <c r="N246" s="126">
        <f t="shared" si="74"/>
        <v>0</v>
      </c>
      <c r="O246" s="126">
        <f t="shared" si="74"/>
        <v>12000</v>
      </c>
      <c r="P246" s="126">
        <f t="shared" si="74"/>
        <v>12000</v>
      </c>
      <c r="Q246" s="126">
        <f t="shared" si="57"/>
        <v>1162600</v>
      </c>
      <c r="R246" s="247"/>
      <c r="S246" s="220"/>
      <c r="T246" s="220"/>
      <c r="U246" s="220"/>
      <c r="V246" s="220"/>
      <c r="W246" s="220"/>
      <c r="X246" s="220"/>
      <c r="Y246" s="220"/>
      <c r="Z246" s="220"/>
      <c r="AA246" s="220"/>
      <c r="AB246" s="220"/>
      <c r="AC246" s="220"/>
      <c r="AD246" s="220"/>
      <c r="AE246" s="220"/>
      <c r="AF246" s="220"/>
    </row>
    <row r="247" spans="1:32" s="221" customFormat="1" ht="36.75" customHeight="1">
      <c r="A247" s="219"/>
      <c r="B247" s="138">
        <v>4610000</v>
      </c>
      <c r="C247" s="138"/>
      <c r="D247" s="138"/>
      <c r="E247" s="137" t="s">
        <v>244</v>
      </c>
      <c r="F247" s="135">
        <f>F248</f>
        <v>1150600</v>
      </c>
      <c r="G247" s="135">
        <f t="shared" si="74"/>
        <v>1150600</v>
      </c>
      <c r="H247" s="135">
        <f t="shared" si="74"/>
        <v>851400</v>
      </c>
      <c r="I247" s="135">
        <f t="shared" si="74"/>
        <v>37200</v>
      </c>
      <c r="J247" s="135">
        <f t="shared" si="74"/>
        <v>0</v>
      </c>
      <c r="K247" s="135">
        <f t="shared" si="74"/>
        <v>12000</v>
      </c>
      <c r="L247" s="135">
        <f t="shared" si="74"/>
        <v>0</v>
      </c>
      <c r="M247" s="135">
        <f t="shared" si="74"/>
        <v>0</v>
      </c>
      <c r="N247" s="135">
        <f t="shared" si="74"/>
        <v>0</v>
      </c>
      <c r="O247" s="135">
        <f t="shared" si="74"/>
        <v>12000</v>
      </c>
      <c r="P247" s="135">
        <f t="shared" si="74"/>
        <v>12000</v>
      </c>
      <c r="Q247" s="135">
        <f t="shared" si="57"/>
        <v>1162600</v>
      </c>
      <c r="R247" s="247"/>
      <c r="S247" s="220"/>
      <c r="T247" s="220"/>
      <c r="U247" s="220"/>
      <c r="V247" s="220"/>
      <c r="W247" s="220"/>
      <c r="X247" s="220"/>
      <c r="Y247" s="220"/>
      <c r="Z247" s="220"/>
      <c r="AA247" s="220"/>
      <c r="AB247" s="220"/>
      <c r="AC247" s="220"/>
      <c r="AD247" s="220"/>
      <c r="AE247" s="220"/>
      <c r="AF247" s="220"/>
    </row>
    <row r="248" spans="1:32" s="36" customFormat="1" ht="30">
      <c r="A248" s="35"/>
      <c r="B248" s="29" t="s">
        <v>240</v>
      </c>
      <c r="C248" s="29" t="s">
        <v>251</v>
      </c>
      <c r="D248" s="29" t="s">
        <v>252</v>
      </c>
      <c r="E248" s="111" t="s">
        <v>536</v>
      </c>
      <c r="F248" s="119">
        <f>G248+J248</f>
        <v>1150600</v>
      </c>
      <c r="G248" s="119">
        <f>1164500+600-14500</f>
        <v>1150600</v>
      </c>
      <c r="H248" s="119">
        <v>851400</v>
      </c>
      <c r="I248" s="119">
        <f>36600+600</f>
        <v>37200</v>
      </c>
      <c r="J248" s="119"/>
      <c r="K248" s="119">
        <f>L248+O248</f>
        <v>12000</v>
      </c>
      <c r="L248" s="119"/>
      <c r="M248" s="119"/>
      <c r="N248" s="119"/>
      <c r="O248" s="119">
        <v>12000</v>
      </c>
      <c r="P248" s="119">
        <v>12000</v>
      </c>
      <c r="Q248" s="119">
        <f t="shared" si="57"/>
        <v>1162600</v>
      </c>
      <c r="R248" s="247"/>
      <c r="S248" s="34"/>
      <c r="T248" s="34"/>
      <c r="U248" s="34"/>
      <c r="V248" s="34"/>
      <c r="W248" s="34"/>
      <c r="X248" s="34"/>
      <c r="Y248" s="34"/>
      <c r="Z248" s="34"/>
      <c r="AA248" s="34"/>
      <c r="AB248" s="34"/>
      <c r="AC248" s="34"/>
      <c r="AD248" s="34"/>
      <c r="AE248" s="34"/>
      <c r="AF248" s="34"/>
    </row>
    <row r="249" spans="1:32" s="116" customFormat="1" ht="39.75" customHeight="1">
      <c r="A249" s="113"/>
      <c r="B249" s="131" t="s">
        <v>167</v>
      </c>
      <c r="C249" s="131"/>
      <c r="D249" s="131"/>
      <c r="E249" s="19" t="s">
        <v>166</v>
      </c>
      <c r="F249" s="126">
        <f>F250</f>
        <v>70252900</v>
      </c>
      <c r="G249" s="126">
        <f aca="true" t="shared" si="75" ref="G249:P249">G250</f>
        <v>70252900</v>
      </c>
      <c r="H249" s="126">
        <f t="shared" si="75"/>
        <v>0</v>
      </c>
      <c r="I249" s="126">
        <f t="shared" si="75"/>
        <v>0</v>
      </c>
      <c r="J249" s="126">
        <f t="shared" si="75"/>
        <v>0</v>
      </c>
      <c r="K249" s="126">
        <f t="shared" si="75"/>
        <v>298474028.18000007</v>
      </c>
      <c r="L249" s="126">
        <f t="shared" si="75"/>
        <v>3819310.46</v>
      </c>
      <c r="M249" s="126">
        <f t="shared" si="75"/>
        <v>1911000</v>
      </c>
      <c r="N249" s="126">
        <f t="shared" si="75"/>
        <v>85300</v>
      </c>
      <c r="O249" s="126">
        <f t="shared" si="75"/>
        <v>294654717.72</v>
      </c>
      <c r="P249" s="126">
        <f t="shared" si="75"/>
        <v>288912004</v>
      </c>
      <c r="Q249" s="126">
        <f t="shared" si="57"/>
        <v>368726928.18000007</v>
      </c>
      <c r="R249" s="247"/>
      <c r="S249" s="115"/>
      <c r="T249" s="115"/>
      <c r="U249" s="115"/>
      <c r="V249" s="115"/>
      <c r="W249" s="115"/>
      <c r="X249" s="115"/>
      <c r="Y249" s="115"/>
      <c r="Z249" s="115"/>
      <c r="AA249" s="115"/>
      <c r="AB249" s="115"/>
      <c r="AC249" s="115"/>
      <c r="AD249" s="115"/>
      <c r="AE249" s="115"/>
      <c r="AF249" s="115"/>
    </row>
    <row r="250" spans="1:32" s="221" customFormat="1" ht="35.25" customHeight="1">
      <c r="A250" s="219"/>
      <c r="B250" s="133" t="s">
        <v>168</v>
      </c>
      <c r="C250" s="133"/>
      <c r="D250" s="133"/>
      <c r="E250" s="137" t="s">
        <v>166</v>
      </c>
      <c r="F250" s="135">
        <f aca="true" t="shared" si="76" ref="F250:Q250">F251+F252+F253+F254+F262+F264+F261+F265+F257+F260+F255+F259+F266</f>
        <v>70252900</v>
      </c>
      <c r="G250" s="135">
        <f t="shared" si="76"/>
        <v>70252900</v>
      </c>
      <c r="H250" s="135">
        <f t="shared" si="76"/>
        <v>0</v>
      </c>
      <c r="I250" s="135">
        <f t="shared" si="76"/>
        <v>0</v>
      </c>
      <c r="J250" s="135">
        <f t="shared" si="76"/>
        <v>0</v>
      </c>
      <c r="K250" s="135">
        <f t="shared" si="76"/>
        <v>298474028.18000007</v>
      </c>
      <c r="L250" s="135">
        <f t="shared" si="76"/>
        <v>3819310.46</v>
      </c>
      <c r="M250" s="135">
        <f t="shared" si="76"/>
        <v>1911000</v>
      </c>
      <c r="N250" s="135">
        <f t="shared" si="76"/>
        <v>85300</v>
      </c>
      <c r="O250" s="135">
        <f t="shared" si="76"/>
        <v>294654717.72</v>
      </c>
      <c r="P250" s="135">
        <f t="shared" si="76"/>
        <v>288912004</v>
      </c>
      <c r="Q250" s="135">
        <f t="shared" si="76"/>
        <v>368726928.18</v>
      </c>
      <c r="R250" s="247"/>
      <c r="S250" s="220"/>
      <c r="T250" s="220"/>
      <c r="U250" s="220"/>
      <c r="V250" s="220"/>
      <c r="W250" s="220"/>
      <c r="X250" s="220"/>
      <c r="Y250" s="220"/>
      <c r="Z250" s="220"/>
      <c r="AA250" s="220"/>
      <c r="AB250" s="220"/>
      <c r="AC250" s="220"/>
      <c r="AD250" s="220"/>
      <c r="AE250" s="220"/>
      <c r="AF250" s="220"/>
    </row>
    <row r="251" spans="1:32" s="17" customFormat="1" ht="30">
      <c r="A251" s="181"/>
      <c r="B251" s="110" t="s">
        <v>169</v>
      </c>
      <c r="C251" s="110" t="s">
        <v>251</v>
      </c>
      <c r="D251" s="110" t="s">
        <v>252</v>
      </c>
      <c r="E251" s="111" t="s">
        <v>536</v>
      </c>
      <c r="F251" s="118">
        <f aca="true" t="shared" si="77" ref="F251:F256">G251+J251</f>
        <v>0</v>
      </c>
      <c r="G251" s="118"/>
      <c r="H251" s="118"/>
      <c r="I251" s="118"/>
      <c r="J251" s="118"/>
      <c r="K251" s="118">
        <f aca="true" t="shared" si="78" ref="K251:K256">L251+O251</f>
        <v>4047000</v>
      </c>
      <c r="L251" s="118">
        <v>3766500</v>
      </c>
      <c r="M251" s="118">
        <v>1911000</v>
      </c>
      <c r="N251" s="118">
        <f>72300+13000</f>
        <v>85300</v>
      </c>
      <c r="O251" s="118">
        <v>280500</v>
      </c>
      <c r="P251" s="118"/>
      <c r="Q251" s="118">
        <f t="shared" si="57"/>
        <v>4047000</v>
      </c>
      <c r="R251" s="247"/>
      <c r="S251" s="44"/>
      <c r="T251" s="44"/>
      <c r="U251" s="44"/>
      <c r="V251" s="44"/>
      <c r="W251" s="44"/>
      <c r="X251" s="44"/>
      <c r="Y251" s="44"/>
      <c r="Z251" s="44"/>
      <c r="AA251" s="44"/>
      <c r="AB251" s="44"/>
      <c r="AC251" s="44"/>
      <c r="AD251" s="44"/>
      <c r="AE251" s="44"/>
      <c r="AF251" s="44"/>
    </row>
    <row r="252" spans="1:32" s="17" customFormat="1" ht="30">
      <c r="A252" s="16"/>
      <c r="B252" s="147" t="s">
        <v>170</v>
      </c>
      <c r="C252" s="147" t="s">
        <v>277</v>
      </c>
      <c r="D252" s="147" t="s">
        <v>278</v>
      </c>
      <c r="E252" s="111" t="s">
        <v>92</v>
      </c>
      <c r="F252" s="118">
        <f t="shared" si="77"/>
        <v>0</v>
      </c>
      <c r="G252" s="118"/>
      <c r="H252" s="118"/>
      <c r="I252" s="118"/>
      <c r="J252" s="118"/>
      <c r="K252" s="118">
        <f t="shared" si="78"/>
        <v>5000000</v>
      </c>
      <c r="L252" s="118"/>
      <c r="M252" s="118"/>
      <c r="N252" s="118"/>
      <c r="O252" s="118">
        <v>5000000</v>
      </c>
      <c r="P252" s="118">
        <v>5000000</v>
      </c>
      <c r="Q252" s="118">
        <f t="shared" si="57"/>
        <v>5000000</v>
      </c>
      <c r="R252" s="247"/>
      <c r="S252" s="44"/>
      <c r="T252" s="44"/>
      <c r="U252" s="44"/>
      <c r="V252" s="44"/>
      <c r="W252" s="44"/>
      <c r="X252" s="44"/>
      <c r="Y252" s="44"/>
      <c r="Z252" s="44"/>
      <c r="AA252" s="44"/>
      <c r="AB252" s="44"/>
      <c r="AC252" s="44"/>
      <c r="AD252" s="44"/>
      <c r="AE252" s="44"/>
      <c r="AF252" s="44"/>
    </row>
    <row r="253" spans="1:32" s="17" customFormat="1" ht="25.5" customHeight="1">
      <c r="A253" s="16"/>
      <c r="B253" s="147" t="s">
        <v>171</v>
      </c>
      <c r="C253" s="147" t="s">
        <v>303</v>
      </c>
      <c r="D253" s="147" t="s">
        <v>302</v>
      </c>
      <c r="E253" s="111" t="s">
        <v>13</v>
      </c>
      <c r="F253" s="118">
        <f t="shared" si="77"/>
        <v>70168000</v>
      </c>
      <c r="G253" s="118">
        <f>45168000-15000000+5000000+2070000+32930000</f>
        <v>70168000</v>
      </c>
      <c r="H253" s="118"/>
      <c r="I253" s="118"/>
      <c r="J253" s="118"/>
      <c r="K253" s="118">
        <f t="shared" si="78"/>
        <v>103165698</v>
      </c>
      <c r="L253" s="118"/>
      <c r="M253" s="118"/>
      <c r="N253" s="118"/>
      <c r="O253" s="118">
        <f>62165698+12000000-12000000+19609036.18+21390963.82</f>
        <v>103165698</v>
      </c>
      <c r="P253" s="118">
        <f>62165698+12000000-12000000+19609036.18+21390963.82</f>
        <v>103165698</v>
      </c>
      <c r="Q253" s="118">
        <f t="shared" si="57"/>
        <v>173333698</v>
      </c>
      <c r="R253" s="247"/>
      <c r="S253" s="44"/>
      <c r="T253" s="44"/>
      <c r="U253" s="44"/>
      <c r="V253" s="44"/>
      <c r="W253" s="44"/>
      <c r="X253" s="44"/>
      <c r="Y253" s="44"/>
      <c r="Z253" s="44"/>
      <c r="AA253" s="44"/>
      <c r="AB253" s="44"/>
      <c r="AC253" s="44"/>
      <c r="AD253" s="44"/>
      <c r="AE253" s="44"/>
      <c r="AF253" s="44"/>
    </row>
    <row r="254" spans="1:32" s="17" customFormat="1" ht="30">
      <c r="A254" s="16"/>
      <c r="B254" s="147" t="s">
        <v>172</v>
      </c>
      <c r="C254" s="147" t="s">
        <v>329</v>
      </c>
      <c r="D254" s="147" t="s">
        <v>330</v>
      </c>
      <c r="E254" s="111" t="s">
        <v>163</v>
      </c>
      <c r="F254" s="118">
        <f t="shared" si="77"/>
        <v>0</v>
      </c>
      <c r="G254" s="118"/>
      <c r="H254" s="118"/>
      <c r="I254" s="118"/>
      <c r="J254" s="118"/>
      <c r="K254" s="118">
        <f t="shared" si="78"/>
        <v>116964206</v>
      </c>
      <c r="L254" s="118"/>
      <c r="M254" s="118"/>
      <c r="N254" s="118"/>
      <c r="O254" s="118">
        <f>96264041-5000000+2694061-12800000+1000000+300000+100000+2000000+100000+96600+100000+21000+28485193+3023836+13012+500000+66463</f>
        <v>116964206</v>
      </c>
      <c r="P254" s="118">
        <f>96264041-5000000+2694061-12800000+1000000+300000+100000+2000000+100000+96600+100000+21000+28485193+3023836+13012+500000+66463</f>
        <v>116964206</v>
      </c>
      <c r="Q254" s="118">
        <f t="shared" si="57"/>
        <v>116964206</v>
      </c>
      <c r="R254" s="247"/>
      <c r="S254" s="44"/>
      <c r="T254" s="44"/>
      <c r="U254" s="44"/>
      <c r="V254" s="44"/>
      <c r="W254" s="44"/>
      <c r="X254" s="44"/>
      <c r="Y254" s="44"/>
      <c r="Z254" s="44"/>
      <c r="AA254" s="44"/>
      <c r="AB254" s="44"/>
      <c r="AC254" s="44"/>
      <c r="AD254" s="44"/>
      <c r="AE254" s="44"/>
      <c r="AF254" s="44"/>
    </row>
    <row r="255" spans="1:32" s="17" customFormat="1" ht="20.25" customHeight="1">
      <c r="A255" s="16"/>
      <c r="B255" s="147" t="s">
        <v>420</v>
      </c>
      <c r="C255" s="147" t="s">
        <v>418</v>
      </c>
      <c r="D255" s="147"/>
      <c r="E255" s="214" t="s">
        <v>419</v>
      </c>
      <c r="F255" s="118">
        <f>F256</f>
        <v>0</v>
      </c>
      <c r="G255" s="118">
        <f aca="true" t="shared" si="79" ref="G255:P255">G256</f>
        <v>0</v>
      </c>
      <c r="H255" s="118">
        <f t="shared" si="79"/>
        <v>0</v>
      </c>
      <c r="I255" s="118">
        <f t="shared" si="79"/>
        <v>0</v>
      </c>
      <c r="J255" s="118">
        <f t="shared" si="79"/>
        <v>0</v>
      </c>
      <c r="K255" s="118">
        <f t="shared" si="79"/>
        <v>21000000</v>
      </c>
      <c r="L255" s="118">
        <f t="shared" si="79"/>
        <v>0</v>
      </c>
      <c r="M255" s="118">
        <f t="shared" si="79"/>
        <v>0</v>
      </c>
      <c r="N255" s="118">
        <f t="shared" si="79"/>
        <v>0</v>
      </c>
      <c r="O255" s="118">
        <f t="shared" si="79"/>
        <v>21000000</v>
      </c>
      <c r="P255" s="118">
        <f t="shared" si="79"/>
        <v>21000000</v>
      </c>
      <c r="Q255" s="118">
        <f t="shared" si="57"/>
        <v>21000000</v>
      </c>
      <c r="R255" s="247"/>
      <c r="S255" s="44"/>
      <c r="T255" s="44"/>
      <c r="U255" s="44"/>
      <c r="V255" s="44"/>
      <c r="W255" s="44"/>
      <c r="X255" s="44"/>
      <c r="Y255" s="44"/>
      <c r="Z255" s="44"/>
      <c r="AA255" s="44"/>
      <c r="AB255" s="44"/>
      <c r="AC255" s="44"/>
      <c r="AD255" s="44"/>
      <c r="AE255" s="44"/>
      <c r="AF255" s="44"/>
    </row>
    <row r="256" spans="1:32" s="36" customFormat="1" ht="36" customHeight="1">
      <c r="A256" s="35"/>
      <c r="B256" s="39" t="s">
        <v>246</v>
      </c>
      <c r="C256" s="39" t="s">
        <v>385</v>
      </c>
      <c r="D256" s="39" t="s">
        <v>261</v>
      </c>
      <c r="E256" s="32" t="s">
        <v>247</v>
      </c>
      <c r="F256" s="119">
        <f t="shared" si="77"/>
        <v>0</v>
      </c>
      <c r="G256" s="119"/>
      <c r="H256" s="119"/>
      <c r="I256" s="119"/>
      <c r="J256" s="119"/>
      <c r="K256" s="119">
        <f t="shared" si="78"/>
        <v>21000000</v>
      </c>
      <c r="L256" s="119"/>
      <c r="M256" s="119"/>
      <c r="N256" s="119"/>
      <c r="O256" s="119">
        <f>10000000+11000000</f>
        <v>21000000</v>
      </c>
      <c r="P256" s="119">
        <f>10000000+11000000</f>
        <v>21000000</v>
      </c>
      <c r="Q256" s="119">
        <f t="shared" si="57"/>
        <v>21000000</v>
      </c>
      <c r="R256" s="247"/>
      <c r="S256" s="34"/>
      <c r="T256" s="34"/>
      <c r="U256" s="34"/>
      <c r="V256" s="34"/>
      <c r="W256" s="34"/>
      <c r="X256" s="34"/>
      <c r="Y256" s="34"/>
      <c r="Z256" s="34"/>
      <c r="AA256" s="34"/>
      <c r="AB256" s="34"/>
      <c r="AC256" s="34"/>
      <c r="AD256" s="34"/>
      <c r="AE256" s="34"/>
      <c r="AF256" s="34"/>
    </row>
    <row r="257" spans="1:32" s="17" customFormat="1" ht="24.75" customHeight="1">
      <c r="A257" s="25"/>
      <c r="B257" s="29" t="s">
        <v>231</v>
      </c>
      <c r="C257" s="29" t="s">
        <v>331</v>
      </c>
      <c r="D257" s="29"/>
      <c r="E257" s="111" t="s">
        <v>232</v>
      </c>
      <c r="F257" s="118">
        <f>F258</f>
        <v>0</v>
      </c>
      <c r="G257" s="118">
        <f aca="true" t="shared" si="80" ref="G257:P257">G258</f>
        <v>0</v>
      </c>
      <c r="H257" s="118">
        <f t="shared" si="80"/>
        <v>0</v>
      </c>
      <c r="I257" s="118">
        <f t="shared" si="80"/>
        <v>0</v>
      </c>
      <c r="J257" s="118">
        <f t="shared" si="80"/>
        <v>0</v>
      </c>
      <c r="K257" s="118">
        <f>K258</f>
        <v>708100</v>
      </c>
      <c r="L257" s="118">
        <f t="shared" si="80"/>
        <v>0</v>
      </c>
      <c r="M257" s="118">
        <f t="shared" si="80"/>
        <v>0</v>
      </c>
      <c r="N257" s="118">
        <f t="shared" si="80"/>
        <v>0</v>
      </c>
      <c r="O257" s="118">
        <f t="shared" si="80"/>
        <v>708100</v>
      </c>
      <c r="P257" s="118">
        <f t="shared" si="80"/>
        <v>708100</v>
      </c>
      <c r="Q257" s="118">
        <f t="shared" si="57"/>
        <v>708100</v>
      </c>
      <c r="R257" s="247"/>
      <c r="S257" s="44"/>
      <c r="T257" s="44"/>
      <c r="U257" s="44"/>
      <c r="V257" s="44"/>
      <c r="W257" s="44"/>
      <c r="X257" s="44"/>
      <c r="Y257" s="44"/>
      <c r="Z257" s="44"/>
      <c r="AA257" s="44"/>
      <c r="AB257" s="44"/>
      <c r="AC257" s="44"/>
      <c r="AD257" s="44"/>
      <c r="AE257" s="44"/>
      <c r="AF257" s="44"/>
    </row>
    <row r="258" spans="1:32" s="36" customFormat="1" ht="34.5" customHeight="1">
      <c r="A258" s="35"/>
      <c r="B258" s="39" t="s">
        <v>233</v>
      </c>
      <c r="C258" s="39" t="s">
        <v>332</v>
      </c>
      <c r="D258" s="39" t="s">
        <v>313</v>
      </c>
      <c r="E258" s="32" t="s">
        <v>236</v>
      </c>
      <c r="F258" s="119">
        <f>G258+J258</f>
        <v>0</v>
      </c>
      <c r="G258" s="119"/>
      <c r="H258" s="119"/>
      <c r="I258" s="119"/>
      <c r="J258" s="119"/>
      <c r="K258" s="119">
        <f>L258+O258</f>
        <v>708100</v>
      </c>
      <c r="L258" s="119"/>
      <c r="M258" s="119"/>
      <c r="N258" s="119"/>
      <c r="O258" s="119">
        <f>108100+100000+500000</f>
        <v>708100</v>
      </c>
      <c r="P258" s="119">
        <f>108100+100000+500000</f>
        <v>708100</v>
      </c>
      <c r="Q258" s="119">
        <f t="shared" si="57"/>
        <v>708100</v>
      </c>
      <c r="R258" s="247" t="s">
        <v>555</v>
      </c>
      <c r="S258" s="34"/>
      <c r="T258" s="34"/>
      <c r="U258" s="34"/>
      <c r="V258" s="34"/>
      <c r="W258" s="34"/>
      <c r="X258" s="34"/>
      <c r="Y258" s="34"/>
      <c r="Z258" s="34"/>
      <c r="AA258" s="34"/>
      <c r="AB258" s="34"/>
      <c r="AC258" s="34"/>
      <c r="AD258" s="34"/>
      <c r="AE258" s="34"/>
      <c r="AF258" s="34"/>
    </row>
    <row r="259" spans="1:32" s="235" customFormat="1" ht="34.5" customHeight="1">
      <c r="A259" s="233"/>
      <c r="B259" s="147" t="s">
        <v>563</v>
      </c>
      <c r="C259" s="147" t="s">
        <v>564</v>
      </c>
      <c r="D259" s="147" t="s">
        <v>566</v>
      </c>
      <c r="E259" s="218" t="s">
        <v>565</v>
      </c>
      <c r="F259" s="118"/>
      <c r="G259" s="118"/>
      <c r="H259" s="118"/>
      <c r="I259" s="118"/>
      <c r="J259" s="118"/>
      <c r="K259" s="119">
        <f>L259+O259</f>
        <v>69811.6</v>
      </c>
      <c r="L259" s="118"/>
      <c r="M259" s="118"/>
      <c r="N259" s="118"/>
      <c r="O259" s="118">
        <v>69811.6</v>
      </c>
      <c r="P259" s="118"/>
      <c r="Q259" s="119">
        <f t="shared" si="57"/>
        <v>69811.6</v>
      </c>
      <c r="R259" s="247"/>
      <c r="S259" s="234"/>
      <c r="T259" s="234"/>
      <c r="U259" s="234"/>
      <c r="V259" s="234"/>
      <c r="W259" s="234"/>
      <c r="X259" s="234"/>
      <c r="Y259" s="234"/>
      <c r="Z259" s="234"/>
      <c r="AA259" s="234"/>
      <c r="AB259" s="234"/>
      <c r="AC259" s="234"/>
      <c r="AD259" s="234"/>
      <c r="AE259" s="234"/>
      <c r="AF259" s="234"/>
    </row>
    <row r="260" spans="1:32" s="17" customFormat="1" ht="24.75" customHeight="1">
      <c r="A260" s="25"/>
      <c r="B260" s="29" t="s">
        <v>441</v>
      </c>
      <c r="C260" s="29" t="s">
        <v>347</v>
      </c>
      <c r="D260" s="29" t="s">
        <v>348</v>
      </c>
      <c r="E260" s="26" t="s">
        <v>154</v>
      </c>
      <c r="F260" s="118">
        <f>G260+J260</f>
        <v>0</v>
      </c>
      <c r="G260" s="118"/>
      <c r="H260" s="118"/>
      <c r="I260" s="118"/>
      <c r="J260" s="119"/>
      <c r="K260" s="119">
        <f>L260+O260</f>
        <v>16524000</v>
      </c>
      <c r="L260" s="118"/>
      <c r="M260" s="118"/>
      <c r="N260" s="118"/>
      <c r="O260" s="118">
        <v>16524000</v>
      </c>
      <c r="P260" s="118">
        <v>16524000</v>
      </c>
      <c r="Q260" s="118">
        <f aca="true" t="shared" si="81" ref="Q260:Q293">F260+K260</f>
        <v>16524000</v>
      </c>
      <c r="R260" s="247"/>
      <c r="S260" s="44"/>
      <c r="T260" s="44"/>
      <c r="U260" s="44"/>
      <c r="V260" s="44"/>
      <c r="W260" s="44"/>
      <c r="X260" s="44"/>
      <c r="Y260" s="44"/>
      <c r="Z260" s="44"/>
      <c r="AA260" s="44"/>
      <c r="AB260" s="44"/>
      <c r="AC260" s="44"/>
      <c r="AD260" s="44"/>
      <c r="AE260" s="44"/>
      <c r="AF260" s="44"/>
    </row>
    <row r="261" spans="1:32" s="17" customFormat="1" ht="30">
      <c r="A261" s="16"/>
      <c r="B261" s="81" t="s">
        <v>220</v>
      </c>
      <c r="C261" s="81" t="s">
        <v>351</v>
      </c>
      <c r="D261" s="81" t="s">
        <v>330</v>
      </c>
      <c r="E261" s="26" t="s">
        <v>56</v>
      </c>
      <c r="F261" s="118">
        <f>G261+J261</f>
        <v>0</v>
      </c>
      <c r="G261" s="118"/>
      <c r="H261" s="118"/>
      <c r="I261" s="118"/>
      <c r="J261" s="118"/>
      <c r="K261" s="118">
        <f>L261+O261</f>
        <v>25550000</v>
      </c>
      <c r="L261" s="118"/>
      <c r="M261" s="118"/>
      <c r="N261" s="118"/>
      <c r="O261" s="118">
        <f>13700000+2000000+9850000</f>
        <v>25550000</v>
      </c>
      <c r="P261" s="118">
        <f>13700000+2000000+9850000</f>
        <v>25550000</v>
      </c>
      <c r="Q261" s="118">
        <f t="shared" si="81"/>
        <v>25550000</v>
      </c>
      <c r="R261" s="247"/>
      <c r="S261" s="44"/>
      <c r="T261" s="44"/>
      <c r="U261" s="44"/>
      <c r="V261" s="44"/>
      <c r="W261" s="44"/>
      <c r="X261" s="44"/>
      <c r="Y261" s="44"/>
      <c r="Z261" s="44"/>
      <c r="AA261" s="44"/>
      <c r="AB261" s="44"/>
      <c r="AC261" s="44"/>
      <c r="AD261" s="44"/>
      <c r="AE261" s="44"/>
      <c r="AF261" s="44"/>
    </row>
    <row r="262" spans="1:32" s="17" customFormat="1" ht="45">
      <c r="A262" s="16"/>
      <c r="B262" s="82" t="s">
        <v>186</v>
      </c>
      <c r="C262" s="82" t="s">
        <v>380</v>
      </c>
      <c r="D262" s="82"/>
      <c r="E262" s="26" t="s">
        <v>175</v>
      </c>
      <c r="F262" s="118">
        <f>F263</f>
        <v>84900</v>
      </c>
      <c r="G262" s="118">
        <f aca="true" t="shared" si="82" ref="G262:Q262">G263</f>
        <v>84900</v>
      </c>
      <c r="H262" s="118">
        <f t="shared" si="82"/>
        <v>0</v>
      </c>
      <c r="I262" s="118">
        <f t="shared" si="82"/>
        <v>0</v>
      </c>
      <c r="J262" s="118">
        <f t="shared" si="82"/>
        <v>0</v>
      </c>
      <c r="K262" s="118">
        <f t="shared" si="82"/>
        <v>52810.46</v>
      </c>
      <c r="L262" s="118">
        <f t="shared" si="82"/>
        <v>52810.46</v>
      </c>
      <c r="M262" s="118">
        <f t="shared" si="82"/>
        <v>0</v>
      </c>
      <c r="N262" s="118">
        <f t="shared" si="82"/>
        <v>0</v>
      </c>
      <c r="O262" s="118">
        <f t="shared" si="82"/>
        <v>0</v>
      </c>
      <c r="P262" s="118">
        <f t="shared" si="82"/>
        <v>0</v>
      </c>
      <c r="Q262" s="118">
        <f t="shared" si="82"/>
        <v>137710.46</v>
      </c>
      <c r="R262" s="247"/>
      <c r="S262" s="44"/>
      <c r="T262" s="44"/>
      <c r="U262" s="44"/>
      <c r="V262" s="44"/>
      <c r="W262" s="44"/>
      <c r="X262" s="44"/>
      <c r="Y262" s="44"/>
      <c r="Z262" s="44"/>
      <c r="AA262" s="44"/>
      <c r="AB262" s="44"/>
      <c r="AC262" s="44"/>
      <c r="AD262" s="44"/>
      <c r="AE262" s="44"/>
      <c r="AF262" s="44"/>
    </row>
    <row r="263" spans="1:32" s="17" customFormat="1" ht="66.75" customHeight="1">
      <c r="A263" s="16"/>
      <c r="B263" s="39" t="s">
        <v>174</v>
      </c>
      <c r="C263" s="39" t="s">
        <v>381</v>
      </c>
      <c r="D263" s="39" t="s">
        <v>261</v>
      </c>
      <c r="E263" s="22" t="s">
        <v>173</v>
      </c>
      <c r="F263" s="119">
        <f>G263+J263</f>
        <v>84900</v>
      </c>
      <c r="G263" s="119">
        <v>84900</v>
      </c>
      <c r="H263" s="119"/>
      <c r="I263" s="119"/>
      <c r="J263" s="119"/>
      <c r="K263" s="119">
        <f>L263+O263</f>
        <v>52810.46</v>
      </c>
      <c r="L263" s="119">
        <f>32488+20322.46</f>
        <v>52810.46</v>
      </c>
      <c r="M263" s="119"/>
      <c r="N263" s="119"/>
      <c r="O263" s="119"/>
      <c r="P263" s="119"/>
      <c r="Q263" s="119">
        <f t="shared" si="81"/>
        <v>137710.46</v>
      </c>
      <c r="R263" s="247"/>
      <c r="S263" s="44"/>
      <c r="T263" s="44"/>
      <c r="U263" s="44"/>
      <c r="V263" s="44"/>
      <c r="W263" s="44"/>
      <c r="X263" s="44"/>
      <c r="Y263" s="44"/>
      <c r="Z263" s="44"/>
      <c r="AA263" s="44"/>
      <c r="AB263" s="44"/>
      <c r="AC263" s="44"/>
      <c r="AD263" s="44"/>
      <c r="AE263" s="44"/>
      <c r="AF263" s="44"/>
    </row>
    <row r="264" spans="1:32" s="17" customFormat="1" ht="30">
      <c r="A264" s="16"/>
      <c r="B264" s="147" t="s">
        <v>193</v>
      </c>
      <c r="C264" s="147" t="s">
        <v>367</v>
      </c>
      <c r="D264" s="147" t="s">
        <v>368</v>
      </c>
      <c r="E264" s="111" t="s">
        <v>24</v>
      </c>
      <c r="F264" s="118"/>
      <c r="G264" s="118"/>
      <c r="H264" s="118"/>
      <c r="I264" s="118"/>
      <c r="J264" s="118"/>
      <c r="K264" s="118">
        <f>L264+O264</f>
        <v>1230670</v>
      </c>
      <c r="L264" s="118"/>
      <c r="M264" s="118"/>
      <c r="N264" s="118"/>
      <c r="O264" s="118">
        <v>1230670</v>
      </c>
      <c r="P264" s="118"/>
      <c r="Q264" s="118">
        <f t="shared" si="81"/>
        <v>1230670</v>
      </c>
      <c r="R264" s="247"/>
      <c r="S264" s="44"/>
      <c r="T264" s="44"/>
      <c r="U264" s="44"/>
      <c r="V264" s="44"/>
      <c r="W264" s="44"/>
      <c r="X264" s="44"/>
      <c r="Y264" s="44"/>
      <c r="Z264" s="44"/>
      <c r="AA264" s="44"/>
      <c r="AB264" s="44"/>
      <c r="AC264" s="44"/>
      <c r="AD264" s="44"/>
      <c r="AE264" s="44"/>
      <c r="AF264" s="44"/>
    </row>
    <row r="265" spans="1:32" s="17" customFormat="1" ht="30">
      <c r="A265" s="16"/>
      <c r="B265" s="147" t="s">
        <v>224</v>
      </c>
      <c r="C265" s="147" t="s">
        <v>369</v>
      </c>
      <c r="D265" s="147" t="s">
        <v>370</v>
      </c>
      <c r="E265" s="111" t="s">
        <v>223</v>
      </c>
      <c r="F265" s="118"/>
      <c r="G265" s="118"/>
      <c r="H265" s="118"/>
      <c r="I265" s="118"/>
      <c r="J265" s="118"/>
      <c r="K265" s="118">
        <f>L265+O265</f>
        <v>2903520</v>
      </c>
      <c r="L265" s="118"/>
      <c r="M265" s="118"/>
      <c r="N265" s="118"/>
      <c r="O265" s="118">
        <f>715000+2188520</f>
        <v>2903520</v>
      </c>
      <c r="P265" s="118"/>
      <c r="Q265" s="118">
        <f t="shared" si="81"/>
        <v>2903520</v>
      </c>
      <c r="R265" s="247"/>
      <c r="S265" s="44"/>
      <c r="T265" s="44"/>
      <c r="U265" s="44"/>
      <c r="V265" s="44"/>
      <c r="W265" s="44"/>
      <c r="X265" s="44"/>
      <c r="Y265" s="44"/>
      <c r="Z265" s="44"/>
      <c r="AA265" s="44"/>
      <c r="AB265" s="44"/>
      <c r="AC265" s="44"/>
      <c r="AD265" s="44"/>
      <c r="AE265" s="44"/>
      <c r="AF265" s="44"/>
    </row>
    <row r="266" spans="1:32" s="235" customFormat="1" ht="51.75" customHeight="1">
      <c r="A266" s="233"/>
      <c r="B266" s="147" t="s">
        <v>567</v>
      </c>
      <c r="C266" s="147" t="s">
        <v>374</v>
      </c>
      <c r="D266" s="147" t="s">
        <v>375</v>
      </c>
      <c r="E266" s="111" t="s">
        <v>17</v>
      </c>
      <c r="F266" s="118"/>
      <c r="G266" s="118"/>
      <c r="H266" s="118"/>
      <c r="I266" s="118"/>
      <c r="J266" s="118"/>
      <c r="K266" s="118">
        <f>L266+O266</f>
        <v>1258212.12</v>
      </c>
      <c r="L266" s="118"/>
      <c r="M266" s="118"/>
      <c r="N266" s="118"/>
      <c r="O266" s="118">
        <v>1258212.12</v>
      </c>
      <c r="P266" s="118"/>
      <c r="Q266" s="118">
        <f>F266+K266</f>
        <v>1258212.12</v>
      </c>
      <c r="R266" s="247"/>
      <c r="S266" s="234"/>
      <c r="T266" s="234"/>
      <c r="U266" s="234"/>
      <c r="V266" s="234"/>
      <c r="W266" s="234"/>
      <c r="X266" s="234"/>
      <c r="Y266" s="234"/>
      <c r="Z266" s="234"/>
      <c r="AA266" s="234"/>
      <c r="AB266" s="234"/>
      <c r="AC266" s="234"/>
      <c r="AD266" s="234"/>
      <c r="AE266" s="234"/>
      <c r="AF266" s="234"/>
    </row>
    <row r="267" spans="1:32" s="221" customFormat="1" ht="31.5" customHeight="1">
      <c r="A267" s="219"/>
      <c r="B267" s="114">
        <v>4800000</v>
      </c>
      <c r="C267" s="114"/>
      <c r="D267" s="114"/>
      <c r="E267" s="19" t="s">
        <v>539</v>
      </c>
      <c r="F267" s="126">
        <f>F268</f>
        <v>199728</v>
      </c>
      <c r="G267" s="126">
        <f aca="true" t="shared" si="83" ref="G267:Q268">G268</f>
        <v>199728</v>
      </c>
      <c r="H267" s="126">
        <f t="shared" si="83"/>
        <v>156372</v>
      </c>
      <c r="I267" s="126">
        <f t="shared" si="83"/>
        <v>0</v>
      </c>
      <c r="J267" s="126">
        <f t="shared" si="83"/>
        <v>0</v>
      </c>
      <c r="K267" s="126">
        <f t="shared" si="83"/>
        <v>0</v>
      </c>
      <c r="L267" s="126">
        <f t="shared" si="83"/>
        <v>0</v>
      </c>
      <c r="M267" s="126">
        <f t="shared" si="83"/>
        <v>0</v>
      </c>
      <c r="N267" s="126">
        <f t="shared" si="83"/>
        <v>0</v>
      </c>
      <c r="O267" s="126">
        <f t="shared" si="83"/>
        <v>0</v>
      </c>
      <c r="P267" s="126">
        <f t="shared" si="83"/>
        <v>0</v>
      </c>
      <c r="Q267" s="126">
        <f>F267+K267</f>
        <v>199728</v>
      </c>
      <c r="R267" s="247"/>
      <c r="S267" s="220"/>
      <c r="T267" s="220"/>
      <c r="U267" s="220"/>
      <c r="V267" s="220"/>
      <c r="W267" s="220"/>
      <c r="X267" s="220"/>
      <c r="Y267" s="220"/>
      <c r="Z267" s="220"/>
      <c r="AA267" s="220"/>
      <c r="AB267" s="220"/>
      <c r="AC267" s="220"/>
      <c r="AD267" s="220"/>
      <c r="AE267" s="220"/>
      <c r="AF267" s="220"/>
    </row>
    <row r="268" spans="1:32" s="221" customFormat="1" ht="30">
      <c r="A268" s="219"/>
      <c r="B268" s="138">
        <v>4810000</v>
      </c>
      <c r="C268" s="138"/>
      <c r="D268" s="138"/>
      <c r="E268" s="32" t="s">
        <v>539</v>
      </c>
      <c r="F268" s="135">
        <f>F269</f>
        <v>199728</v>
      </c>
      <c r="G268" s="135">
        <f t="shared" si="83"/>
        <v>199728</v>
      </c>
      <c r="H268" s="135">
        <f t="shared" si="83"/>
        <v>156372</v>
      </c>
      <c r="I268" s="135">
        <f t="shared" si="83"/>
        <v>0</v>
      </c>
      <c r="J268" s="135">
        <f t="shared" si="83"/>
        <v>0</v>
      </c>
      <c r="K268" s="135">
        <f t="shared" si="83"/>
        <v>0</v>
      </c>
      <c r="L268" s="135">
        <f t="shared" si="83"/>
        <v>0</v>
      </c>
      <c r="M268" s="135">
        <f t="shared" si="83"/>
        <v>0</v>
      </c>
      <c r="N268" s="135">
        <f t="shared" si="83"/>
        <v>0</v>
      </c>
      <c r="O268" s="135">
        <f t="shared" si="83"/>
        <v>0</v>
      </c>
      <c r="P268" s="135">
        <f t="shared" si="83"/>
        <v>0</v>
      </c>
      <c r="Q268" s="135">
        <f t="shared" si="83"/>
        <v>199728</v>
      </c>
      <c r="R268" s="247"/>
      <c r="S268" s="220"/>
      <c r="T268" s="220"/>
      <c r="U268" s="220"/>
      <c r="V268" s="220"/>
      <c r="W268" s="220"/>
      <c r="X268" s="220"/>
      <c r="Y268" s="220"/>
      <c r="Z268" s="220"/>
      <c r="AA268" s="220"/>
      <c r="AB268" s="220"/>
      <c r="AC268" s="220"/>
      <c r="AD268" s="220"/>
      <c r="AE268" s="220"/>
      <c r="AF268" s="220"/>
    </row>
    <row r="269" spans="1:32" s="17" customFormat="1" ht="30">
      <c r="A269" s="181"/>
      <c r="B269" s="110" t="s">
        <v>176</v>
      </c>
      <c r="C269" s="110" t="s">
        <v>251</v>
      </c>
      <c r="D269" s="110" t="s">
        <v>252</v>
      </c>
      <c r="E269" s="111" t="s">
        <v>536</v>
      </c>
      <c r="F269" s="118">
        <f>G269+J269</f>
        <v>199728</v>
      </c>
      <c r="G269" s="118">
        <v>199728</v>
      </c>
      <c r="H269" s="118">
        <v>156372</v>
      </c>
      <c r="I269" s="118"/>
      <c r="J269" s="118"/>
      <c r="K269" s="118">
        <f>L269+O269</f>
        <v>0</v>
      </c>
      <c r="L269" s="118"/>
      <c r="M269" s="118"/>
      <c r="N269" s="118"/>
      <c r="O269" s="118"/>
      <c r="P269" s="118"/>
      <c r="Q269" s="118">
        <f>F269+K269</f>
        <v>199728</v>
      </c>
      <c r="R269" s="247"/>
      <c r="S269" s="44"/>
      <c r="T269" s="44"/>
      <c r="U269" s="44"/>
      <c r="V269" s="44"/>
      <c r="W269" s="44"/>
      <c r="X269" s="44"/>
      <c r="Y269" s="44"/>
      <c r="Z269" s="44"/>
      <c r="AA269" s="44"/>
      <c r="AB269" s="44"/>
      <c r="AC269" s="44"/>
      <c r="AD269" s="44"/>
      <c r="AE269" s="44"/>
      <c r="AF269" s="44"/>
    </row>
    <row r="270" spans="1:32" s="221" customFormat="1" ht="31.5" customHeight="1">
      <c r="A270" s="219"/>
      <c r="B270" s="114">
        <v>4800000</v>
      </c>
      <c r="C270" s="114"/>
      <c r="D270" s="114"/>
      <c r="E270" s="19" t="s">
        <v>227</v>
      </c>
      <c r="F270" s="126">
        <f>F271</f>
        <v>3715000</v>
      </c>
      <c r="G270" s="126">
        <f aca="true" t="shared" si="84" ref="G270:P270">G271</f>
        <v>3715000</v>
      </c>
      <c r="H270" s="126">
        <f t="shared" si="84"/>
        <v>2580700</v>
      </c>
      <c r="I270" s="126">
        <f t="shared" si="84"/>
        <v>70500</v>
      </c>
      <c r="J270" s="126">
        <f t="shared" si="84"/>
        <v>0</v>
      </c>
      <c r="K270" s="126">
        <f t="shared" si="84"/>
        <v>2048103</v>
      </c>
      <c r="L270" s="126">
        <f t="shared" si="84"/>
        <v>542830</v>
      </c>
      <c r="M270" s="126">
        <f t="shared" si="84"/>
        <v>0</v>
      </c>
      <c r="N270" s="126">
        <f t="shared" si="84"/>
        <v>0</v>
      </c>
      <c r="O270" s="126">
        <f t="shared" si="84"/>
        <v>1505273</v>
      </c>
      <c r="P270" s="126">
        <f t="shared" si="84"/>
        <v>112173</v>
      </c>
      <c r="Q270" s="126">
        <f t="shared" si="81"/>
        <v>5763103</v>
      </c>
      <c r="R270" s="247"/>
      <c r="S270" s="220"/>
      <c r="T270" s="220"/>
      <c r="U270" s="220"/>
      <c r="V270" s="220"/>
      <c r="W270" s="220"/>
      <c r="X270" s="220"/>
      <c r="Y270" s="220"/>
      <c r="Z270" s="220"/>
      <c r="AA270" s="220"/>
      <c r="AB270" s="220"/>
      <c r="AC270" s="220"/>
      <c r="AD270" s="220"/>
      <c r="AE270" s="220"/>
      <c r="AF270" s="220"/>
    </row>
    <row r="271" spans="1:32" s="221" customFormat="1" ht="30">
      <c r="A271" s="219"/>
      <c r="B271" s="138">
        <v>4810000</v>
      </c>
      <c r="C271" s="138"/>
      <c r="D271" s="138"/>
      <c r="E271" s="137" t="s">
        <v>227</v>
      </c>
      <c r="F271" s="135">
        <f>F272+F274+F276+F273</f>
        <v>3715000</v>
      </c>
      <c r="G271" s="135">
        <f aca="true" t="shared" si="85" ref="G271:Q271">G272+G274+G276+G273</f>
        <v>3715000</v>
      </c>
      <c r="H271" s="135">
        <f t="shared" si="85"/>
        <v>2580700</v>
      </c>
      <c r="I271" s="135">
        <f t="shared" si="85"/>
        <v>70500</v>
      </c>
      <c r="J271" s="135">
        <f t="shared" si="85"/>
        <v>0</v>
      </c>
      <c r="K271" s="135">
        <f t="shared" si="85"/>
        <v>2048103</v>
      </c>
      <c r="L271" s="135">
        <f t="shared" si="85"/>
        <v>542830</v>
      </c>
      <c r="M271" s="135">
        <f t="shared" si="85"/>
        <v>0</v>
      </c>
      <c r="N271" s="135">
        <f t="shared" si="85"/>
        <v>0</v>
      </c>
      <c r="O271" s="135">
        <f t="shared" si="85"/>
        <v>1505273</v>
      </c>
      <c r="P271" s="135">
        <f t="shared" si="85"/>
        <v>112173</v>
      </c>
      <c r="Q271" s="135">
        <f t="shared" si="85"/>
        <v>5763103</v>
      </c>
      <c r="R271" s="247"/>
      <c r="S271" s="220"/>
      <c r="T271" s="220"/>
      <c r="U271" s="220"/>
      <c r="V271" s="220"/>
      <c r="W271" s="220"/>
      <c r="X271" s="220"/>
      <c r="Y271" s="220"/>
      <c r="Z271" s="220"/>
      <c r="AA271" s="220"/>
      <c r="AB271" s="220"/>
      <c r="AC271" s="220"/>
      <c r="AD271" s="220"/>
      <c r="AE271" s="220"/>
      <c r="AF271" s="220"/>
    </row>
    <row r="272" spans="1:32" s="17" customFormat="1" ht="30">
      <c r="A272" s="181"/>
      <c r="B272" s="110" t="s">
        <v>176</v>
      </c>
      <c r="C272" s="110" t="s">
        <v>251</v>
      </c>
      <c r="D272" s="110" t="s">
        <v>252</v>
      </c>
      <c r="E272" s="111" t="s">
        <v>536</v>
      </c>
      <c r="F272" s="118">
        <f>G272+J272</f>
        <v>3475000</v>
      </c>
      <c r="G272" s="118">
        <f>2857700+1300-18700+634700</f>
        <v>3475000</v>
      </c>
      <c r="H272" s="118">
        <f>2081800+498900</f>
        <v>2580700</v>
      </c>
      <c r="I272" s="118">
        <f>69200+1300</f>
        <v>70500</v>
      </c>
      <c r="J272" s="118"/>
      <c r="K272" s="118">
        <f>L272+O272</f>
        <v>95000</v>
      </c>
      <c r="L272" s="118"/>
      <c r="M272" s="118"/>
      <c r="N272" s="118"/>
      <c r="O272" s="118">
        <f>45000+50000</f>
        <v>95000</v>
      </c>
      <c r="P272" s="118">
        <f>45000+50000</f>
        <v>95000</v>
      </c>
      <c r="Q272" s="118">
        <f t="shared" si="81"/>
        <v>3570000</v>
      </c>
      <c r="R272" s="247"/>
      <c r="S272" s="44"/>
      <c r="T272" s="44"/>
      <c r="U272" s="44"/>
      <c r="V272" s="44"/>
      <c r="W272" s="44"/>
      <c r="X272" s="44"/>
      <c r="Y272" s="44"/>
      <c r="Z272" s="44"/>
      <c r="AA272" s="44"/>
      <c r="AB272" s="44"/>
      <c r="AC272" s="44"/>
      <c r="AD272" s="44"/>
      <c r="AE272" s="44"/>
      <c r="AF272" s="44"/>
    </row>
    <row r="273" spans="1:32" s="17" customFormat="1" ht="30">
      <c r="A273" s="181"/>
      <c r="B273" s="81" t="s">
        <v>543</v>
      </c>
      <c r="C273" s="81" t="s">
        <v>351</v>
      </c>
      <c r="D273" s="81" t="s">
        <v>330</v>
      </c>
      <c r="E273" s="26" t="s">
        <v>56</v>
      </c>
      <c r="F273" s="118">
        <f>G273+J273</f>
        <v>0</v>
      </c>
      <c r="G273" s="118"/>
      <c r="H273" s="118"/>
      <c r="I273" s="118"/>
      <c r="J273" s="118"/>
      <c r="K273" s="118">
        <f>L273+O273</f>
        <v>17173</v>
      </c>
      <c r="L273" s="118"/>
      <c r="M273" s="118"/>
      <c r="N273" s="118"/>
      <c r="O273" s="118">
        <v>17173</v>
      </c>
      <c r="P273" s="118">
        <v>17173</v>
      </c>
      <c r="Q273" s="118">
        <f t="shared" si="81"/>
        <v>17173</v>
      </c>
      <c r="R273" s="247"/>
      <c r="S273" s="44"/>
      <c r="T273" s="44"/>
      <c r="U273" s="44"/>
      <c r="V273" s="44"/>
      <c r="W273" s="44"/>
      <c r="X273" s="44"/>
      <c r="Y273" s="44"/>
      <c r="Z273" s="44"/>
      <c r="AA273" s="44"/>
      <c r="AB273" s="44"/>
      <c r="AC273" s="44"/>
      <c r="AD273" s="44"/>
      <c r="AE273" s="44"/>
      <c r="AF273" s="44"/>
    </row>
    <row r="274" spans="1:32" s="17" customFormat="1" ht="15.75">
      <c r="A274" s="16"/>
      <c r="B274" s="82" t="s">
        <v>531</v>
      </c>
      <c r="C274" s="82" t="s">
        <v>379</v>
      </c>
      <c r="D274" s="82" t="s">
        <v>375</v>
      </c>
      <c r="E274" s="111" t="s">
        <v>12</v>
      </c>
      <c r="F274" s="118">
        <f>F275</f>
        <v>240000</v>
      </c>
      <c r="G274" s="118">
        <f aca="true" t="shared" si="86" ref="G274:Q274">G275</f>
        <v>240000</v>
      </c>
      <c r="H274" s="118">
        <f t="shared" si="86"/>
        <v>0</v>
      </c>
      <c r="I274" s="118">
        <f t="shared" si="86"/>
        <v>0</v>
      </c>
      <c r="J274" s="118">
        <f t="shared" si="86"/>
        <v>0</v>
      </c>
      <c r="K274" s="118">
        <f t="shared" si="86"/>
        <v>0</v>
      </c>
      <c r="L274" s="118">
        <f t="shared" si="86"/>
        <v>0</v>
      </c>
      <c r="M274" s="118">
        <f t="shared" si="86"/>
        <v>0</v>
      </c>
      <c r="N274" s="118">
        <f t="shared" si="86"/>
        <v>0</v>
      </c>
      <c r="O274" s="118">
        <f t="shared" si="86"/>
        <v>0</v>
      </c>
      <c r="P274" s="118">
        <f t="shared" si="86"/>
        <v>0</v>
      </c>
      <c r="Q274" s="118">
        <f t="shared" si="86"/>
        <v>240000</v>
      </c>
      <c r="R274" s="247"/>
      <c r="S274" s="44"/>
      <c r="T274" s="44"/>
      <c r="U274" s="44"/>
      <c r="V274" s="44"/>
      <c r="W274" s="44"/>
      <c r="X274" s="44"/>
      <c r="Y274" s="44"/>
      <c r="Z274" s="44"/>
      <c r="AA274" s="44"/>
      <c r="AB274" s="44"/>
      <c r="AC274" s="44"/>
      <c r="AD274" s="44"/>
      <c r="AE274" s="44"/>
      <c r="AF274" s="44"/>
    </row>
    <row r="275" spans="1:32" s="36" customFormat="1" ht="45.75" customHeight="1">
      <c r="A275" s="35"/>
      <c r="B275" s="31" t="s">
        <v>531</v>
      </c>
      <c r="C275" s="31" t="s">
        <v>379</v>
      </c>
      <c r="D275" s="31" t="s">
        <v>375</v>
      </c>
      <c r="E275" s="37" t="s">
        <v>159</v>
      </c>
      <c r="F275" s="119">
        <f>G275+J275</f>
        <v>240000</v>
      </c>
      <c r="G275" s="119">
        <v>240000</v>
      </c>
      <c r="H275" s="119"/>
      <c r="I275" s="119"/>
      <c r="J275" s="119"/>
      <c r="K275" s="119"/>
      <c r="L275" s="119"/>
      <c r="M275" s="119"/>
      <c r="N275" s="119"/>
      <c r="O275" s="119"/>
      <c r="P275" s="119"/>
      <c r="Q275" s="119">
        <f t="shared" si="81"/>
        <v>240000</v>
      </c>
      <c r="R275" s="247"/>
      <c r="S275" s="34"/>
      <c r="T275" s="34"/>
      <c r="U275" s="34"/>
      <c r="V275" s="34"/>
      <c r="W275" s="34"/>
      <c r="X275" s="34"/>
      <c r="Y275" s="34"/>
      <c r="Z275" s="34"/>
      <c r="AA275" s="34"/>
      <c r="AB275" s="34"/>
      <c r="AC275" s="34"/>
      <c r="AD275" s="34"/>
      <c r="AE275" s="34"/>
      <c r="AF275" s="34"/>
    </row>
    <row r="276" spans="1:32" s="36" customFormat="1" ht="61.5" customHeight="1">
      <c r="A276" s="35"/>
      <c r="B276" s="24" t="s">
        <v>177</v>
      </c>
      <c r="C276" s="24" t="s">
        <v>374</v>
      </c>
      <c r="D276" s="24" t="s">
        <v>375</v>
      </c>
      <c r="E276" s="26" t="s">
        <v>17</v>
      </c>
      <c r="F276" s="119">
        <f>G276+J276</f>
        <v>0</v>
      </c>
      <c r="G276" s="119"/>
      <c r="H276" s="119"/>
      <c r="I276" s="119"/>
      <c r="J276" s="119"/>
      <c r="K276" s="119">
        <f>L276+O276</f>
        <v>1935930</v>
      </c>
      <c r="L276" s="119">
        <f>712922-170092</f>
        <v>542830</v>
      </c>
      <c r="M276" s="119"/>
      <c r="N276" s="119"/>
      <c r="O276" s="119">
        <f>1223008+170092</f>
        <v>1393100</v>
      </c>
      <c r="P276" s="119"/>
      <c r="Q276" s="119">
        <f t="shared" si="81"/>
        <v>1935930</v>
      </c>
      <c r="R276" s="247"/>
      <c r="S276" s="34"/>
      <c r="T276" s="34"/>
      <c r="U276" s="34"/>
      <c r="V276" s="34"/>
      <c r="W276" s="34"/>
      <c r="X276" s="34"/>
      <c r="Y276" s="34"/>
      <c r="Z276" s="34"/>
      <c r="AA276" s="34"/>
      <c r="AB276" s="34"/>
      <c r="AC276" s="34"/>
      <c r="AD276" s="34"/>
      <c r="AE276" s="34"/>
      <c r="AF276" s="34"/>
    </row>
    <row r="277" spans="1:32" s="116" customFormat="1" ht="33" customHeight="1">
      <c r="A277" s="113"/>
      <c r="B277" s="114">
        <v>5000000</v>
      </c>
      <c r="C277" s="114"/>
      <c r="D277" s="114"/>
      <c r="E277" s="19" t="s">
        <v>178</v>
      </c>
      <c r="F277" s="126">
        <f>F278</f>
        <v>3160100</v>
      </c>
      <c r="G277" s="126">
        <f aca="true" t="shared" si="87" ref="G277:P277">G278</f>
        <v>2800100</v>
      </c>
      <c r="H277" s="126">
        <f t="shared" si="87"/>
        <v>1811600</v>
      </c>
      <c r="I277" s="126">
        <f t="shared" si="87"/>
        <v>89000</v>
      </c>
      <c r="J277" s="126">
        <f t="shared" si="87"/>
        <v>360000</v>
      </c>
      <c r="K277" s="126">
        <f t="shared" si="87"/>
        <v>21000</v>
      </c>
      <c r="L277" s="126">
        <f t="shared" si="87"/>
        <v>0</v>
      </c>
      <c r="M277" s="126">
        <f t="shared" si="87"/>
        <v>0</v>
      </c>
      <c r="N277" s="126">
        <f t="shared" si="87"/>
        <v>0</v>
      </c>
      <c r="O277" s="126">
        <f t="shared" si="87"/>
        <v>21000</v>
      </c>
      <c r="P277" s="126">
        <f t="shared" si="87"/>
        <v>21000</v>
      </c>
      <c r="Q277" s="126">
        <f t="shared" si="81"/>
        <v>3181100</v>
      </c>
      <c r="R277" s="247"/>
      <c r="S277" s="115"/>
      <c r="T277" s="115"/>
      <c r="U277" s="115"/>
      <c r="V277" s="115"/>
      <c r="W277" s="115"/>
      <c r="X277" s="115"/>
      <c r="Y277" s="115"/>
      <c r="Z277" s="115"/>
      <c r="AA277" s="115"/>
      <c r="AB277" s="115"/>
      <c r="AC277" s="115"/>
      <c r="AD277" s="115"/>
      <c r="AE277" s="115"/>
      <c r="AF277" s="115"/>
    </row>
    <row r="278" spans="1:32" s="225" customFormat="1" ht="34.5" customHeight="1">
      <c r="A278" s="223"/>
      <c r="B278" s="138">
        <v>5010000</v>
      </c>
      <c r="C278" s="138"/>
      <c r="D278" s="138"/>
      <c r="E278" s="137" t="s">
        <v>178</v>
      </c>
      <c r="F278" s="135">
        <f>F279+F281+F280</f>
        <v>3160100</v>
      </c>
      <c r="G278" s="135">
        <f aca="true" t="shared" si="88" ref="G278:Q278">G279+G281+G280</f>
        <v>2800100</v>
      </c>
      <c r="H278" s="135">
        <f t="shared" si="88"/>
        <v>1811600</v>
      </c>
      <c r="I278" s="135">
        <f t="shared" si="88"/>
        <v>89000</v>
      </c>
      <c r="J278" s="135">
        <f t="shared" si="88"/>
        <v>360000</v>
      </c>
      <c r="K278" s="135">
        <f t="shared" si="88"/>
        <v>21000</v>
      </c>
      <c r="L278" s="135">
        <f t="shared" si="88"/>
        <v>0</v>
      </c>
      <c r="M278" s="135">
        <f t="shared" si="88"/>
        <v>0</v>
      </c>
      <c r="N278" s="135">
        <f t="shared" si="88"/>
        <v>0</v>
      </c>
      <c r="O278" s="135">
        <f t="shared" si="88"/>
        <v>21000</v>
      </c>
      <c r="P278" s="135">
        <f t="shared" si="88"/>
        <v>21000</v>
      </c>
      <c r="Q278" s="135">
        <f t="shared" si="88"/>
        <v>3181100</v>
      </c>
      <c r="R278" s="247"/>
      <c r="S278" s="224"/>
      <c r="T278" s="224"/>
      <c r="U278" s="224"/>
      <c r="V278" s="224"/>
      <c r="W278" s="224"/>
      <c r="X278" s="224"/>
      <c r="Y278" s="224"/>
      <c r="Z278" s="224"/>
      <c r="AA278" s="224"/>
      <c r="AB278" s="224"/>
      <c r="AC278" s="224"/>
      <c r="AD278" s="224"/>
      <c r="AE278" s="224"/>
      <c r="AF278" s="224"/>
    </row>
    <row r="279" spans="1:32" s="17" customFormat="1" ht="30">
      <c r="A279" s="181"/>
      <c r="B279" s="110" t="s">
        <v>179</v>
      </c>
      <c r="C279" s="110" t="s">
        <v>251</v>
      </c>
      <c r="D279" s="110" t="s">
        <v>252</v>
      </c>
      <c r="E279" s="111" t="s">
        <v>536</v>
      </c>
      <c r="F279" s="118">
        <f>G279+J279</f>
        <v>2383600</v>
      </c>
      <c r="G279" s="118">
        <f>2403400+12100-31900</f>
        <v>2383600</v>
      </c>
      <c r="H279" s="118">
        <v>1811600</v>
      </c>
      <c r="I279" s="118">
        <f>76900+12100</f>
        <v>89000</v>
      </c>
      <c r="J279" s="118"/>
      <c r="K279" s="118">
        <f>L279+O279</f>
        <v>21000</v>
      </c>
      <c r="L279" s="118"/>
      <c r="M279" s="118"/>
      <c r="N279" s="118"/>
      <c r="O279" s="118">
        <v>21000</v>
      </c>
      <c r="P279" s="118">
        <v>21000</v>
      </c>
      <c r="Q279" s="118">
        <f t="shared" si="81"/>
        <v>2404600</v>
      </c>
      <c r="R279" s="247"/>
      <c r="S279" s="44"/>
      <c r="T279" s="44"/>
      <c r="U279" s="44"/>
      <c r="V279" s="44"/>
      <c r="W279" s="44"/>
      <c r="X279" s="44"/>
      <c r="Y279" s="44"/>
      <c r="Z279" s="44"/>
      <c r="AA279" s="44"/>
      <c r="AB279" s="44"/>
      <c r="AC279" s="44"/>
      <c r="AD279" s="44"/>
      <c r="AE279" s="44"/>
      <c r="AF279" s="44"/>
    </row>
    <row r="280" spans="1:32" s="17" customFormat="1" ht="15.75">
      <c r="A280" s="16"/>
      <c r="B280" s="147" t="s">
        <v>241</v>
      </c>
      <c r="C280" s="147" t="s">
        <v>303</v>
      </c>
      <c r="D280" s="147" t="s">
        <v>302</v>
      </c>
      <c r="E280" s="111" t="s">
        <v>52</v>
      </c>
      <c r="F280" s="118">
        <f>G280+J280</f>
        <v>360000</v>
      </c>
      <c r="G280" s="118"/>
      <c r="H280" s="118"/>
      <c r="I280" s="118"/>
      <c r="J280" s="118">
        <v>360000</v>
      </c>
      <c r="K280" s="118">
        <f>L280+O280</f>
        <v>0</v>
      </c>
      <c r="L280" s="118"/>
      <c r="M280" s="118"/>
      <c r="N280" s="118"/>
      <c r="O280" s="118"/>
      <c r="P280" s="118"/>
      <c r="Q280" s="118">
        <f t="shared" si="81"/>
        <v>360000</v>
      </c>
      <c r="R280" s="247"/>
      <c r="S280" s="44"/>
      <c r="T280" s="44"/>
      <c r="U280" s="44"/>
      <c r="V280" s="44"/>
      <c r="W280" s="44"/>
      <c r="X280" s="44"/>
      <c r="Y280" s="44"/>
      <c r="Z280" s="44"/>
      <c r="AA280" s="44"/>
      <c r="AB280" s="44"/>
      <c r="AC280" s="44"/>
      <c r="AD280" s="44"/>
      <c r="AE280" s="44"/>
      <c r="AF280" s="44"/>
    </row>
    <row r="281" spans="1:32" s="17" customFormat="1" ht="15.75">
      <c r="A281" s="16"/>
      <c r="B281" s="82" t="s">
        <v>180</v>
      </c>
      <c r="C281" s="82" t="s">
        <v>379</v>
      </c>
      <c r="D281" s="82" t="s">
        <v>375</v>
      </c>
      <c r="E281" s="111" t="s">
        <v>12</v>
      </c>
      <c r="F281" s="118">
        <f>F282</f>
        <v>416500</v>
      </c>
      <c r="G281" s="118">
        <f aca="true" t="shared" si="89" ref="G281:P281">G282</f>
        <v>416500</v>
      </c>
      <c r="H281" s="118">
        <f t="shared" si="89"/>
        <v>0</v>
      </c>
      <c r="I281" s="118">
        <f t="shared" si="89"/>
        <v>0</v>
      </c>
      <c r="J281" s="118">
        <f t="shared" si="89"/>
        <v>0</v>
      </c>
      <c r="K281" s="118">
        <f t="shared" si="89"/>
        <v>0</v>
      </c>
      <c r="L281" s="118">
        <f t="shared" si="89"/>
        <v>0</v>
      </c>
      <c r="M281" s="118">
        <f t="shared" si="89"/>
        <v>0</v>
      </c>
      <c r="N281" s="118">
        <f t="shared" si="89"/>
        <v>0</v>
      </c>
      <c r="O281" s="118">
        <f t="shared" si="89"/>
        <v>0</v>
      </c>
      <c r="P281" s="118">
        <f t="shared" si="89"/>
        <v>0</v>
      </c>
      <c r="Q281" s="118">
        <f t="shared" si="81"/>
        <v>416500</v>
      </c>
      <c r="R281" s="247"/>
      <c r="S281" s="44"/>
      <c r="T281" s="44"/>
      <c r="U281" s="44"/>
      <c r="V281" s="44"/>
      <c r="W281" s="44"/>
      <c r="X281" s="44"/>
      <c r="Y281" s="44"/>
      <c r="Z281" s="44"/>
      <c r="AA281" s="44"/>
      <c r="AB281" s="44"/>
      <c r="AC281" s="44"/>
      <c r="AD281" s="44"/>
      <c r="AE281" s="44"/>
      <c r="AF281" s="44"/>
    </row>
    <row r="282" spans="1:32" s="17" customFormat="1" ht="44.25" customHeight="1">
      <c r="A282" s="16"/>
      <c r="B282" s="31" t="s">
        <v>180</v>
      </c>
      <c r="C282" s="31" t="s">
        <v>379</v>
      </c>
      <c r="D282" s="31" t="s">
        <v>375</v>
      </c>
      <c r="E282" s="38" t="s">
        <v>521</v>
      </c>
      <c r="F282" s="119">
        <f>G282+J282</f>
        <v>416500</v>
      </c>
      <c r="G282" s="119">
        <v>416500</v>
      </c>
      <c r="H282" s="119"/>
      <c r="I282" s="119"/>
      <c r="J282" s="119"/>
      <c r="K282" s="119">
        <f>L282+O282</f>
        <v>0</v>
      </c>
      <c r="L282" s="119"/>
      <c r="M282" s="119"/>
      <c r="N282" s="119"/>
      <c r="O282" s="119"/>
      <c r="P282" s="119"/>
      <c r="Q282" s="119">
        <f t="shared" si="81"/>
        <v>416500</v>
      </c>
      <c r="R282" s="247"/>
      <c r="S282" s="44"/>
      <c r="T282" s="44"/>
      <c r="U282" s="44"/>
      <c r="V282" s="44"/>
      <c r="W282" s="44"/>
      <c r="X282" s="44"/>
      <c r="Y282" s="44"/>
      <c r="Z282" s="44"/>
      <c r="AA282" s="44"/>
      <c r="AB282" s="44"/>
      <c r="AC282" s="44"/>
      <c r="AD282" s="44"/>
      <c r="AE282" s="44"/>
      <c r="AF282" s="44"/>
    </row>
    <row r="283" spans="1:32" s="116" customFormat="1" ht="34.5" customHeight="1">
      <c r="A283" s="113"/>
      <c r="B283" s="131" t="s">
        <v>181</v>
      </c>
      <c r="C283" s="131"/>
      <c r="D283" s="131"/>
      <c r="E283" s="19" t="s">
        <v>228</v>
      </c>
      <c r="F283" s="126">
        <f>F284</f>
        <v>9233400</v>
      </c>
      <c r="G283" s="126">
        <f aca="true" t="shared" si="90" ref="G283:P283">G284</f>
        <v>9233400</v>
      </c>
      <c r="H283" s="126">
        <f t="shared" si="90"/>
        <v>6921300</v>
      </c>
      <c r="I283" s="126">
        <f t="shared" si="90"/>
        <v>203900</v>
      </c>
      <c r="J283" s="126">
        <f t="shared" si="90"/>
        <v>0</v>
      </c>
      <c r="K283" s="126">
        <f t="shared" si="90"/>
        <v>150000</v>
      </c>
      <c r="L283" s="126">
        <f t="shared" si="90"/>
        <v>19000</v>
      </c>
      <c r="M283" s="126">
        <f t="shared" si="90"/>
        <v>0</v>
      </c>
      <c r="N283" s="126">
        <f t="shared" si="90"/>
        <v>0</v>
      </c>
      <c r="O283" s="126">
        <f t="shared" si="90"/>
        <v>131000</v>
      </c>
      <c r="P283" s="126">
        <f t="shared" si="90"/>
        <v>131000</v>
      </c>
      <c r="Q283" s="126">
        <f t="shared" si="81"/>
        <v>9383400</v>
      </c>
      <c r="R283" s="247"/>
      <c r="S283" s="115"/>
      <c r="T283" s="115"/>
      <c r="U283" s="115"/>
      <c r="V283" s="115"/>
      <c r="W283" s="115"/>
      <c r="X283" s="115"/>
      <c r="Y283" s="115"/>
      <c r="Z283" s="115"/>
      <c r="AA283" s="115"/>
      <c r="AB283" s="115"/>
      <c r="AC283" s="115"/>
      <c r="AD283" s="115"/>
      <c r="AE283" s="115"/>
      <c r="AF283" s="115"/>
    </row>
    <row r="284" spans="1:32" s="221" customFormat="1" ht="30">
      <c r="A284" s="219"/>
      <c r="B284" s="133" t="s">
        <v>182</v>
      </c>
      <c r="C284" s="133"/>
      <c r="D284" s="133"/>
      <c r="E284" s="137" t="s">
        <v>228</v>
      </c>
      <c r="F284" s="135">
        <f>F285+F286+F287</f>
        <v>9233400</v>
      </c>
      <c r="G284" s="135">
        <f aca="true" t="shared" si="91" ref="G284:P284">G285+G286+G287</f>
        <v>9233400</v>
      </c>
      <c r="H284" s="135">
        <f t="shared" si="91"/>
        <v>6921300</v>
      </c>
      <c r="I284" s="135">
        <f t="shared" si="91"/>
        <v>203900</v>
      </c>
      <c r="J284" s="135">
        <f t="shared" si="91"/>
        <v>0</v>
      </c>
      <c r="K284" s="135">
        <f t="shared" si="91"/>
        <v>150000</v>
      </c>
      <c r="L284" s="135">
        <f t="shared" si="91"/>
        <v>19000</v>
      </c>
      <c r="M284" s="135">
        <f t="shared" si="91"/>
        <v>0</v>
      </c>
      <c r="N284" s="135">
        <f t="shared" si="91"/>
        <v>0</v>
      </c>
      <c r="O284" s="135">
        <f t="shared" si="91"/>
        <v>131000</v>
      </c>
      <c r="P284" s="135">
        <f t="shared" si="91"/>
        <v>131000</v>
      </c>
      <c r="Q284" s="135">
        <f t="shared" si="81"/>
        <v>9383400</v>
      </c>
      <c r="R284" s="247"/>
      <c r="S284" s="220"/>
      <c r="T284" s="220"/>
      <c r="U284" s="220"/>
      <c r="V284" s="220"/>
      <c r="W284" s="220"/>
      <c r="X284" s="220"/>
      <c r="Y284" s="220"/>
      <c r="Z284" s="220"/>
      <c r="AA284" s="220"/>
      <c r="AB284" s="220"/>
      <c r="AC284" s="220"/>
      <c r="AD284" s="220"/>
      <c r="AE284" s="220"/>
      <c r="AF284" s="220"/>
    </row>
    <row r="285" spans="1:32" s="17" customFormat="1" ht="30">
      <c r="A285" s="181"/>
      <c r="B285" s="110" t="s">
        <v>183</v>
      </c>
      <c r="C285" s="110" t="s">
        <v>251</v>
      </c>
      <c r="D285" s="110" t="s">
        <v>252</v>
      </c>
      <c r="E285" s="111" t="s">
        <v>536</v>
      </c>
      <c r="F285" s="118">
        <f>G285+J285</f>
        <v>9006300</v>
      </c>
      <c r="G285" s="118">
        <f>9049300+23400-66400</f>
        <v>9006300</v>
      </c>
      <c r="H285" s="118">
        <v>6921300</v>
      </c>
      <c r="I285" s="118">
        <f>180500+23400</f>
        <v>203900</v>
      </c>
      <c r="J285" s="118"/>
      <c r="K285" s="118">
        <f>L285+O285</f>
        <v>131000</v>
      </c>
      <c r="L285" s="118"/>
      <c r="M285" s="118"/>
      <c r="N285" s="118"/>
      <c r="O285" s="118">
        <f>50000+81000</f>
        <v>131000</v>
      </c>
      <c r="P285" s="118">
        <f>50000+81000</f>
        <v>131000</v>
      </c>
      <c r="Q285" s="118">
        <f t="shared" si="81"/>
        <v>9137300</v>
      </c>
      <c r="R285" s="247"/>
      <c r="S285" s="44"/>
      <c r="T285" s="44"/>
      <c r="U285" s="44"/>
      <c r="V285" s="44"/>
      <c r="W285" s="44"/>
      <c r="X285" s="44"/>
      <c r="Y285" s="44"/>
      <c r="Z285" s="44"/>
      <c r="AA285" s="44"/>
      <c r="AB285" s="44"/>
      <c r="AC285" s="44"/>
      <c r="AD285" s="44"/>
      <c r="AE285" s="44"/>
      <c r="AF285" s="44"/>
    </row>
    <row r="286" spans="1:32" s="17" customFormat="1" ht="19.5" customHeight="1">
      <c r="A286" s="16"/>
      <c r="B286" s="147" t="s">
        <v>206</v>
      </c>
      <c r="C286" s="147" t="s">
        <v>363</v>
      </c>
      <c r="D286" s="147" t="s">
        <v>364</v>
      </c>
      <c r="E286" s="111" t="s">
        <v>205</v>
      </c>
      <c r="F286" s="118">
        <f>G286+J286</f>
        <v>227100</v>
      </c>
      <c r="G286" s="118">
        <v>227100</v>
      </c>
      <c r="H286" s="118"/>
      <c r="I286" s="118"/>
      <c r="J286" s="118"/>
      <c r="K286" s="118">
        <f>L286+O286</f>
        <v>0</v>
      </c>
      <c r="L286" s="118"/>
      <c r="M286" s="118"/>
      <c r="N286" s="118"/>
      <c r="O286" s="118"/>
      <c r="P286" s="118"/>
      <c r="Q286" s="118">
        <f t="shared" si="81"/>
        <v>227100</v>
      </c>
      <c r="R286" s="247"/>
      <c r="S286" s="44"/>
      <c r="T286" s="44"/>
      <c r="U286" s="44"/>
      <c r="V286" s="44"/>
      <c r="W286" s="44"/>
      <c r="X286" s="44"/>
      <c r="Y286" s="44"/>
      <c r="Z286" s="44"/>
      <c r="AA286" s="44"/>
      <c r="AB286" s="44"/>
      <c r="AC286" s="44"/>
      <c r="AD286" s="44"/>
      <c r="AE286" s="44"/>
      <c r="AF286" s="44"/>
    </row>
    <row r="287" spans="1:32" s="17" customFormat="1" ht="33" customHeight="1">
      <c r="A287" s="16"/>
      <c r="B287" s="147" t="s">
        <v>234</v>
      </c>
      <c r="C287" s="147" t="s">
        <v>371</v>
      </c>
      <c r="D287" s="147" t="s">
        <v>372</v>
      </c>
      <c r="E287" s="111" t="s">
        <v>216</v>
      </c>
      <c r="F287" s="118">
        <f>G287+J287</f>
        <v>0</v>
      </c>
      <c r="G287" s="118"/>
      <c r="H287" s="118"/>
      <c r="I287" s="118"/>
      <c r="J287" s="118"/>
      <c r="K287" s="118">
        <f>L287+O287</f>
        <v>19000</v>
      </c>
      <c r="L287" s="118">
        <v>19000</v>
      </c>
      <c r="M287" s="118"/>
      <c r="N287" s="118"/>
      <c r="O287" s="118"/>
      <c r="P287" s="118"/>
      <c r="Q287" s="118">
        <f t="shared" si="81"/>
        <v>19000</v>
      </c>
      <c r="R287" s="247"/>
      <c r="S287" s="44"/>
      <c r="T287" s="44"/>
      <c r="U287" s="44"/>
      <c r="V287" s="44"/>
      <c r="W287" s="44"/>
      <c r="X287" s="44"/>
      <c r="Y287" s="44"/>
      <c r="Z287" s="44"/>
      <c r="AA287" s="44"/>
      <c r="AB287" s="44"/>
      <c r="AC287" s="44"/>
      <c r="AD287" s="44"/>
      <c r="AE287" s="44"/>
      <c r="AF287" s="44"/>
    </row>
    <row r="288" spans="1:32" s="116" customFormat="1" ht="42.75" customHeight="1">
      <c r="A288" s="113"/>
      <c r="B288" s="114">
        <v>7600000</v>
      </c>
      <c r="C288" s="114"/>
      <c r="D288" s="114"/>
      <c r="E288" s="19" t="s">
        <v>229</v>
      </c>
      <c r="F288" s="126">
        <f>F289</f>
        <v>83378914</v>
      </c>
      <c r="G288" s="126">
        <f aca="true" t="shared" si="92" ref="G288:P288">G289</f>
        <v>67231500</v>
      </c>
      <c r="H288" s="126">
        <f t="shared" si="92"/>
        <v>0</v>
      </c>
      <c r="I288" s="126">
        <f t="shared" si="92"/>
        <v>0</v>
      </c>
      <c r="J288" s="126">
        <f t="shared" si="92"/>
        <v>0</v>
      </c>
      <c r="K288" s="126">
        <f t="shared" si="92"/>
        <v>1950000</v>
      </c>
      <c r="L288" s="126">
        <f t="shared" si="92"/>
        <v>0</v>
      </c>
      <c r="M288" s="126">
        <f t="shared" si="92"/>
        <v>0</v>
      </c>
      <c r="N288" s="126">
        <f t="shared" si="92"/>
        <v>0</v>
      </c>
      <c r="O288" s="126">
        <f t="shared" si="92"/>
        <v>1950000</v>
      </c>
      <c r="P288" s="126">
        <f t="shared" si="92"/>
        <v>1950000</v>
      </c>
      <c r="Q288" s="126">
        <f t="shared" si="81"/>
        <v>85328914</v>
      </c>
      <c r="R288" s="246" t="s">
        <v>568</v>
      </c>
      <c r="S288" s="115"/>
      <c r="T288" s="115"/>
      <c r="U288" s="115"/>
      <c r="V288" s="115"/>
      <c r="W288" s="115"/>
      <c r="X288" s="115"/>
      <c r="Y288" s="115"/>
      <c r="Z288" s="115"/>
      <c r="AA288" s="115"/>
      <c r="AB288" s="115"/>
      <c r="AC288" s="115"/>
      <c r="AD288" s="115"/>
      <c r="AE288" s="115"/>
      <c r="AF288" s="115"/>
    </row>
    <row r="289" spans="1:32" s="221" customFormat="1" ht="45.75" customHeight="1">
      <c r="A289" s="219"/>
      <c r="B289" s="138">
        <v>7610000</v>
      </c>
      <c r="C289" s="138"/>
      <c r="D289" s="138"/>
      <c r="E289" s="137" t="s">
        <v>229</v>
      </c>
      <c r="F289" s="135">
        <f>F290+F291+F292</f>
        <v>83378914</v>
      </c>
      <c r="G289" s="135">
        <f aca="true" t="shared" si="93" ref="G289:Q289">G290+G291+G292</f>
        <v>67231500</v>
      </c>
      <c r="H289" s="135">
        <f t="shared" si="93"/>
        <v>0</v>
      </c>
      <c r="I289" s="135">
        <f t="shared" si="93"/>
        <v>0</v>
      </c>
      <c r="J289" s="135">
        <f t="shared" si="93"/>
        <v>0</v>
      </c>
      <c r="K289" s="135">
        <f t="shared" si="93"/>
        <v>1950000</v>
      </c>
      <c r="L289" s="135">
        <f t="shared" si="93"/>
        <v>0</v>
      </c>
      <c r="M289" s="135">
        <f t="shared" si="93"/>
        <v>0</v>
      </c>
      <c r="N289" s="135">
        <f t="shared" si="93"/>
        <v>0</v>
      </c>
      <c r="O289" s="135">
        <f t="shared" si="93"/>
        <v>1950000</v>
      </c>
      <c r="P289" s="135">
        <f t="shared" si="93"/>
        <v>1950000</v>
      </c>
      <c r="Q289" s="135">
        <f t="shared" si="93"/>
        <v>85328914</v>
      </c>
      <c r="R289" s="246"/>
      <c r="S289" s="220"/>
      <c r="T289" s="220"/>
      <c r="U289" s="220"/>
      <c r="V289" s="220"/>
      <c r="W289" s="220"/>
      <c r="X289" s="220"/>
      <c r="Y289" s="220"/>
      <c r="Z289" s="220"/>
      <c r="AA289" s="220"/>
      <c r="AB289" s="220"/>
      <c r="AC289" s="220"/>
      <c r="AD289" s="220"/>
      <c r="AE289" s="220"/>
      <c r="AF289" s="220"/>
    </row>
    <row r="290" spans="1:32" s="17" customFormat="1" ht="15.75">
      <c r="A290" s="181"/>
      <c r="B290" s="112">
        <v>7618010</v>
      </c>
      <c r="C290" s="112">
        <v>8010</v>
      </c>
      <c r="D290" s="110" t="s">
        <v>375</v>
      </c>
      <c r="E290" s="111" t="s">
        <v>25</v>
      </c>
      <c r="F290" s="118">
        <f>7191907-5500+3500+3781+22800+127100+94-250000+685730-1685400+53402+10000000</f>
        <v>16147414</v>
      </c>
      <c r="G290" s="118"/>
      <c r="H290" s="118"/>
      <c r="I290" s="118"/>
      <c r="J290" s="118"/>
      <c r="K290" s="118">
        <f>L290+O290</f>
        <v>0</v>
      </c>
      <c r="L290" s="118"/>
      <c r="M290" s="118"/>
      <c r="N290" s="118"/>
      <c r="O290" s="118"/>
      <c r="P290" s="118"/>
      <c r="Q290" s="118">
        <f t="shared" si="81"/>
        <v>16147414</v>
      </c>
      <c r="R290" s="246"/>
      <c r="S290" s="44"/>
      <c r="T290" s="44"/>
      <c r="U290" s="44"/>
      <c r="V290" s="44"/>
      <c r="W290" s="44"/>
      <c r="X290" s="44"/>
      <c r="Y290" s="44"/>
      <c r="Z290" s="44"/>
      <c r="AA290" s="44"/>
      <c r="AB290" s="44"/>
      <c r="AC290" s="44"/>
      <c r="AD290" s="44"/>
      <c r="AE290" s="44"/>
      <c r="AF290" s="44"/>
    </row>
    <row r="291" spans="1:32" s="17" customFormat="1" ht="15.75">
      <c r="A291" s="16"/>
      <c r="B291" s="148">
        <v>7618120</v>
      </c>
      <c r="C291" s="148">
        <v>8120</v>
      </c>
      <c r="D291" s="147" t="s">
        <v>251</v>
      </c>
      <c r="E291" s="111" t="s">
        <v>423</v>
      </c>
      <c r="F291" s="118">
        <f>G291+J291</f>
        <v>67231500</v>
      </c>
      <c r="G291" s="118">
        <f>65470900+1760600</f>
        <v>67231500</v>
      </c>
      <c r="H291" s="118"/>
      <c r="I291" s="118"/>
      <c r="J291" s="118"/>
      <c r="K291" s="118">
        <f>L291+O291</f>
        <v>0</v>
      </c>
      <c r="L291" s="118"/>
      <c r="M291" s="118"/>
      <c r="N291" s="118"/>
      <c r="O291" s="118"/>
      <c r="P291" s="118"/>
      <c r="Q291" s="118">
        <f t="shared" si="81"/>
        <v>67231500</v>
      </c>
      <c r="R291" s="246"/>
      <c r="S291" s="44"/>
      <c r="T291" s="44"/>
      <c r="U291" s="44"/>
      <c r="V291" s="44"/>
      <c r="W291" s="44"/>
      <c r="X291" s="44"/>
      <c r="Y291" s="44"/>
      <c r="Z291" s="44"/>
      <c r="AA291" s="44"/>
      <c r="AB291" s="44"/>
      <c r="AC291" s="44"/>
      <c r="AD291" s="44"/>
      <c r="AE291" s="44"/>
      <c r="AF291" s="44"/>
    </row>
    <row r="292" spans="1:32" s="17" customFormat="1" ht="17.25" customHeight="1">
      <c r="A292" s="16"/>
      <c r="B292" s="148">
        <v>7618800</v>
      </c>
      <c r="C292" s="148">
        <v>8800</v>
      </c>
      <c r="D292" s="147" t="s">
        <v>251</v>
      </c>
      <c r="E292" s="209" t="s">
        <v>26</v>
      </c>
      <c r="F292" s="118">
        <f>F293</f>
        <v>0</v>
      </c>
      <c r="G292" s="118">
        <f aca="true" t="shared" si="94" ref="G292:P292">G293</f>
        <v>0</v>
      </c>
      <c r="H292" s="118">
        <f t="shared" si="94"/>
        <v>0</v>
      </c>
      <c r="I292" s="118">
        <f t="shared" si="94"/>
        <v>0</v>
      </c>
      <c r="J292" s="118">
        <f t="shared" si="94"/>
        <v>0</v>
      </c>
      <c r="K292" s="118">
        <f t="shared" si="94"/>
        <v>1950000</v>
      </c>
      <c r="L292" s="118">
        <f t="shared" si="94"/>
        <v>0</v>
      </c>
      <c r="M292" s="118">
        <f t="shared" si="94"/>
        <v>0</v>
      </c>
      <c r="N292" s="118">
        <f t="shared" si="94"/>
        <v>0</v>
      </c>
      <c r="O292" s="118">
        <f t="shared" si="94"/>
        <v>1950000</v>
      </c>
      <c r="P292" s="118">
        <f t="shared" si="94"/>
        <v>1950000</v>
      </c>
      <c r="Q292" s="118">
        <f t="shared" si="81"/>
        <v>1950000</v>
      </c>
      <c r="R292" s="246"/>
      <c r="S292" s="44"/>
      <c r="T292" s="44"/>
      <c r="U292" s="44"/>
      <c r="V292" s="44"/>
      <c r="W292" s="44"/>
      <c r="X292" s="44"/>
      <c r="Y292" s="44"/>
      <c r="Z292" s="44"/>
      <c r="AA292" s="44"/>
      <c r="AB292" s="44"/>
      <c r="AC292" s="44"/>
      <c r="AD292" s="44"/>
      <c r="AE292" s="44"/>
      <c r="AF292" s="44"/>
    </row>
    <row r="293" spans="1:32" s="17" customFormat="1" ht="15.75">
      <c r="A293" s="16"/>
      <c r="B293" s="30">
        <v>7618800</v>
      </c>
      <c r="C293" s="30">
        <v>8800</v>
      </c>
      <c r="D293" s="31" t="s">
        <v>251</v>
      </c>
      <c r="E293" s="40" t="s">
        <v>184</v>
      </c>
      <c r="F293" s="125">
        <f>G293+J293</f>
        <v>0</v>
      </c>
      <c r="G293" s="125"/>
      <c r="H293" s="118"/>
      <c r="I293" s="118"/>
      <c r="J293" s="118"/>
      <c r="K293" s="118">
        <f>L293+O293</f>
        <v>1950000</v>
      </c>
      <c r="L293" s="118"/>
      <c r="M293" s="118"/>
      <c r="N293" s="118"/>
      <c r="O293" s="118">
        <f>500000+500000+950000</f>
        <v>1950000</v>
      </c>
      <c r="P293" s="118">
        <f>500000+500000+950000</f>
        <v>1950000</v>
      </c>
      <c r="Q293" s="118">
        <f t="shared" si="81"/>
        <v>1950000</v>
      </c>
      <c r="R293" s="246"/>
      <c r="S293" s="44"/>
      <c r="T293" s="44"/>
      <c r="U293" s="44"/>
      <c r="V293" s="44"/>
      <c r="W293" s="44"/>
      <c r="X293" s="44"/>
      <c r="Y293" s="44"/>
      <c r="Z293" s="44"/>
      <c r="AA293" s="44"/>
      <c r="AB293" s="44"/>
      <c r="AC293" s="44"/>
      <c r="AD293" s="44"/>
      <c r="AE293" s="44"/>
      <c r="AF293" s="44"/>
    </row>
    <row r="294" spans="1:32" s="116" customFormat="1" ht="15.75">
      <c r="A294" s="113"/>
      <c r="B294" s="114"/>
      <c r="C294" s="114"/>
      <c r="D294" s="114"/>
      <c r="E294" s="19" t="s">
        <v>27</v>
      </c>
      <c r="F294" s="126">
        <f aca="true" t="shared" si="95" ref="F294:Q294">F13+F64+F91+F117+F197+F202+F211+F239+F246+F249+F270+F277+F283+F288+F267</f>
        <v>2047666097.8700001</v>
      </c>
      <c r="G294" s="126">
        <f t="shared" si="95"/>
        <v>1988094132.8700001</v>
      </c>
      <c r="H294" s="126">
        <f t="shared" si="95"/>
        <v>534410817</v>
      </c>
      <c r="I294" s="126">
        <f t="shared" si="95"/>
        <v>109635755</v>
      </c>
      <c r="J294" s="126">
        <f t="shared" si="95"/>
        <v>43424551</v>
      </c>
      <c r="K294" s="126">
        <f t="shared" si="95"/>
        <v>651335032.69</v>
      </c>
      <c r="L294" s="126">
        <f t="shared" si="95"/>
        <v>60446099.97</v>
      </c>
      <c r="M294" s="126">
        <f t="shared" si="95"/>
        <v>5643866</v>
      </c>
      <c r="N294" s="126">
        <f t="shared" si="95"/>
        <v>2423113</v>
      </c>
      <c r="O294" s="126">
        <f t="shared" si="95"/>
        <v>590888932.72</v>
      </c>
      <c r="P294" s="126">
        <f t="shared" si="95"/>
        <v>575078329</v>
      </c>
      <c r="Q294" s="126">
        <f t="shared" si="95"/>
        <v>2699001130.5600004</v>
      </c>
      <c r="R294" s="246"/>
      <c r="S294" s="115"/>
      <c r="T294" s="115"/>
      <c r="U294" s="115"/>
      <c r="V294" s="115"/>
      <c r="W294" s="115"/>
      <c r="X294" s="115"/>
      <c r="Y294" s="115"/>
      <c r="Z294" s="115"/>
      <c r="AA294" s="115"/>
      <c r="AB294" s="115"/>
      <c r="AC294" s="115"/>
      <c r="AD294" s="115"/>
      <c r="AE294" s="115"/>
      <c r="AF294" s="115"/>
    </row>
    <row r="295" spans="1:32" s="116" customFormat="1" ht="19.5" customHeight="1">
      <c r="A295" s="113"/>
      <c r="B295" s="114"/>
      <c r="C295" s="114"/>
      <c r="D295" s="114"/>
      <c r="E295" s="19" t="s">
        <v>526</v>
      </c>
      <c r="F295" s="126">
        <f aca="true" t="shared" si="96" ref="F295:Q295">F66+F93+F119</f>
        <v>1054702455</v>
      </c>
      <c r="G295" s="126">
        <f t="shared" si="96"/>
        <v>1054702455</v>
      </c>
      <c r="H295" s="126">
        <f t="shared" si="96"/>
        <v>184750800</v>
      </c>
      <c r="I295" s="126">
        <f t="shared" si="96"/>
        <v>0</v>
      </c>
      <c r="J295" s="126">
        <f t="shared" si="96"/>
        <v>0</v>
      </c>
      <c r="K295" s="126">
        <f t="shared" si="96"/>
        <v>0</v>
      </c>
      <c r="L295" s="126">
        <f t="shared" si="96"/>
        <v>0</v>
      </c>
      <c r="M295" s="126">
        <f t="shared" si="96"/>
        <v>0</v>
      </c>
      <c r="N295" s="126">
        <f t="shared" si="96"/>
        <v>0</v>
      </c>
      <c r="O295" s="126">
        <f t="shared" si="96"/>
        <v>0</v>
      </c>
      <c r="P295" s="126">
        <f t="shared" si="96"/>
        <v>0</v>
      </c>
      <c r="Q295" s="126">
        <f t="shared" si="96"/>
        <v>1054702455</v>
      </c>
      <c r="R295" s="246"/>
      <c r="S295" s="115"/>
      <c r="T295" s="115"/>
      <c r="U295" s="115"/>
      <c r="V295" s="115"/>
      <c r="W295" s="115"/>
      <c r="X295" s="115"/>
      <c r="Y295" s="115"/>
      <c r="Z295" s="115"/>
      <c r="AA295" s="115"/>
      <c r="AB295" s="115"/>
      <c r="AC295" s="115"/>
      <c r="AD295" s="115"/>
      <c r="AE295" s="115"/>
      <c r="AF295" s="115"/>
    </row>
    <row r="296" spans="1:32" s="17" customFormat="1" ht="14.25" customHeight="1">
      <c r="A296" s="25"/>
      <c r="B296" s="185"/>
      <c r="C296" s="185"/>
      <c r="D296" s="185"/>
      <c r="E296" s="186"/>
      <c r="F296" s="187"/>
      <c r="G296" s="187"/>
      <c r="H296" s="187"/>
      <c r="I296" s="187"/>
      <c r="J296" s="187"/>
      <c r="K296" s="187"/>
      <c r="L296" s="187"/>
      <c r="M296" s="187"/>
      <c r="N296" s="187"/>
      <c r="O296" s="187"/>
      <c r="P296" s="187"/>
      <c r="Q296" s="187"/>
      <c r="R296" s="246"/>
      <c r="S296" s="44"/>
      <c r="T296" s="44"/>
      <c r="U296" s="44"/>
      <c r="V296" s="44"/>
      <c r="W296" s="44"/>
      <c r="X296" s="44"/>
      <c r="Y296" s="44"/>
      <c r="Z296" s="44"/>
      <c r="AA296" s="44"/>
      <c r="AB296" s="44"/>
      <c r="AC296" s="44"/>
      <c r="AD296" s="44"/>
      <c r="AE296" s="44"/>
      <c r="AF296" s="44"/>
    </row>
    <row r="297" spans="3:18" ht="186" customHeight="1">
      <c r="C297" s="42"/>
      <c r="F297" s="85"/>
      <c r="G297" s="85"/>
      <c r="H297" s="85"/>
      <c r="I297" s="85"/>
      <c r="J297" s="85"/>
      <c r="K297" s="85"/>
      <c r="L297" s="85"/>
      <c r="M297" s="85"/>
      <c r="N297" s="85"/>
      <c r="O297" s="85"/>
      <c r="P297" s="85"/>
      <c r="Q297" s="85"/>
      <c r="R297" s="246"/>
    </row>
    <row r="298" spans="1:32" s="165" customFormat="1" ht="53.25" customHeight="1">
      <c r="A298" s="7"/>
      <c r="B298" s="20"/>
      <c r="C298" s="256" t="s">
        <v>544</v>
      </c>
      <c r="D298" s="256"/>
      <c r="E298" s="256"/>
      <c r="F298" s="237"/>
      <c r="G298" s="237"/>
      <c r="H298" s="45"/>
      <c r="I298" s="45"/>
      <c r="J298" s="45"/>
      <c r="K298" s="45"/>
      <c r="L298" s="45"/>
      <c r="M298" s="250" t="s">
        <v>545</v>
      </c>
      <c r="N298" s="250"/>
      <c r="O298" s="250"/>
      <c r="P298" s="85"/>
      <c r="Q298" s="85"/>
      <c r="R298" s="246"/>
      <c r="S298" s="108"/>
      <c r="T298" s="108"/>
      <c r="U298" s="108"/>
      <c r="V298" s="108"/>
      <c r="W298" s="108"/>
      <c r="X298" s="108"/>
      <c r="Y298" s="108"/>
      <c r="Z298" s="108"/>
      <c r="AA298" s="108"/>
      <c r="AB298" s="108"/>
      <c r="AC298" s="108"/>
      <c r="AD298" s="108"/>
      <c r="AE298" s="108"/>
      <c r="AF298" s="108"/>
    </row>
    <row r="299" spans="1:32" s="165" customFormat="1" ht="9.75" customHeight="1">
      <c r="A299" s="7"/>
      <c r="B299" s="256"/>
      <c r="C299" s="256"/>
      <c r="D299" s="256"/>
      <c r="E299" s="256"/>
      <c r="F299" s="256"/>
      <c r="G299" s="256"/>
      <c r="H299" s="256"/>
      <c r="I299" s="45"/>
      <c r="J299" s="45"/>
      <c r="K299" s="85"/>
      <c r="L299" s="45"/>
      <c r="M299" s="250"/>
      <c r="N299" s="250"/>
      <c r="O299" s="250"/>
      <c r="P299" s="250"/>
      <c r="Q299" s="46"/>
      <c r="R299" s="246"/>
      <c r="S299" s="108"/>
      <c r="T299" s="108"/>
      <c r="U299" s="108"/>
      <c r="V299" s="108"/>
      <c r="W299" s="108"/>
      <c r="X299" s="108"/>
      <c r="Y299" s="108"/>
      <c r="Z299" s="108"/>
      <c r="AA299" s="108"/>
      <c r="AB299" s="108"/>
      <c r="AC299" s="108"/>
      <c r="AD299" s="108"/>
      <c r="AE299" s="108"/>
      <c r="AF299" s="108"/>
    </row>
    <row r="300" spans="1:32" s="165" customFormat="1" ht="39" customHeight="1">
      <c r="A300" s="7"/>
      <c r="B300" s="7"/>
      <c r="D300" s="7"/>
      <c r="E300" s="211"/>
      <c r="F300" s="86"/>
      <c r="G300" s="86"/>
      <c r="H300" s="86"/>
      <c r="I300" s="86"/>
      <c r="J300" s="86"/>
      <c r="K300" s="86"/>
      <c r="L300" s="86"/>
      <c r="M300" s="86"/>
      <c r="N300" s="86"/>
      <c r="O300" s="7"/>
      <c r="P300" s="7"/>
      <c r="Q300" s="7"/>
      <c r="R300" s="246"/>
      <c r="S300" s="108"/>
      <c r="T300" s="108"/>
      <c r="U300" s="108"/>
      <c r="V300" s="108"/>
      <c r="W300" s="108"/>
      <c r="X300" s="108"/>
      <c r="Y300" s="108"/>
      <c r="Z300" s="108"/>
      <c r="AA300" s="108"/>
      <c r="AB300" s="108"/>
      <c r="AC300" s="108"/>
      <c r="AD300" s="108"/>
      <c r="AE300" s="108"/>
      <c r="AF300" s="108"/>
    </row>
    <row r="301" spans="1:18" ht="6" customHeight="1">
      <c r="A301" s="9"/>
      <c r="B301" s="47"/>
      <c r="C301" s="47"/>
      <c r="D301" s="47"/>
      <c r="E301" s="212"/>
      <c r="F301" s="87"/>
      <c r="G301" s="86"/>
      <c r="H301" s="86"/>
      <c r="I301" s="86"/>
      <c r="J301" s="86"/>
      <c r="K301" s="86"/>
      <c r="L301" s="86"/>
      <c r="M301" s="41"/>
      <c r="N301" s="41"/>
      <c r="O301" s="41"/>
      <c r="P301" s="188"/>
      <c r="Q301" s="188"/>
      <c r="R301" s="246"/>
    </row>
    <row r="302" spans="2:18" ht="23.25" customHeight="1">
      <c r="B302" s="88"/>
      <c r="C302" s="88"/>
      <c r="D302" s="88"/>
      <c r="E302" s="213"/>
      <c r="F302" s="7"/>
      <c r="G302" s="9"/>
      <c r="H302" s="9"/>
      <c r="I302" s="9"/>
      <c r="J302" s="9"/>
      <c r="K302" s="9"/>
      <c r="L302" s="9"/>
      <c r="M302" s="9"/>
      <c r="N302" s="9"/>
      <c r="O302" s="9"/>
      <c r="P302" s="9"/>
      <c r="Q302" s="9"/>
      <c r="R302" s="246"/>
    </row>
    <row r="303" spans="3:18" ht="23.25" customHeight="1">
      <c r="C303" s="42"/>
      <c r="F303" s="85">
        <f>F294-'дод. 4'!E236</f>
        <v>0</v>
      </c>
      <c r="G303" s="85">
        <f>G294-'дод. 4'!F236</f>
        <v>0</v>
      </c>
      <c r="H303" s="85">
        <f>H294-'дод. 4'!G236</f>
        <v>0</v>
      </c>
      <c r="I303" s="85">
        <f>I294-'дод. 4'!H236</f>
        <v>0</v>
      </c>
      <c r="J303" s="85">
        <f>J294-'дод. 4'!I236</f>
        <v>0</v>
      </c>
      <c r="K303" s="85">
        <f>K294-'дод. 4'!J236</f>
        <v>0</v>
      </c>
      <c r="L303" s="85">
        <f>L294-'дод. 4'!K236</f>
        <v>0</v>
      </c>
      <c r="M303" s="85">
        <f>M294-'дод. 4'!L236</f>
        <v>0</v>
      </c>
      <c r="N303" s="85">
        <f>N294-'дод. 4'!M236</f>
        <v>0</v>
      </c>
      <c r="O303" s="85">
        <f>O294-'дод. 4'!N236</f>
        <v>0</v>
      </c>
      <c r="P303" s="85">
        <f>P294-'дод. 4'!O236</f>
        <v>0</v>
      </c>
      <c r="Q303" s="85">
        <f>Q294-'дод. 4'!P236</f>
        <v>0</v>
      </c>
      <c r="R303" s="246"/>
    </row>
    <row r="304" spans="3:18" ht="15">
      <c r="C304" s="42"/>
      <c r="F304" s="85">
        <f>F295-'дод. 4'!E237</f>
        <v>0</v>
      </c>
      <c r="G304" s="85">
        <f>G295-'дод. 4'!F237</f>
        <v>0</v>
      </c>
      <c r="H304" s="85">
        <f>H295-'дод. 4'!G237</f>
        <v>0</v>
      </c>
      <c r="I304" s="85">
        <f>I295-'дод. 4'!H237</f>
        <v>0</v>
      </c>
      <c r="J304" s="85">
        <f>J295-'дод. 4'!I237</f>
        <v>0</v>
      </c>
      <c r="K304" s="85">
        <f>K295-'дод. 4'!J237</f>
        <v>0</v>
      </c>
      <c r="L304" s="85">
        <f>L295-'дод. 4'!K237</f>
        <v>0</v>
      </c>
      <c r="M304" s="85">
        <f>M295-'дод. 4'!L237</f>
        <v>0</v>
      </c>
      <c r="N304" s="85">
        <f>N295-'дод. 4'!M237</f>
        <v>0</v>
      </c>
      <c r="O304" s="85">
        <f>O295-'дод. 4'!N237</f>
        <v>0</v>
      </c>
      <c r="P304" s="85">
        <f>P295-'дод. 4'!O237</f>
        <v>0</v>
      </c>
      <c r="Q304" s="85">
        <f>Q295-'дод. 4'!P237</f>
        <v>0</v>
      </c>
      <c r="R304" s="246"/>
    </row>
    <row r="305" spans="3:18" ht="15">
      <c r="C305" s="42"/>
      <c r="K305" s="1"/>
      <c r="R305" s="246"/>
    </row>
    <row r="306" spans="3:18" ht="69" customHeight="1" hidden="1">
      <c r="C306" s="42"/>
      <c r="K306" s="1"/>
      <c r="R306" s="246"/>
    </row>
    <row r="307" spans="3:18" ht="15" customHeight="1" hidden="1">
      <c r="C307" s="42"/>
      <c r="K307" s="1"/>
      <c r="R307" s="246"/>
    </row>
    <row r="308" spans="3:18" ht="15" customHeight="1" hidden="1">
      <c r="C308" s="42"/>
      <c r="K308" s="1"/>
      <c r="R308" s="246"/>
    </row>
    <row r="309" spans="3:18" ht="15" customHeight="1" hidden="1">
      <c r="C309" s="42"/>
      <c r="K309" s="1"/>
      <c r="R309" s="246"/>
    </row>
    <row r="310" spans="3:18" ht="15" customHeight="1" hidden="1">
      <c r="C310" s="42"/>
      <c r="K310" s="1"/>
      <c r="R310" s="246"/>
    </row>
    <row r="311" spans="3:18" ht="15" customHeight="1" hidden="1">
      <c r="C311" s="42"/>
      <c r="K311" s="1"/>
      <c r="R311" s="246"/>
    </row>
    <row r="312" spans="3:18" ht="15" customHeight="1" hidden="1">
      <c r="C312" s="42"/>
      <c r="K312" s="1"/>
      <c r="R312" s="246"/>
    </row>
    <row r="313" spans="3:18" ht="15" customHeight="1" hidden="1">
      <c r="C313" s="42"/>
      <c r="K313" s="1"/>
      <c r="R313" s="246"/>
    </row>
    <row r="314" spans="3:18" ht="15" customHeight="1" hidden="1">
      <c r="C314" s="42"/>
      <c r="K314" s="1"/>
      <c r="R314" s="246"/>
    </row>
    <row r="315" spans="3:18" ht="15" customHeight="1" hidden="1">
      <c r="C315" s="42"/>
      <c r="E315" s="210" t="s">
        <v>27</v>
      </c>
      <c r="F315" s="1">
        <v>1948264269</v>
      </c>
      <c r="G315" s="1">
        <v>1907799313</v>
      </c>
      <c r="H315" s="1">
        <v>522483860</v>
      </c>
      <c r="I315" s="1">
        <v>102257157</v>
      </c>
      <c r="J315" s="1">
        <v>34370944</v>
      </c>
      <c r="K315" s="1">
        <v>481567249</v>
      </c>
      <c r="L315" s="1">
        <v>63622523</v>
      </c>
      <c r="M315" s="1">
        <v>5643866</v>
      </c>
      <c r="N315" s="1">
        <v>2423113</v>
      </c>
      <c r="O315" s="1">
        <v>417944726</v>
      </c>
      <c r="P315" s="1">
        <v>414341226</v>
      </c>
      <c r="Q315" s="1">
        <v>2429831518</v>
      </c>
      <c r="R315" s="246"/>
    </row>
    <row r="316" spans="3:18" ht="15">
      <c r="C316" s="42"/>
      <c r="K316" s="1"/>
      <c r="R316" s="246"/>
    </row>
    <row r="317" spans="3:18" ht="15">
      <c r="C317" s="42"/>
      <c r="K317" s="1"/>
      <c r="R317" s="246"/>
    </row>
    <row r="318" spans="3:18" ht="15">
      <c r="C318" s="42"/>
      <c r="K318" s="1"/>
      <c r="R318" s="246"/>
    </row>
    <row r="319" spans="3:18" ht="15">
      <c r="C319" s="42"/>
      <c r="K319" s="1"/>
      <c r="R319" s="246"/>
    </row>
    <row r="320" spans="3:18" ht="15">
      <c r="C320" s="42"/>
      <c r="K320" s="1"/>
      <c r="R320" s="246"/>
    </row>
    <row r="321" spans="3:18" ht="15">
      <c r="C321" s="42"/>
      <c r="K321" s="1"/>
      <c r="R321" s="246"/>
    </row>
    <row r="322" spans="3:18" ht="15">
      <c r="C322" s="42"/>
      <c r="K322" s="1"/>
      <c r="R322" s="246"/>
    </row>
    <row r="323" spans="3:18" ht="15">
      <c r="C323" s="42"/>
      <c r="K323" s="1"/>
      <c r="R323" s="246"/>
    </row>
    <row r="324" spans="3:18" ht="15">
      <c r="C324" s="42"/>
      <c r="K324" s="1"/>
      <c r="R324" s="246"/>
    </row>
    <row r="325" spans="3:18" ht="15">
      <c r="C325" s="42"/>
      <c r="K325" s="1"/>
      <c r="R325" s="246"/>
    </row>
    <row r="326" spans="3:18" ht="15">
      <c r="C326" s="42"/>
      <c r="K326" s="1"/>
      <c r="R326" s="246"/>
    </row>
    <row r="327" spans="3:18" ht="15">
      <c r="C327" s="42"/>
      <c r="K327" s="1"/>
      <c r="R327" s="246"/>
    </row>
    <row r="328" spans="3:18" ht="15">
      <c r="C328" s="42"/>
      <c r="K328" s="1"/>
      <c r="R328" s="246"/>
    </row>
    <row r="329" spans="3:18" ht="15">
      <c r="C329" s="42"/>
      <c r="K329" s="1"/>
      <c r="R329" s="246"/>
    </row>
    <row r="330" spans="3:18" ht="15">
      <c r="C330" s="42"/>
      <c r="K330" s="1"/>
      <c r="R330" s="246"/>
    </row>
    <row r="331" spans="3:18" ht="15">
      <c r="C331" s="42"/>
      <c r="K331" s="1"/>
      <c r="R331" s="246"/>
    </row>
    <row r="332" spans="3:11" ht="23.25">
      <c r="C332" s="42"/>
      <c r="K332" s="1"/>
    </row>
    <row r="333" spans="3:11" ht="23.25">
      <c r="C333" s="42"/>
      <c r="K333" s="1"/>
    </row>
    <row r="334" spans="3:11" ht="23.25">
      <c r="C334" s="42"/>
      <c r="K334" s="1"/>
    </row>
    <row r="335" spans="3:11" ht="23.25">
      <c r="C335" s="42"/>
      <c r="K335" s="1"/>
    </row>
    <row r="336" spans="3:11" ht="23.25">
      <c r="C336" s="42"/>
      <c r="K336" s="1"/>
    </row>
    <row r="337" spans="3:11" ht="23.25">
      <c r="C337" s="42"/>
      <c r="K337" s="1"/>
    </row>
    <row r="338" spans="3:11" ht="23.25">
      <c r="C338" s="42"/>
      <c r="K338" s="1"/>
    </row>
    <row r="339" spans="3:11" ht="23.25">
      <c r="C339" s="42"/>
      <c r="K339" s="1"/>
    </row>
    <row r="340" spans="3:11" ht="23.25">
      <c r="C340" s="42"/>
      <c r="K340" s="1"/>
    </row>
    <row r="341" spans="3:11" ht="23.25">
      <c r="C341" s="42"/>
      <c r="K341" s="1"/>
    </row>
    <row r="342" spans="3:11" ht="23.25">
      <c r="C342" s="42"/>
      <c r="K342" s="1"/>
    </row>
    <row r="343" spans="3:11" ht="23.25">
      <c r="C343" s="42"/>
      <c r="K343" s="1"/>
    </row>
    <row r="344" spans="3:11" ht="23.25">
      <c r="C344" s="42"/>
      <c r="K344" s="1"/>
    </row>
    <row r="345" spans="3:11" ht="23.25">
      <c r="C345" s="42"/>
      <c r="K345" s="1"/>
    </row>
    <row r="346" spans="3:11" ht="23.25">
      <c r="C346" s="42"/>
      <c r="K346" s="1"/>
    </row>
    <row r="347" spans="3:11" ht="23.25">
      <c r="C347" s="42"/>
      <c r="K347" s="1"/>
    </row>
    <row r="348" spans="3:11" ht="23.25">
      <c r="C348" s="42"/>
      <c r="K348" s="1"/>
    </row>
    <row r="349" spans="3:11" ht="23.25">
      <c r="C349" s="42"/>
      <c r="K349" s="1"/>
    </row>
    <row r="350" spans="3:11" ht="23.25">
      <c r="C350" s="42"/>
      <c r="K350" s="1"/>
    </row>
    <row r="351" spans="3:11" ht="23.25">
      <c r="C351" s="42"/>
      <c r="K351" s="1"/>
    </row>
    <row r="352" spans="3:11" ht="23.25">
      <c r="C352" s="42"/>
      <c r="K352" s="1"/>
    </row>
    <row r="353" spans="3:11" ht="23.25">
      <c r="C353" s="42"/>
      <c r="K353" s="1"/>
    </row>
    <row r="354" spans="3:11" ht="23.25">
      <c r="C354" s="42"/>
      <c r="K354" s="1"/>
    </row>
    <row r="355" spans="3:11" ht="23.25">
      <c r="C355" s="42"/>
      <c r="K355" s="1"/>
    </row>
    <row r="356" spans="3:11" ht="23.25">
      <c r="C356" s="42"/>
      <c r="K356" s="1"/>
    </row>
    <row r="357" spans="3:11" ht="23.25">
      <c r="C357" s="42"/>
      <c r="K357" s="1"/>
    </row>
    <row r="358" spans="3:11" ht="23.25">
      <c r="C358" s="42"/>
      <c r="K358" s="1"/>
    </row>
    <row r="359" spans="3:11" ht="23.25">
      <c r="C359" s="42"/>
      <c r="K359" s="1"/>
    </row>
    <row r="360" spans="3:11" ht="23.25">
      <c r="C360" s="42"/>
      <c r="K360" s="1"/>
    </row>
    <row r="361" spans="3:11" ht="23.25">
      <c r="C361" s="42"/>
      <c r="K361" s="1"/>
    </row>
    <row r="362" spans="3:11" ht="23.25">
      <c r="C362" s="42"/>
      <c r="K362" s="1"/>
    </row>
    <row r="363" spans="3:11" ht="23.25">
      <c r="C363" s="42"/>
      <c r="K363" s="1"/>
    </row>
    <row r="364" spans="3:11" ht="23.25">
      <c r="C364" s="42"/>
      <c r="K364" s="1"/>
    </row>
    <row r="365" spans="3:11" ht="23.25">
      <c r="C365" s="42"/>
      <c r="K365" s="1"/>
    </row>
    <row r="366" spans="3:11" ht="23.25">
      <c r="C366" s="42"/>
      <c r="K366" s="1"/>
    </row>
    <row r="367" spans="3:11" ht="23.25">
      <c r="C367" s="42"/>
      <c r="K367" s="1"/>
    </row>
    <row r="368" spans="3:11" ht="23.25">
      <c r="C368" s="42"/>
      <c r="K368" s="1"/>
    </row>
    <row r="369" spans="3:11" ht="23.25">
      <c r="C369" s="42"/>
      <c r="K369" s="1"/>
    </row>
    <row r="370" spans="3:11" ht="23.25">
      <c r="C370" s="42"/>
      <c r="K370" s="1"/>
    </row>
    <row r="371" spans="3:11" ht="23.25">
      <c r="C371" s="42"/>
      <c r="K371" s="1"/>
    </row>
    <row r="372" spans="3:11" ht="23.25">
      <c r="C372" s="42"/>
      <c r="K372" s="1"/>
    </row>
    <row r="373" spans="3:11" ht="23.25">
      <c r="C373" s="42"/>
      <c r="K373" s="1"/>
    </row>
    <row r="374" spans="3:11" ht="23.25">
      <c r="C374" s="42"/>
      <c r="K374" s="1"/>
    </row>
    <row r="375" spans="3:11" ht="23.25">
      <c r="C375" s="42"/>
      <c r="K375" s="1"/>
    </row>
    <row r="376" spans="3:11" ht="23.25">
      <c r="C376" s="42"/>
      <c r="K376" s="1"/>
    </row>
    <row r="377" spans="3:11" ht="23.25">
      <c r="C377" s="42"/>
      <c r="K377" s="1"/>
    </row>
    <row r="378" spans="3:11" ht="23.25">
      <c r="C378" s="42"/>
      <c r="K378" s="1"/>
    </row>
    <row r="379" spans="3:11" ht="23.25">
      <c r="C379" s="42"/>
      <c r="K379" s="1"/>
    </row>
    <row r="380" spans="3:11" ht="23.25">
      <c r="C380" s="42"/>
      <c r="K380" s="1"/>
    </row>
    <row r="381" spans="3:11" ht="23.25">
      <c r="C381" s="42"/>
      <c r="K381" s="1"/>
    </row>
    <row r="382" spans="3:11" ht="23.25">
      <c r="C382" s="42"/>
      <c r="K382" s="1"/>
    </row>
    <row r="383" spans="3:11" ht="23.25">
      <c r="C383" s="42"/>
      <c r="K383" s="1"/>
    </row>
    <row r="384" spans="3:11" ht="23.25">
      <c r="C384" s="42"/>
      <c r="K384" s="1"/>
    </row>
    <row r="385" spans="3:11" ht="23.25">
      <c r="C385" s="42"/>
      <c r="K385" s="1"/>
    </row>
    <row r="386" spans="3:11" ht="23.25">
      <c r="C386" s="42"/>
      <c r="K386" s="1"/>
    </row>
    <row r="387" spans="3:11" ht="23.25">
      <c r="C387" s="42"/>
      <c r="K387" s="1"/>
    </row>
    <row r="388" spans="3:11" ht="23.25">
      <c r="C388" s="42"/>
      <c r="K388" s="1"/>
    </row>
    <row r="389" spans="3:11" ht="23.25">
      <c r="C389" s="42"/>
      <c r="K389" s="1"/>
    </row>
    <row r="390" spans="3:11" ht="23.25">
      <c r="C390" s="42"/>
      <c r="K390" s="1"/>
    </row>
    <row r="391" spans="3:11" ht="23.25">
      <c r="C391" s="42"/>
      <c r="K391" s="1"/>
    </row>
    <row r="392" spans="3:11" ht="23.25">
      <c r="C392" s="42"/>
      <c r="K392" s="1"/>
    </row>
    <row r="393" spans="3:11" ht="23.25">
      <c r="C393" s="42"/>
      <c r="K393" s="1"/>
    </row>
    <row r="394" spans="3:11" ht="23.25">
      <c r="C394" s="42"/>
      <c r="K394" s="1"/>
    </row>
    <row r="395" spans="3:11" ht="23.25">
      <c r="C395" s="42"/>
      <c r="K395" s="1"/>
    </row>
    <row r="396" spans="3:11" ht="23.25">
      <c r="C396" s="42"/>
      <c r="K396" s="1"/>
    </row>
    <row r="397" spans="3:11" ht="23.25">
      <c r="C397" s="42"/>
      <c r="K397" s="1"/>
    </row>
    <row r="398" spans="3:11" ht="23.25">
      <c r="C398" s="42"/>
      <c r="K398" s="1"/>
    </row>
    <row r="399" spans="3:11" ht="23.25">
      <c r="C399" s="42"/>
      <c r="K399" s="1"/>
    </row>
    <row r="400" spans="3:11" ht="23.25">
      <c r="C400" s="42"/>
      <c r="K400" s="1"/>
    </row>
    <row r="401" spans="3:11" ht="23.25">
      <c r="C401" s="42"/>
      <c r="K401" s="1"/>
    </row>
    <row r="402" spans="3:11" ht="23.25">
      <c r="C402" s="42"/>
      <c r="K402" s="1"/>
    </row>
    <row r="403" spans="3:11" ht="23.25">
      <c r="C403" s="42"/>
      <c r="K403" s="1"/>
    </row>
    <row r="404" spans="3:11" ht="23.25">
      <c r="C404" s="42"/>
      <c r="K404" s="1"/>
    </row>
    <row r="405" spans="3:11" ht="23.25">
      <c r="C405" s="42"/>
      <c r="K405" s="1"/>
    </row>
    <row r="406" spans="3:11" ht="23.25">
      <c r="C406" s="42"/>
      <c r="K406" s="1"/>
    </row>
    <row r="407" spans="3:11" ht="23.25">
      <c r="C407" s="42"/>
      <c r="K407" s="1"/>
    </row>
    <row r="408" spans="3:11" ht="23.25">
      <c r="C408" s="42"/>
      <c r="K408" s="1"/>
    </row>
    <row r="409" spans="3:11" ht="23.25">
      <c r="C409" s="42"/>
      <c r="K409" s="1"/>
    </row>
    <row r="410" spans="3:11" ht="23.25">
      <c r="C410" s="42"/>
      <c r="K410" s="1"/>
    </row>
    <row r="411" spans="3:11" ht="23.25">
      <c r="C411" s="42"/>
      <c r="K411" s="1"/>
    </row>
    <row r="412" spans="3:11" ht="23.25">
      <c r="C412" s="42"/>
      <c r="K412" s="1"/>
    </row>
    <row r="413" spans="3:11" ht="23.25">
      <c r="C413" s="42"/>
      <c r="K413" s="1"/>
    </row>
    <row r="414" spans="3:11" ht="23.25">
      <c r="C414" s="42"/>
      <c r="K414" s="1"/>
    </row>
    <row r="415" spans="3:11" ht="23.25">
      <c r="C415" s="42"/>
      <c r="K415" s="1"/>
    </row>
    <row r="416" spans="3:11" ht="23.25">
      <c r="C416" s="42"/>
      <c r="K416" s="1"/>
    </row>
    <row r="417" spans="3:11" ht="23.25">
      <c r="C417" s="42"/>
      <c r="K417" s="1"/>
    </row>
    <row r="418" spans="3:11" ht="23.25">
      <c r="C418" s="42"/>
      <c r="K418" s="1"/>
    </row>
    <row r="419" spans="3:11" ht="23.25">
      <c r="C419" s="42"/>
      <c r="K419" s="1"/>
    </row>
    <row r="420" spans="3:11" ht="23.25">
      <c r="C420" s="42"/>
      <c r="K420" s="1"/>
    </row>
    <row r="421" spans="3:11" ht="23.25">
      <c r="C421" s="42"/>
      <c r="K421" s="1"/>
    </row>
    <row r="422" spans="3:11" ht="23.25">
      <c r="C422" s="42"/>
      <c r="K422" s="1"/>
    </row>
    <row r="423" spans="3:11" ht="23.25">
      <c r="C423" s="42"/>
      <c r="K423" s="1"/>
    </row>
    <row r="424" spans="3:11" ht="23.25">
      <c r="C424" s="42"/>
      <c r="K424" s="1"/>
    </row>
    <row r="425" spans="3:11" ht="23.25">
      <c r="C425" s="42"/>
      <c r="K425" s="1"/>
    </row>
    <row r="426" spans="3:11" ht="23.25">
      <c r="C426" s="42"/>
      <c r="K426" s="1"/>
    </row>
    <row r="427" spans="3:11" ht="23.25">
      <c r="C427" s="42"/>
      <c r="K427" s="1"/>
    </row>
    <row r="428" spans="3:11" ht="23.25">
      <c r="C428" s="42"/>
      <c r="K428" s="1"/>
    </row>
    <row r="429" spans="3:11" ht="23.25">
      <c r="C429" s="42"/>
      <c r="K429" s="1"/>
    </row>
    <row r="430" spans="3:11" ht="23.25">
      <c r="C430" s="42"/>
      <c r="K430" s="1"/>
    </row>
    <row r="431" spans="3:11" ht="23.25">
      <c r="C431" s="42"/>
      <c r="K431" s="1"/>
    </row>
    <row r="432" spans="3:11" ht="23.25">
      <c r="C432" s="42"/>
      <c r="K432" s="1"/>
    </row>
    <row r="433" spans="3:11" ht="23.25">
      <c r="C433" s="42"/>
      <c r="K433" s="1"/>
    </row>
    <row r="434" spans="3:11" ht="23.25">
      <c r="C434" s="42"/>
      <c r="K434" s="1"/>
    </row>
    <row r="435" spans="3:11" ht="23.25">
      <c r="C435" s="42"/>
      <c r="K435" s="1"/>
    </row>
    <row r="436" spans="3:11" ht="23.25">
      <c r="C436" s="42"/>
      <c r="K436" s="1"/>
    </row>
    <row r="437" spans="3:11" ht="23.25">
      <c r="C437" s="42"/>
      <c r="K437" s="1"/>
    </row>
    <row r="438" spans="3:11" ht="23.25">
      <c r="C438" s="42"/>
      <c r="K438" s="1"/>
    </row>
    <row r="439" spans="3:11" ht="23.25">
      <c r="C439" s="42"/>
      <c r="K439" s="1"/>
    </row>
    <row r="440" spans="3:11" ht="23.25">
      <c r="C440" s="42"/>
      <c r="K440" s="1"/>
    </row>
    <row r="441" spans="3:11" ht="23.25">
      <c r="C441" s="42"/>
      <c r="K441" s="1"/>
    </row>
    <row r="442" spans="3:11" ht="23.25">
      <c r="C442" s="42"/>
      <c r="K442" s="1"/>
    </row>
    <row r="443" spans="3:11" ht="23.25">
      <c r="C443" s="42"/>
      <c r="K443" s="1"/>
    </row>
    <row r="444" spans="3:11" ht="23.25">
      <c r="C444" s="42"/>
      <c r="K444" s="1"/>
    </row>
    <row r="445" spans="3:11" ht="23.25">
      <c r="C445" s="42"/>
      <c r="K445" s="1"/>
    </row>
    <row r="446" spans="3:11" ht="23.25">
      <c r="C446" s="42"/>
      <c r="K446" s="1"/>
    </row>
    <row r="447" spans="3:11" ht="23.25">
      <c r="C447" s="42"/>
      <c r="K447" s="1"/>
    </row>
    <row r="448" spans="3:11" ht="23.25">
      <c r="C448" s="42"/>
      <c r="K448" s="1"/>
    </row>
    <row r="449" spans="3:11" ht="23.25">
      <c r="C449" s="42"/>
      <c r="K449" s="1"/>
    </row>
    <row r="450" spans="3:11" ht="23.25">
      <c r="C450" s="42"/>
      <c r="K450" s="1"/>
    </row>
    <row r="451" spans="3:11" ht="23.25">
      <c r="C451" s="42"/>
      <c r="K451" s="1"/>
    </row>
    <row r="452" spans="3:11" ht="23.25">
      <c r="C452" s="42"/>
      <c r="K452" s="1"/>
    </row>
    <row r="453" spans="3:11" ht="23.25">
      <c r="C453" s="42"/>
      <c r="K453" s="1"/>
    </row>
    <row r="454" spans="3:11" ht="23.25">
      <c r="C454" s="42"/>
      <c r="K454" s="1"/>
    </row>
    <row r="455" spans="3:11" ht="23.25">
      <c r="C455" s="42"/>
      <c r="K455" s="1"/>
    </row>
    <row r="456" spans="3:11" ht="23.25">
      <c r="C456" s="42"/>
      <c r="K456" s="1"/>
    </row>
    <row r="457" spans="3:11" ht="23.25">
      <c r="C457" s="42"/>
      <c r="K457" s="1"/>
    </row>
    <row r="458" spans="3:11" ht="23.25">
      <c r="C458" s="42"/>
      <c r="K458" s="1"/>
    </row>
    <row r="459" spans="3:11" ht="23.25">
      <c r="C459" s="42"/>
      <c r="K459" s="1"/>
    </row>
    <row r="460" spans="3:11" ht="23.25">
      <c r="C460" s="42"/>
      <c r="K460" s="1"/>
    </row>
    <row r="461" spans="3:11" ht="23.25">
      <c r="C461" s="42"/>
      <c r="K461" s="1"/>
    </row>
    <row r="462" spans="3:11" ht="23.25">
      <c r="C462" s="42"/>
      <c r="K462" s="1"/>
    </row>
    <row r="463" spans="3:11" ht="23.25">
      <c r="C463" s="42"/>
      <c r="K463" s="1"/>
    </row>
    <row r="464" spans="3:11" ht="23.25">
      <c r="C464" s="42"/>
      <c r="K464" s="1"/>
    </row>
    <row r="465" spans="3:11" ht="23.25">
      <c r="C465" s="42"/>
      <c r="K465" s="1"/>
    </row>
    <row r="466" spans="3:11" ht="23.25">
      <c r="C466" s="42"/>
      <c r="K466" s="1"/>
    </row>
    <row r="467" spans="3:11" ht="23.25">
      <c r="C467" s="42"/>
      <c r="K467" s="1"/>
    </row>
    <row r="468" spans="3:11" ht="23.25">
      <c r="C468" s="42"/>
      <c r="K468" s="1"/>
    </row>
    <row r="469" spans="3:11" ht="23.25">
      <c r="C469" s="42"/>
      <c r="K469" s="1"/>
    </row>
    <row r="470" spans="3:11" ht="23.25">
      <c r="C470" s="42"/>
      <c r="K470" s="1"/>
    </row>
  </sheetData>
  <sheetProtection/>
  <mergeCells count="43">
    <mergeCell ref="O10:O12"/>
    <mergeCell ref="Q9:Q12"/>
    <mergeCell ref="F9:J9"/>
    <mergeCell ref="N11:N12"/>
    <mergeCell ref="G10:G12"/>
    <mergeCell ref="H11:H12"/>
    <mergeCell ref="J10:J12"/>
    <mergeCell ref="B299:H299"/>
    <mergeCell ref="K9:P9"/>
    <mergeCell ref="L10:L12"/>
    <mergeCell ref="P11:P12"/>
    <mergeCell ref="M11:M12"/>
    <mergeCell ref="D9:D12"/>
    <mergeCell ref="I11:I12"/>
    <mergeCell ref="M298:O298"/>
    <mergeCell ref="B127:B128"/>
    <mergeCell ref="M10:N10"/>
    <mergeCell ref="C298:E298"/>
    <mergeCell ref="E9:E12"/>
    <mergeCell ref="B9:B12"/>
    <mergeCell ref="C9:C12"/>
    <mergeCell ref="C127:C128"/>
    <mergeCell ref="D127:D128"/>
    <mergeCell ref="M3:Q3"/>
    <mergeCell ref="R1:R34"/>
    <mergeCell ref="M299:P299"/>
    <mergeCell ref="M1:P1"/>
    <mergeCell ref="M4:Q4"/>
    <mergeCell ref="M5:Q5"/>
    <mergeCell ref="E7:O7"/>
    <mergeCell ref="F10:F12"/>
    <mergeCell ref="H10:I10"/>
    <mergeCell ref="K10:K12"/>
    <mergeCell ref="R288:R331"/>
    <mergeCell ref="R35:R66"/>
    <mergeCell ref="R67:R103"/>
    <mergeCell ref="R104:R126"/>
    <mergeCell ref="R127:R139"/>
    <mergeCell ref="R140:R157"/>
    <mergeCell ref="R158:R190"/>
    <mergeCell ref="R191:R226"/>
    <mergeCell ref="R227:R257"/>
    <mergeCell ref="R258:R287"/>
  </mergeCells>
  <printOptions horizontalCentered="1"/>
  <pageMargins left="0.1968503937007874" right="0.1968503937007874" top="0.7086614173228347" bottom="0.32" header="0.5118110236220472" footer="0.2362204724409449"/>
  <pageSetup fitToHeight="11" horizontalDpi="600" verticalDpi="600" orientation="landscape" paperSize="9" scale="43" r:id="rId1"/>
  <headerFooter alignWithMargins="0">
    <oddHeader>&amp;RПродовження додатку 3</oddHeader>
  </headerFooter>
  <rowBreaks count="3" manualBreakCount="3">
    <brk id="126" min="1" max="17" man="1"/>
    <brk id="139" min="1" max="17" man="1"/>
    <brk id="287" min="1" max="17" man="1"/>
  </rowBreaks>
</worksheet>
</file>

<file path=xl/worksheets/sheet2.xml><?xml version="1.0" encoding="utf-8"?>
<worksheet xmlns="http://schemas.openxmlformats.org/spreadsheetml/2006/main" xmlns:r="http://schemas.openxmlformats.org/officeDocument/2006/relationships">
  <sheetPr>
    <pageSetUpPr fitToPage="1"/>
  </sheetPr>
  <dimension ref="A1:Z590"/>
  <sheetViews>
    <sheetView showGridLines="0" showZeros="0" view="pageBreakPreview" zoomScale="55" zoomScaleNormal="70" zoomScaleSheetLayoutView="55" zoomScalePageLayoutView="0" workbookViewId="0" topLeftCell="E1">
      <selection activeCell="L5" sqref="L5:P5"/>
    </sheetView>
  </sheetViews>
  <sheetFormatPr defaultColWidth="9.16015625" defaultRowHeight="12.75"/>
  <cols>
    <col min="1" max="1" width="3.83203125" style="5" hidden="1" customWidth="1"/>
    <col min="2" max="2" width="14.33203125" style="51" customWidth="1"/>
    <col min="3" max="3" width="13.83203125" style="5" customWidth="1"/>
    <col min="4" max="4" width="76.16015625" style="5" customWidth="1"/>
    <col min="5" max="5" width="24.66015625" style="68" customWidth="1"/>
    <col min="6" max="6" width="25.5" style="69" customWidth="1"/>
    <col min="7" max="7" width="22" style="69" customWidth="1"/>
    <col min="8" max="8" width="22.33203125" style="69" customWidth="1"/>
    <col min="9" max="9" width="23.83203125" style="69" customWidth="1"/>
    <col min="10" max="10" width="27.5" style="68" customWidth="1"/>
    <col min="11" max="11" width="22.83203125" style="69" customWidth="1"/>
    <col min="12" max="12" width="18.66015625" style="69" customWidth="1"/>
    <col min="13" max="13" width="19" style="69" customWidth="1"/>
    <col min="14" max="14" width="21" style="69" customWidth="1"/>
    <col min="15" max="15" width="20.66015625" style="69" customWidth="1"/>
    <col min="16" max="16" width="23" style="68" customWidth="1"/>
    <col min="17" max="17" width="14.83203125" style="140" customWidth="1"/>
    <col min="18" max="18" width="19.5" style="6" customWidth="1"/>
    <col min="19" max="20" width="16.16015625" style="6" bestFit="1" customWidth="1"/>
    <col min="21" max="21" width="15.66015625" style="6" customWidth="1"/>
    <col min="22" max="24" width="9.16015625" style="6" customWidth="1"/>
    <col min="25" max="25" width="18.83203125" style="6" customWidth="1"/>
    <col min="26" max="26" width="18.66015625" style="6" customWidth="1"/>
    <col min="27" max="16384" width="9.16015625" style="6" customWidth="1"/>
  </cols>
  <sheetData>
    <row r="1" spans="2:19" ht="12.75" customHeight="1">
      <c r="B1" s="76"/>
      <c r="C1" s="54"/>
      <c r="D1" s="54"/>
      <c r="E1" s="77"/>
      <c r="F1" s="78"/>
      <c r="G1" s="78"/>
      <c r="H1" s="78"/>
      <c r="I1" s="78"/>
      <c r="J1" s="77"/>
      <c r="K1" s="78"/>
      <c r="L1" s="78"/>
      <c r="M1" s="78"/>
      <c r="N1" s="78"/>
      <c r="O1" s="78"/>
      <c r="P1" s="77"/>
      <c r="Q1" s="266">
        <v>34</v>
      </c>
      <c r="R1" s="226"/>
      <c r="S1" s="226"/>
    </row>
    <row r="2" spans="2:19" ht="26.25">
      <c r="B2" s="76"/>
      <c r="C2" s="153"/>
      <c r="D2" s="153"/>
      <c r="E2" s="77"/>
      <c r="F2" s="78"/>
      <c r="G2" s="78"/>
      <c r="H2" s="78"/>
      <c r="I2" s="78"/>
      <c r="J2" s="77"/>
      <c r="K2" s="78"/>
      <c r="L2" s="251" t="s">
        <v>556</v>
      </c>
      <c r="M2" s="251"/>
      <c r="N2" s="251"/>
      <c r="O2" s="251"/>
      <c r="P2" s="178"/>
      <c r="Q2" s="266"/>
      <c r="R2" s="226"/>
      <c r="S2" s="226"/>
    </row>
    <row r="3" spans="2:19" ht="26.25">
      <c r="B3" s="76"/>
      <c r="C3" s="153"/>
      <c r="D3" s="153"/>
      <c r="E3" s="77"/>
      <c r="F3" s="78"/>
      <c r="G3" s="78"/>
      <c r="H3" s="78"/>
      <c r="I3" s="78"/>
      <c r="J3" s="77"/>
      <c r="K3" s="78"/>
      <c r="L3" s="178" t="s">
        <v>546</v>
      </c>
      <c r="M3" s="178"/>
      <c r="N3" s="178"/>
      <c r="O3" s="178"/>
      <c r="P3" s="178"/>
      <c r="Q3" s="266"/>
      <c r="R3" s="226"/>
      <c r="S3" s="226"/>
    </row>
    <row r="4" spans="2:19" ht="26.25">
      <c r="B4" s="76"/>
      <c r="C4" s="153"/>
      <c r="D4" s="153"/>
      <c r="E4" s="77"/>
      <c r="F4" s="78"/>
      <c r="G4" s="78"/>
      <c r="H4" s="78"/>
      <c r="I4" s="78"/>
      <c r="J4" s="77"/>
      <c r="K4" s="78"/>
      <c r="L4" s="248" t="s">
        <v>571</v>
      </c>
      <c r="M4" s="248"/>
      <c r="N4" s="248"/>
      <c r="O4" s="248"/>
      <c r="P4" s="248"/>
      <c r="Q4" s="266"/>
      <c r="R4" s="226"/>
      <c r="S4" s="226"/>
    </row>
    <row r="5" spans="2:19" ht="26.25" customHeight="1">
      <c r="B5" s="76"/>
      <c r="C5" s="153"/>
      <c r="D5" s="153"/>
      <c r="E5" s="77"/>
      <c r="F5" s="78"/>
      <c r="G5" s="78"/>
      <c r="H5" s="78"/>
      <c r="I5" s="78"/>
      <c r="J5" s="77"/>
      <c r="K5" s="78"/>
      <c r="L5" s="248"/>
      <c r="M5" s="248"/>
      <c r="N5" s="248"/>
      <c r="O5" s="248"/>
      <c r="P5" s="248"/>
      <c r="Q5" s="266"/>
      <c r="R5" s="226"/>
      <c r="S5" s="226"/>
    </row>
    <row r="6" spans="2:19" ht="35.25" customHeight="1">
      <c r="B6" s="76"/>
      <c r="C6" s="153"/>
      <c r="D6" s="153"/>
      <c r="E6" s="77"/>
      <c r="F6" s="78"/>
      <c r="G6" s="78"/>
      <c r="H6" s="78"/>
      <c r="I6" s="78"/>
      <c r="J6" s="77"/>
      <c r="K6" s="78"/>
      <c r="L6" s="248"/>
      <c r="M6" s="248"/>
      <c r="N6" s="248"/>
      <c r="O6" s="248"/>
      <c r="P6" s="248"/>
      <c r="Q6" s="266"/>
      <c r="R6" s="226"/>
      <c r="S6" s="226"/>
    </row>
    <row r="7" spans="2:19" ht="50.25" customHeight="1">
      <c r="B7" s="76"/>
      <c r="C7" s="153"/>
      <c r="D7" s="153"/>
      <c r="E7" s="77"/>
      <c r="F7" s="78"/>
      <c r="G7" s="78"/>
      <c r="H7" s="78"/>
      <c r="I7" s="78"/>
      <c r="J7" s="77"/>
      <c r="K7" s="78"/>
      <c r="L7" s="78"/>
      <c r="M7" s="78"/>
      <c r="N7" s="78"/>
      <c r="O7" s="78"/>
      <c r="P7" s="77"/>
      <c r="Q7" s="266"/>
      <c r="R7" s="226"/>
      <c r="S7" s="226"/>
    </row>
    <row r="8" spans="2:19" ht="77.25" customHeight="1">
      <c r="B8" s="252" t="s">
        <v>434</v>
      </c>
      <c r="C8" s="252"/>
      <c r="D8" s="252"/>
      <c r="E8" s="252"/>
      <c r="F8" s="252"/>
      <c r="G8" s="252"/>
      <c r="H8" s="252"/>
      <c r="I8" s="252"/>
      <c r="J8" s="252"/>
      <c r="K8" s="252"/>
      <c r="L8" s="252"/>
      <c r="M8" s="252"/>
      <c r="N8" s="252"/>
      <c r="O8" s="252"/>
      <c r="P8" s="252"/>
      <c r="Q8" s="266"/>
      <c r="R8" s="226"/>
      <c r="S8" s="226"/>
    </row>
    <row r="9" spans="1:19" s="75" customFormat="1" ht="24" customHeight="1">
      <c r="A9" s="54"/>
      <c r="B9" s="76"/>
      <c r="C9" s="109"/>
      <c r="D9" s="109"/>
      <c r="E9" s="77"/>
      <c r="F9" s="78"/>
      <c r="G9" s="78"/>
      <c r="H9" s="78"/>
      <c r="I9" s="78"/>
      <c r="J9" s="77"/>
      <c r="K9" s="78"/>
      <c r="L9" s="78"/>
      <c r="M9" s="78"/>
      <c r="N9" s="78"/>
      <c r="O9" s="78"/>
      <c r="P9" s="78" t="s">
        <v>10</v>
      </c>
      <c r="Q9" s="266"/>
      <c r="R9" s="226"/>
      <c r="S9" s="226"/>
    </row>
    <row r="10" spans="1:19" ht="21.75" customHeight="1">
      <c r="A10" s="52"/>
      <c r="B10" s="271" t="s">
        <v>435</v>
      </c>
      <c r="C10" s="274" t="s">
        <v>253</v>
      </c>
      <c r="D10" s="274" t="s">
        <v>535</v>
      </c>
      <c r="E10" s="269" t="s">
        <v>0</v>
      </c>
      <c r="F10" s="269"/>
      <c r="G10" s="269"/>
      <c r="H10" s="269"/>
      <c r="I10" s="269"/>
      <c r="J10" s="269" t="s">
        <v>1</v>
      </c>
      <c r="K10" s="269"/>
      <c r="L10" s="269"/>
      <c r="M10" s="269"/>
      <c r="N10" s="269"/>
      <c r="O10" s="269"/>
      <c r="P10" s="268" t="s">
        <v>2</v>
      </c>
      <c r="Q10" s="266"/>
      <c r="R10" s="226"/>
      <c r="S10" s="226"/>
    </row>
    <row r="11" spans="1:19" ht="16.5" customHeight="1">
      <c r="A11" s="52"/>
      <c r="B11" s="272"/>
      <c r="C11" s="274"/>
      <c r="D11" s="274"/>
      <c r="E11" s="268" t="s">
        <v>3</v>
      </c>
      <c r="F11" s="270" t="s">
        <v>4</v>
      </c>
      <c r="G11" s="269" t="s">
        <v>5</v>
      </c>
      <c r="H11" s="269"/>
      <c r="I11" s="270" t="s">
        <v>6</v>
      </c>
      <c r="J11" s="268" t="s">
        <v>3</v>
      </c>
      <c r="K11" s="270" t="s">
        <v>4</v>
      </c>
      <c r="L11" s="269" t="s">
        <v>5</v>
      </c>
      <c r="M11" s="269"/>
      <c r="N11" s="270" t="s">
        <v>6</v>
      </c>
      <c r="O11" s="117" t="s">
        <v>5</v>
      </c>
      <c r="P11" s="268"/>
      <c r="Q11" s="266"/>
      <c r="R11" s="226"/>
      <c r="S11" s="226"/>
    </row>
    <row r="12" spans="1:19" ht="20.25" customHeight="1">
      <c r="A12" s="53"/>
      <c r="B12" s="272"/>
      <c r="C12" s="274"/>
      <c r="D12" s="274"/>
      <c r="E12" s="268"/>
      <c r="F12" s="270"/>
      <c r="G12" s="269" t="s">
        <v>7</v>
      </c>
      <c r="H12" s="269" t="s">
        <v>8</v>
      </c>
      <c r="I12" s="270"/>
      <c r="J12" s="268"/>
      <c r="K12" s="270"/>
      <c r="L12" s="269" t="s">
        <v>7</v>
      </c>
      <c r="M12" s="269" t="s">
        <v>8</v>
      </c>
      <c r="N12" s="270"/>
      <c r="O12" s="269" t="s">
        <v>9</v>
      </c>
      <c r="P12" s="268"/>
      <c r="Q12" s="266"/>
      <c r="R12" s="226"/>
      <c r="S12" s="226"/>
    </row>
    <row r="13" spans="1:19" ht="136.5" customHeight="1">
      <c r="A13" s="54"/>
      <c r="B13" s="273"/>
      <c r="C13" s="274"/>
      <c r="D13" s="274"/>
      <c r="E13" s="268"/>
      <c r="F13" s="270"/>
      <c r="G13" s="269"/>
      <c r="H13" s="269"/>
      <c r="I13" s="270"/>
      <c r="J13" s="268"/>
      <c r="K13" s="270"/>
      <c r="L13" s="269"/>
      <c r="M13" s="269"/>
      <c r="N13" s="270"/>
      <c r="O13" s="269"/>
      <c r="P13" s="268"/>
      <c r="Q13" s="266"/>
      <c r="R13" s="226"/>
      <c r="S13" s="226"/>
    </row>
    <row r="14" spans="1:19" s="97" customFormat="1" ht="23.25" customHeight="1">
      <c r="A14" s="96"/>
      <c r="B14" s="98" t="s">
        <v>249</v>
      </c>
      <c r="C14" s="62"/>
      <c r="D14" s="101" t="s">
        <v>250</v>
      </c>
      <c r="E14" s="127">
        <f>E15</f>
        <v>100426028</v>
      </c>
      <c r="F14" s="127">
        <f aca="true" t="shared" si="0" ref="F14:P14">F15</f>
        <v>100426028</v>
      </c>
      <c r="G14" s="127">
        <f t="shared" si="0"/>
        <v>72270372</v>
      </c>
      <c r="H14" s="127">
        <f t="shared" si="0"/>
        <v>3733700</v>
      </c>
      <c r="I14" s="127">
        <f t="shared" si="0"/>
        <v>0</v>
      </c>
      <c r="J14" s="127">
        <f t="shared" si="0"/>
        <v>9890200</v>
      </c>
      <c r="K14" s="127">
        <f t="shared" si="0"/>
        <v>3766500</v>
      </c>
      <c r="L14" s="127">
        <f t="shared" si="0"/>
        <v>1911000</v>
      </c>
      <c r="M14" s="127">
        <f t="shared" si="0"/>
        <v>85300</v>
      </c>
      <c r="N14" s="127">
        <f t="shared" si="0"/>
        <v>6123700</v>
      </c>
      <c r="O14" s="127">
        <f t="shared" si="0"/>
        <v>5843200</v>
      </c>
      <c r="P14" s="127">
        <f t="shared" si="0"/>
        <v>110316228</v>
      </c>
      <c r="Q14" s="266"/>
      <c r="R14" s="226"/>
      <c r="S14" s="226"/>
    </row>
    <row r="15" spans="2:26" ht="35.25" customHeight="1">
      <c r="B15" s="51" t="s">
        <v>251</v>
      </c>
      <c r="C15" s="51" t="s">
        <v>252</v>
      </c>
      <c r="D15" s="65" t="s">
        <v>536</v>
      </c>
      <c r="E15" s="128">
        <f>'дод. 3'!F15+'дод. 3'!F67+'дод. 3'!F94+'дод. 3'!F120+'дод. 3'!F199+'дод. 3'!F204+'дод. 3'!F213+'дод. 3'!F241+'дод. 3'!F248+'дод. 3'!F251+'дод. 3'!F272+'дод. 3'!F279+'дод. 3'!F285+'дод. 3'!F269</f>
        <v>100426028</v>
      </c>
      <c r="F15" s="128">
        <f>'дод. 3'!G15+'дод. 3'!G67+'дод. 3'!G94+'дод. 3'!G120+'дод. 3'!G199+'дод. 3'!G204+'дод. 3'!G213+'дод. 3'!G241+'дод. 3'!G248+'дод. 3'!G251+'дод. 3'!G272+'дод. 3'!G279+'дод. 3'!G285+'дод. 3'!G269</f>
        <v>100426028</v>
      </c>
      <c r="G15" s="128">
        <f>'дод. 3'!H15+'дод. 3'!H67+'дод. 3'!H94+'дод. 3'!H120+'дод. 3'!H199+'дод. 3'!H204+'дод. 3'!H213+'дод. 3'!H241+'дод. 3'!H248+'дод. 3'!H251+'дод. 3'!H272+'дод. 3'!H279+'дод. 3'!H285+'дод. 3'!H269</f>
        <v>72270372</v>
      </c>
      <c r="H15" s="128">
        <f>'дод. 3'!I15+'дод. 3'!I67+'дод. 3'!I94+'дод. 3'!I120+'дод. 3'!I199+'дод. 3'!I204+'дод. 3'!I213+'дод. 3'!I241+'дод. 3'!I248+'дод. 3'!I251+'дод. 3'!I272+'дод. 3'!I279+'дод. 3'!I285+'дод. 3'!I269</f>
        <v>3733700</v>
      </c>
      <c r="I15" s="128">
        <f>'дод. 3'!J15+'дод. 3'!J67+'дод. 3'!J94+'дод. 3'!J120+'дод. 3'!J199+'дод. 3'!J204+'дод. 3'!J213+'дод. 3'!J241+'дод. 3'!J248+'дод. 3'!J251+'дод. 3'!J272+'дод. 3'!J279+'дод. 3'!J285+'дод. 3'!J269</f>
        <v>0</v>
      </c>
      <c r="J15" s="128">
        <f>'дод. 3'!K15+'дод. 3'!K67+'дод. 3'!K94+'дод. 3'!K120+'дод. 3'!K199+'дод. 3'!K204+'дод. 3'!K213+'дод. 3'!K241+'дод. 3'!K248+'дод. 3'!K251+'дод. 3'!K272+'дод. 3'!K279+'дод. 3'!K285+'дод. 3'!K269</f>
        <v>9890200</v>
      </c>
      <c r="K15" s="128">
        <f>'дод. 3'!L15+'дод. 3'!L67+'дод. 3'!L94+'дод. 3'!L120+'дод. 3'!L199+'дод. 3'!L204+'дод. 3'!L213+'дод. 3'!L241+'дод. 3'!L248+'дод. 3'!L251+'дод. 3'!L272+'дод. 3'!L279+'дод. 3'!L285+'дод. 3'!L269</f>
        <v>3766500</v>
      </c>
      <c r="L15" s="128">
        <f>'дод. 3'!M15+'дод. 3'!M67+'дод. 3'!M94+'дод. 3'!M120+'дод. 3'!M199+'дод. 3'!M204+'дод. 3'!M213+'дод. 3'!M241+'дод. 3'!M248+'дод. 3'!M251+'дод. 3'!M272+'дод. 3'!M279+'дод. 3'!M285+'дод. 3'!M269</f>
        <v>1911000</v>
      </c>
      <c r="M15" s="128">
        <f>'дод. 3'!N15+'дод. 3'!N67+'дод. 3'!N94+'дод. 3'!N120+'дод. 3'!N199+'дод. 3'!N204+'дод. 3'!N213+'дод. 3'!N241+'дод. 3'!N248+'дод. 3'!N251+'дод. 3'!N272+'дод. 3'!N279+'дод. 3'!N285+'дод. 3'!N269</f>
        <v>85300</v>
      </c>
      <c r="N15" s="128">
        <f>'дод. 3'!O15+'дод. 3'!O67+'дод. 3'!O94+'дод. 3'!O120+'дод. 3'!O199+'дод. 3'!O204+'дод. 3'!O213+'дод. 3'!O241+'дод. 3'!O248+'дод. 3'!O251+'дод. 3'!O272+'дод. 3'!O279+'дод. 3'!O285+'дод. 3'!O269</f>
        <v>6123700</v>
      </c>
      <c r="O15" s="128">
        <f>'дод. 3'!P15+'дод. 3'!P67+'дод. 3'!P94+'дод. 3'!P120+'дод. 3'!P199+'дод. 3'!P204+'дод. 3'!P213+'дод. 3'!P241+'дод. 3'!P248+'дод. 3'!P251+'дод. 3'!P272+'дод. 3'!P279+'дод. 3'!P285+'дод. 3'!P269</f>
        <v>5843200</v>
      </c>
      <c r="P15" s="128">
        <f>'дод. 3'!Q15+'дод. 3'!Q67+'дод. 3'!Q94+'дод. 3'!Q120+'дод. 3'!Q199+'дод. 3'!Q204+'дод. 3'!Q213+'дод. 3'!Q241+'дод. 3'!Q248+'дод. 3'!Q251+'дод. 3'!Q272+'дод. 3'!Q279+'дод. 3'!Q285+'дод. 3'!Q269</f>
        <v>110316228</v>
      </c>
      <c r="Q15" s="266"/>
      <c r="R15" s="226"/>
      <c r="S15" s="226"/>
      <c r="Y15" s="89"/>
      <c r="Z15" s="89"/>
    </row>
    <row r="16" spans="1:26" s="97" customFormat="1" ht="23.25" customHeight="1">
      <c r="A16" s="96"/>
      <c r="B16" s="98" t="s">
        <v>254</v>
      </c>
      <c r="C16" s="62"/>
      <c r="D16" s="101" t="s">
        <v>255</v>
      </c>
      <c r="E16" s="127">
        <f aca="true" t="shared" si="1" ref="E16:P16">E18+E19+E21+E25+E27+E28+E30+E31+E32+E33+E35+E36+E23</f>
        <v>654639081</v>
      </c>
      <c r="F16" s="127">
        <f t="shared" si="1"/>
        <v>654639081</v>
      </c>
      <c r="G16" s="127">
        <f t="shared" si="1"/>
        <v>409288150</v>
      </c>
      <c r="H16" s="127">
        <f t="shared" si="1"/>
        <v>82153847</v>
      </c>
      <c r="I16" s="127">
        <f t="shared" si="1"/>
        <v>0</v>
      </c>
      <c r="J16" s="127">
        <f t="shared" si="1"/>
        <v>52522186</v>
      </c>
      <c r="K16" s="127">
        <f t="shared" si="1"/>
        <v>39235466</v>
      </c>
      <c r="L16" s="127">
        <f t="shared" si="1"/>
        <v>2314390</v>
      </c>
      <c r="M16" s="127">
        <f t="shared" si="1"/>
        <v>2237685</v>
      </c>
      <c r="N16" s="127">
        <f t="shared" si="1"/>
        <v>13286720</v>
      </c>
      <c r="O16" s="127">
        <f t="shared" si="1"/>
        <v>13118600</v>
      </c>
      <c r="P16" s="127">
        <f t="shared" si="1"/>
        <v>707161267</v>
      </c>
      <c r="Q16" s="266"/>
      <c r="R16" s="226"/>
      <c r="S16" s="226"/>
      <c r="Y16" s="94"/>
      <c r="Z16" s="94"/>
    </row>
    <row r="17" spans="1:26" s="97" customFormat="1" ht="23.25" customHeight="1">
      <c r="A17" s="96"/>
      <c r="B17" s="98"/>
      <c r="C17" s="62"/>
      <c r="D17" s="101" t="s">
        <v>526</v>
      </c>
      <c r="E17" s="127">
        <f>E20+E22+E26+E29+E24</f>
        <v>227606599</v>
      </c>
      <c r="F17" s="127">
        <f aca="true" t="shared" si="2" ref="F17:P17">F20+F22+F26+F29+F24</f>
        <v>227606599</v>
      </c>
      <c r="G17" s="127">
        <f t="shared" si="2"/>
        <v>184750800</v>
      </c>
      <c r="H17" s="127">
        <f t="shared" si="2"/>
        <v>0</v>
      </c>
      <c r="I17" s="127">
        <f t="shared" si="2"/>
        <v>0</v>
      </c>
      <c r="J17" s="127">
        <f t="shared" si="2"/>
        <v>0</v>
      </c>
      <c r="K17" s="127">
        <f t="shared" si="2"/>
        <v>0</v>
      </c>
      <c r="L17" s="127">
        <f t="shared" si="2"/>
        <v>0</v>
      </c>
      <c r="M17" s="127">
        <f t="shared" si="2"/>
        <v>0</v>
      </c>
      <c r="N17" s="127">
        <f t="shared" si="2"/>
        <v>0</v>
      </c>
      <c r="O17" s="127">
        <f t="shared" si="2"/>
        <v>0</v>
      </c>
      <c r="P17" s="127">
        <f t="shared" si="2"/>
        <v>227606599</v>
      </c>
      <c r="Q17" s="266"/>
      <c r="R17" s="226"/>
      <c r="S17" s="226"/>
      <c r="Y17" s="94"/>
      <c r="Z17" s="94"/>
    </row>
    <row r="18" spans="2:26" ht="23.25" customHeight="1">
      <c r="B18" s="51" t="s">
        <v>256</v>
      </c>
      <c r="C18" s="51" t="s">
        <v>257</v>
      </c>
      <c r="D18" s="65" t="s">
        <v>65</v>
      </c>
      <c r="E18" s="128">
        <f>'дод. 3'!F68</f>
        <v>171376155</v>
      </c>
      <c r="F18" s="128">
        <f>'дод. 3'!G68</f>
        <v>171376155</v>
      </c>
      <c r="G18" s="128">
        <f>'дод. 3'!H68</f>
        <v>103135510</v>
      </c>
      <c r="H18" s="128">
        <f>'дод. 3'!I68</f>
        <v>26498635</v>
      </c>
      <c r="I18" s="128">
        <f>'дод. 3'!J68</f>
        <v>0</v>
      </c>
      <c r="J18" s="128">
        <f>'дод. 3'!K68</f>
        <v>17271071</v>
      </c>
      <c r="K18" s="128">
        <f>'дод. 3'!L68</f>
        <v>12650071</v>
      </c>
      <c r="L18" s="128">
        <f>'дод. 3'!M68</f>
        <v>0</v>
      </c>
      <c r="M18" s="128">
        <f>'дод. 3'!N68</f>
        <v>0</v>
      </c>
      <c r="N18" s="128">
        <f>'дод. 3'!O68</f>
        <v>4621000</v>
      </c>
      <c r="O18" s="128">
        <f>'дод. 3'!P68</f>
        <v>4621000</v>
      </c>
      <c r="P18" s="128">
        <f aca="true" t="shared" si="3" ref="P18:P59">E18+J18</f>
        <v>188647226</v>
      </c>
      <c r="Q18" s="266"/>
      <c r="R18" s="226"/>
      <c r="S18" s="226"/>
      <c r="Y18" s="89"/>
      <c r="Z18" s="89"/>
    </row>
    <row r="19" spans="2:26" ht="63" customHeight="1">
      <c r="B19" s="51" t="s">
        <v>258</v>
      </c>
      <c r="C19" s="51" t="s">
        <v>259</v>
      </c>
      <c r="D19" s="65" t="s">
        <v>66</v>
      </c>
      <c r="E19" s="128">
        <f>'дод. 3'!F69</f>
        <v>364903556</v>
      </c>
      <c r="F19" s="128">
        <f>'дод. 3'!G69</f>
        <v>364903556</v>
      </c>
      <c r="G19" s="128">
        <f>'дод. 3'!H69</f>
        <v>237818180</v>
      </c>
      <c r="H19" s="128">
        <f>'дод. 3'!I69</f>
        <v>42548737</v>
      </c>
      <c r="I19" s="128">
        <f>'дод. 3'!J69</f>
        <v>0</v>
      </c>
      <c r="J19" s="128">
        <f>'дод. 3'!K69</f>
        <v>27935737</v>
      </c>
      <c r="K19" s="128">
        <f>'дод. 3'!L69</f>
        <v>20411137</v>
      </c>
      <c r="L19" s="128">
        <f>'дод. 3'!M69</f>
        <v>519938</v>
      </c>
      <c r="M19" s="128">
        <f>'дод. 3'!N69</f>
        <v>41716</v>
      </c>
      <c r="N19" s="128">
        <f>'дод. 3'!O69</f>
        <v>7524600</v>
      </c>
      <c r="O19" s="128">
        <f>'дод. 3'!P69</f>
        <v>7524600</v>
      </c>
      <c r="P19" s="128">
        <f t="shared" si="3"/>
        <v>392839293</v>
      </c>
      <c r="Q19" s="266"/>
      <c r="R19" s="226"/>
      <c r="S19" s="226"/>
      <c r="Y19" s="89"/>
      <c r="Z19" s="89"/>
    </row>
    <row r="20" spans="3:26" ht="21.75" customHeight="1">
      <c r="C20" s="51"/>
      <c r="D20" s="65" t="s">
        <v>527</v>
      </c>
      <c r="E20" s="128">
        <f>'дод. 3'!F70</f>
        <v>201642749</v>
      </c>
      <c r="F20" s="128">
        <f>'дод. 3'!G70</f>
        <v>201642749</v>
      </c>
      <c r="G20" s="128">
        <f>'дод. 3'!H70</f>
        <v>165442490</v>
      </c>
      <c r="H20" s="128">
        <f>'дод. 3'!I70</f>
        <v>0</v>
      </c>
      <c r="I20" s="128">
        <f>'дод. 3'!J70</f>
        <v>0</v>
      </c>
      <c r="J20" s="128">
        <f>'дод. 3'!K70</f>
        <v>0</v>
      </c>
      <c r="K20" s="128">
        <f>'дод. 3'!L70</f>
        <v>0</v>
      </c>
      <c r="L20" s="128">
        <f>'дод. 3'!M70</f>
        <v>0</v>
      </c>
      <c r="M20" s="128">
        <f>'дод. 3'!N70</f>
        <v>0</v>
      </c>
      <c r="N20" s="128">
        <f>'дод. 3'!O70</f>
        <v>0</v>
      </c>
      <c r="O20" s="128">
        <f>'дод. 3'!P70</f>
        <v>0</v>
      </c>
      <c r="P20" s="128">
        <f t="shared" si="3"/>
        <v>201642749</v>
      </c>
      <c r="Q20" s="266"/>
      <c r="R20" s="226"/>
      <c r="S20" s="226"/>
      <c r="Y20" s="89"/>
      <c r="Z20" s="89"/>
    </row>
    <row r="21" spans="2:26" ht="31.5">
      <c r="B21" s="51" t="s">
        <v>260</v>
      </c>
      <c r="C21" s="51" t="s">
        <v>259</v>
      </c>
      <c r="D21" s="65" t="s">
        <v>67</v>
      </c>
      <c r="E21" s="128">
        <f>'дод. 3'!F71</f>
        <v>638957</v>
      </c>
      <c r="F21" s="128">
        <f>'дод. 3'!G71</f>
        <v>638957</v>
      </c>
      <c r="G21" s="128">
        <f>'дод. 3'!H71</f>
        <v>523390</v>
      </c>
      <c r="H21" s="128">
        <f>'дод. 3'!I71</f>
        <v>0</v>
      </c>
      <c r="I21" s="128">
        <f>'дод. 3'!J71</f>
        <v>0</v>
      </c>
      <c r="J21" s="128">
        <f>'дод. 3'!K71</f>
        <v>0</v>
      </c>
      <c r="K21" s="128">
        <f>'дод. 3'!L71</f>
        <v>0</v>
      </c>
      <c r="L21" s="128">
        <f>'дод. 3'!M71</f>
        <v>0</v>
      </c>
      <c r="M21" s="128">
        <f>'дод. 3'!N71</f>
        <v>0</v>
      </c>
      <c r="N21" s="128">
        <f>'дод. 3'!O71</f>
        <v>0</v>
      </c>
      <c r="O21" s="128">
        <f>'дод. 3'!P71</f>
        <v>0</v>
      </c>
      <c r="P21" s="128">
        <f t="shared" si="3"/>
        <v>638957</v>
      </c>
      <c r="Q21" s="266"/>
      <c r="R21" s="226"/>
      <c r="S21" s="226"/>
      <c r="Y21" s="89"/>
      <c r="Z21" s="89"/>
    </row>
    <row r="22" spans="3:26" ht="16.5">
      <c r="C22" s="51"/>
      <c r="D22" s="65" t="s">
        <v>527</v>
      </c>
      <c r="E22" s="128">
        <f>'дод. 3'!F72</f>
        <v>638540</v>
      </c>
      <c r="F22" s="128">
        <f>'дод. 3'!G72</f>
        <v>638540</v>
      </c>
      <c r="G22" s="128">
        <f>'дод. 3'!H72</f>
        <v>523390</v>
      </c>
      <c r="H22" s="128">
        <f>'дод. 3'!I72</f>
        <v>0</v>
      </c>
      <c r="I22" s="128">
        <f>'дод. 3'!J72</f>
        <v>0</v>
      </c>
      <c r="J22" s="128">
        <f>'дод. 3'!K72</f>
        <v>0</v>
      </c>
      <c r="K22" s="128">
        <f>'дод. 3'!L72</f>
        <v>0</v>
      </c>
      <c r="L22" s="128">
        <f>'дод. 3'!M72</f>
        <v>0</v>
      </c>
      <c r="M22" s="128">
        <f>'дод. 3'!N72</f>
        <v>0</v>
      </c>
      <c r="N22" s="128">
        <f>'дод. 3'!O72</f>
        <v>0</v>
      </c>
      <c r="O22" s="128">
        <f>'дод. 3'!P72</f>
        <v>0</v>
      </c>
      <c r="P22" s="128">
        <f t="shared" si="3"/>
        <v>638540</v>
      </c>
      <c r="Q22" s="266"/>
      <c r="R22" s="226"/>
      <c r="S22" s="226"/>
      <c r="Y22" s="89"/>
      <c r="Z22" s="89"/>
    </row>
    <row r="23" spans="2:26" ht="72" customHeight="1">
      <c r="B23" s="152" t="s">
        <v>261</v>
      </c>
      <c r="C23" s="152" t="s">
        <v>257</v>
      </c>
      <c r="D23" s="65" t="s">
        <v>511</v>
      </c>
      <c r="E23" s="128">
        <f>'дод. 3'!F121</f>
        <v>2415100</v>
      </c>
      <c r="F23" s="128">
        <f>'дод. 3'!G121</f>
        <v>2415100</v>
      </c>
      <c r="G23" s="128">
        <f>'дод. 3'!H121</f>
        <v>0</v>
      </c>
      <c r="H23" s="128">
        <f>'дод. 3'!I121</f>
        <v>0</v>
      </c>
      <c r="I23" s="128">
        <f>'дод. 3'!J121</f>
        <v>0</v>
      </c>
      <c r="J23" s="128">
        <f>'дод. 3'!K121</f>
        <v>0</v>
      </c>
      <c r="K23" s="128">
        <f>'дод. 3'!L121</f>
        <v>0</v>
      </c>
      <c r="L23" s="128">
        <f>'дод. 3'!M121</f>
        <v>0</v>
      </c>
      <c r="M23" s="128">
        <f>'дод. 3'!N121</f>
        <v>0</v>
      </c>
      <c r="N23" s="128">
        <f>'дод. 3'!O121</f>
        <v>0</v>
      </c>
      <c r="O23" s="128">
        <f>'дод. 3'!P121</f>
        <v>0</v>
      </c>
      <c r="P23" s="128">
        <f>'дод. 3'!Q121</f>
        <v>2415100</v>
      </c>
      <c r="Q23" s="266"/>
      <c r="R23" s="226"/>
      <c r="S23" s="226"/>
      <c r="Y23" s="89"/>
      <c r="Z23" s="89"/>
    </row>
    <row r="24" spans="2:26" ht="16.5">
      <c r="B24" s="152"/>
      <c r="C24" s="152"/>
      <c r="D24" s="65" t="s">
        <v>527</v>
      </c>
      <c r="E24" s="128">
        <f>'дод. 3'!F122</f>
        <v>2415100</v>
      </c>
      <c r="F24" s="128">
        <f>'дод. 3'!G122</f>
        <v>2415100</v>
      </c>
      <c r="G24" s="128">
        <f>'дод. 3'!H122</f>
        <v>0</v>
      </c>
      <c r="H24" s="128">
        <f>'дод. 3'!I122</f>
        <v>0</v>
      </c>
      <c r="I24" s="128">
        <f>'дод. 3'!J122</f>
        <v>0</v>
      </c>
      <c r="J24" s="128">
        <f>'дод. 3'!K122</f>
        <v>0</v>
      </c>
      <c r="K24" s="128">
        <f>'дод. 3'!L122</f>
        <v>0</v>
      </c>
      <c r="L24" s="128">
        <f>'дод. 3'!M122</f>
        <v>0</v>
      </c>
      <c r="M24" s="128">
        <f>'дод. 3'!N122</f>
        <v>0</v>
      </c>
      <c r="N24" s="128">
        <f>'дод. 3'!O122</f>
        <v>0</v>
      </c>
      <c r="O24" s="128">
        <f>'дод. 3'!P122</f>
        <v>0</v>
      </c>
      <c r="P24" s="128">
        <f>'дод. 3'!Q122</f>
        <v>2415100</v>
      </c>
      <c r="Q24" s="266"/>
      <c r="R24" s="226"/>
      <c r="S24" s="226"/>
      <c r="Y24" s="89"/>
      <c r="Z24" s="89"/>
    </row>
    <row r="25" spans="2:26" ht="71.25" customHeight="1">
      <c r="B25" s="51" t="s">
        <v>262</v>
      </c>
      <c r="C25" s="51" t="s">
        <v>263</v>
      </c>
      <c r="D25" s="65" t="s">
        <v>68</v>
      </c>
      <c r="E25" s="128">
        <f>'дод. 3'!F73</f>
        <v>6896064</v>
      </c>
      <c r="F25" s="128">
        <f>'дод. 3'!G73</f>
        <v>6896064</v>
      </c>
      <c r="G25" s="128">
        <f>'дод. 3'!H73</f>
        <v>4667160</v>
      </c>
      <c r="H25" s="128">
        <f>'дод. 3'!I73</f>
        <v>757636</v>
      </c>
      <c r="I25" s="128">
        <f>'дод. 3'!J73</f>
        <v>0</v>
      </c>
      <c r="J25" s="128">
        <f>'дод. 3'!K73</f>
        <v>150000</v>
      </c>
      <c r="K25" s="128">
        <f>'дод. 3'!L73</f>
        <v>0</v>
      </c>
      <c r="L25" s="128">
        <f>'дод. 3'!M73</f>
        <v>0</v>
      </c>
      <c r="M25" s="128">
        <f>'дод. 3'!N73</f>
        <v>0</v>
      </c>
      <c r="N25" s="128">
        <f>'дод. 3'!O73</f>
        <v>150000</v>
      </c>
      <c r="O25" s="128">
        <f>'дод. 3'!P73</f>
        <v>150000</v>
      </c>
      <c r="P25" s="128">
        <f t="shared" si="3"/>
        <v>7046064</v>
      </c>
      <c r="Q25" s="266"/>
      <c r="R25" s="226"/>
      <c r="S25" s="226"/>
      <c r="Y25" s="89"/>
      <c r="Z25" s="89"/>
    </row>
    <row r="26" spans="3:26" ht="16.5">
      <c r="C26" s="51"/>
      <c r="D26" s="65" t="s">
        <v>527</v>
      </c>
      <c r="E26" s="128">
        <f>'дод. 3'!F74</f>
        <v>4502510</v>
      </c>
      <c r="F26" s="128">
        <f>'дод. 3'!G74</f>
        <v>4502510</v>
      </c>
      <c r="G26" s="128">
        <f>'дод. 3'!H74</f>
        <v>3696640</v>
      </c>
      <c r="H26" s="128">
        <f>'дод. 3'!I74</f>
        <v>0</v>
      </c>
      <c r="I26" s="128">
        <f>'дод. 3'!J74</f>
        <v>0</v>
      </c>
      <c r="J26" s="128">
        <f>'дод. 3'!K74</f>
        <v>0</v>
      </c>
      <c r="K26" s="128">
        <f>'дод. 3'!L74</f>
        <v>0</v>
      </c>
      <c r="L26" s="128">
        <f>'дод. 3'!M74</f>
        <v>0</v>
      </c>
      <c r="M26" s="128">
        <f>'дод. 3'!N74</f>
        <v>0</v>
      </c>
      <c r="N26" s="128">
        <f>'дод. 3'!O74</f>
        <v>0</v>
      </c>
      <c r="O26" s="128">
        <f>'дод. 3'!P74</f>
        <v>0</v>
      </c>
      <c r="P26" s="128">
        <f t="shared" si="3"/>
        <v>4502510</v>
      </c>
      <c r="Q26" s="266"/>
      <c r="R26" s="226"/>
      <c r="S26" s="226"/>
      <c r="Y26" s="89"/>
      <c r="Z26" s="89"/>
    </row>
    <row r="27" spans="2:26" ht="50.25" customHeight="1">
      <c r="B27" s="51" t="s">
        <v>264</v>
      </c>
      <c r="C27" s="51" t="s">
        <v>265</v>
      </c>
      <c r="D27" s="65" t="s">
        <v>69</v>
      </c>
      <c r="E27" s="128">
        <f>'дод. 3'!F75</f>
        <v>19713951</v>
      </c>
      <c r="F27" s="128">
        <f>'дод. 3'!G75</f>
        <v>19713951</v>
      </c>
      <c r="G27" s="128">
        <f>'дод. 3'!H75</f>
        <v>13505720</v>
      </c>
      <c r="H27" s="128">
        <f>'дод. 3'!I75</f>
        <v>2853508</v>
      </c>
      <c r="I27" s="128">
        <f>'дод. 3'!J75</f>
        <v>0</v>
      </c>
      <c r="J27" s="128">
        <f>'дод. 3'!K75</f>
        <v>627090</v>
      </c>
      <c r="K27" s="128">
        <f>'дод. 3'!L75</f>
        <v>27090</v>
      </c>
      <c r="L27" s="128">
        <f>'дод. 3'!M75</f>
        <v>21312</v>
      </c>
      <c r="M27" s="128">
        <f>'дод. 3'!N75</f>
        <v>1090</v>
      </c>
      <c r="N27" s="128">
        <f>'дод. 3'!O75</f>
        <v>600000</v>
      </c>
      <c r="O27" s="128">
        <f>'дод. 3'!P75</f>
        <v>600000</v>
      </c>
      <c r="P27" s="128">
        <f t="shared" si="3"/>
        <v>20341041</v>
      </c>
      <c r="Q27" s="266"/>
      <c r="R27" s="226"/>
      <c r="S27" s="226"/>
      <c r="Y27" s="89"/>
      <c r="Z27" s="89"/>
    </row>
    <row r="28" spans="2:26" ht="40.5" customHeight="1">
      <c r="B28" s="51" t="s">
        <v>266</v>
      </c>
      <c r="C28" s="51" t="s">
        <v>267</v>
      </c>
      <c r="D28" s="65" t="s">
        <v>496</v>
      </c>
      <c r="E28" s="128">
        <f>'дод. 3'!F76</f>
        <v>79760930</v>
      </c>
      <c r="F28" s="128">
        <f>'дод. 3'!G76</f>
        <v>79760930</v>
      </c>
      <c r="G28" s="128">
        <f>'дод. 3'!H76</f>
        <v>43292100</v>
      </c>
      <c r="H28" s="128">
        <f>'дод. 3'!I76</f>
        <v>8890749</v>
      </c>
      <c r="I28" s="128">
        <f>'дод. 3'!J76</f>
        <v>0</v>
      </c>
      <c r="J28" s="128">
        <f>'дод. 3'!K76</f>
        <v>6315288</v>
      </c>
      <c r="K28" s="128">
        <f>'дод. 3'!L76</f>
        <v>6147168</v>
      </c>
      <c r="L28" s="128">
        <f>'дод. 3'!M76</f>
        <v>1773140</v>
      </c>
      <c r="M28" s="128">
        <f>'дод. 3'!N76</f>
        <v>2194879</v>
      </c>
      <c r="N28" s="128">
        <f>'дод. 3'!O76</f>
        <v>168120</v>
      </c>
      <c r="O28" s="128">
        <f>'дод. 3'!P76</f>
        <v>0</v>
      </c>
      <c r="P28" s="128">
        <f t="shared" si="3"/>
        <v>86076218</v>
      </c>
      <c r="Q28" s="266"/>
      <c r="R28" s="226"/>
      <c r="S28" s="226"/>
      <c r="Y28" s="89"/>
      <c r="Z28" s="89"/>
    </row>
    <row r="29" spans="3:26" ht="16.5">
      <c r="C29" s="51"/>
      <c r="D29" s="65" t="s">
        <v>527</v>
      </c>
      <c r="E29" s="128">
        <f>'дод. 3'!F77</f>
        <v>18407700</v>
      </c>
      <c r="F29" s="128">
        <f>'дод. 3'!G77</f>
        <v>18407700</v>
      </c>
      <c r="G29" s="128">
        <f>'дод. 3'!H77</f>
        <v>15088280</v>
      </c>
      <c r="H29" s="128">
        <f>'дод. 3'!I77</f>
        <v>0</v>
      </c>
      <c r="I29" s="128">
        <f>'дод. 3'!J77</f>
        <v>0</v>
      </c>
      <c r="J29" s="128">
        <f>'дод. 3'!K77</f>
        <v>0</v>
      </c>
      <c r="K29" s="128">
        <f>'дод. 3'!L77</f>
        <v>0</v>
      </c>
      <c r="L29" s="128">
        <f>'дод. 3'!M77</f>
        <v>0</v>
      </c>
      <c r="M29" s="128">
        <f>'дод. 3'!N77</f>
        <v>0</v>
      </c>
      <c r="N29" s="128">
        <f>'дод. 3'!O77</f>
        <v>0</v>
      </c>
      <c r="O29" s="128">
        <f>'дод. 3'!P77</f>
        <v>0</v>
      </c>
      <c r="P29" s="128">
        <f t="shared" si="3"/>
        <v>18407700</v>
      </c>
      <c r="Q29" s="266"/>
      <c r="R29" s="226"/>
      <c r="S29" s="226"/>
      <c r="Y29" s="89"/>
      <c r="Z29" s="89"/>
    </row>
    <row r="30" spans="2:26" ht="42.75" customHeight="1">
      <c r="B30" s="51" t="s">
        <v>268</v>
      </c>
      <c r="C30" s="51" t="s">
        <v>269</v>
      </c>
      <c r="D30" s="65" t="s">
        <v>70</v>
      </c>
      <c r="E30" s="128">
        <f>'дод. 3'!F78</f>
        <v>2730571</v>
      </c>
      <c r="F30" s="128">
        <f>'дод. 3'!G78</f>
        <v>2730571</v>
      </c>
      <c r="G30" s="128">
        <f>'дод. 3'!H78</f>
        <v>2099950</v>
      </c>
      <c r="H30" s="128">
        <f>'дод. 3'!I78</f>
        <v>126740</v>
      </c>
      <c r="I30" s="128">
        <f>'дод. 3'!J78</f>
        <v>0</v>
      </c>
      <c r="J30" s="128">
        <f>'дод. 3'!K78</f>
        <v>23000</v>
      </c>
      <c r="K30" s="128">
        <f>'дод. 3'!L78</f>
        <v>0</v>
      </c>
      <c r="L30" s="128">
        <f>'дод. 3'!M78</f>
        <v>0</v>
      </c>
      <c r="M30" s="128">
        <f>'дод. 3'!N78</f>
        <v>0</v>
      </c>
      <c r="N30" s="128">
        <f>'дод. 3'!O78</f>
        <v>23000</v>
      </c>
      <c r="O30" s="128">
        <f>'дод. 3'!P78</f>
        <v>23000</v>
      </c>
      <c r="P30" s="128">
        <f t="shared" si="3"/>
        <v>2753571</v>
      </c>
      <c r="Q30" s="266"/>
      <c r="R30" s="226"/>
      <c r="S30" s="226"/>
      <c r="Y30" s="89"/>
      <c r="Z30" s="89"/>
    </row>
    <row r="31" spans="2:26" ht="25.5" customHeight="1">
      <c r="B31" s="51" t="s">
        <v>270</v>
      </c>
      <c r="C31" s="51" t="s">
        <v>269</v>
      </c>
      <c r="D31" s="65" t="s">
        <v>71</v>
      </c>
      <c r="E31" s="128">
        <f>'дод. 3'!F79</f>
        <v>2303946</v>
      </c>
      <c r="F31" s="128">
        <f>'дод. 3'!G79</f>
        <v>2303946</v>
      </c>
      <c r="G31" s="128">
        <f>'дод. 3'!H79</f>
        <v>1658980</v>
      </c>
      <c r="H31" s="128">
        <f>'дод. 3'!I79</f>
        <v>115910</v>
      </c>
      <c r="I31" s="128">
        <f>'дод. 3'!J79</f>
        <v>0</v>
      </c>
      <c r="J31" s="128">
        <f>'дод. 3'!K79</f>
        <v>50000</v>
      </c>
      <c r="K31" s="128">
        <f>'дод. 3'!L79</f>
        <v>0</v>
      </c>
      <c r="L31" s="128">
        <f>'дод. 3'!M79</f>
        <v>0</v>
      </c>
      <c r="M31" s="128">
        <f>'дод. 3'!N79</f>
        <v>0</v>
      </c>
      <c r="N31" s="128">
        <f>'дод. 3'!O79</f>
        <v>50000</v>
      </c>
      <c r="O31" s="128">
        <f>'дод. 3'!P79</f>
        <v>50000</v>
      </c>
      <c r="P31" s="128">
        <f t="shared" si="3"/>
        <v>2353946</v>
      </c>
      <c r="Q31" s="266"/>
      <c r="R31" s="226"/>
      <c r="S31" s="226"/>
      <c r="Y31" s="89"/>
      <c r="Z31" s="89"/>
    </row>
    <row r="32" spans="2:26" ht="16.5">
      <c r="B32" s="51" t="s">
        <v>271</v>
      </c>
      <c r="C32" s="51" t="s">
        <v>269</v>
      </c>
      <c r="D32" s="65" t="s">
        <v>72</v>
      </c>
      <c r="E32" s="128">
        <f>'дод. 3'!F80</f>
        <v>220318</v>
      </c>
      <c r="F32" s="128">
        <f>'дод. 3'!G80</f>
        <v>220318</v>
      </c>
      <c r="G32" s="128">
        <f>'дод. 3'!H80</f>
        <v>172840</v>
      </c>
      <c r="H32" s="128">
        <f>'дод. 3'!I80</f>
        <v>5897</v>
      </c>
      <c r="I32" s="128">
        <f>'дод. 3'!J80</f>
        <v>0</v>
      </c>
      <c r="J32" s="128">
        <f>'дод. 3'!K80</f>
        <v>0</v>
      </c>
      <c r="K32" s="128">
        <f>'дод. 3'!L80</f>
        <v>0</v>
      </c>
      <c r="L32" s="128">
        <f>'дод. 3'!M80</f>
        <v>0</v>
      </c>
      <c r="M32" s="128">
        <f>'дод. 3'!N80</f>
        <v>0</v>
      </c>
      <c r="N32" s="128">
        <f>'дод. 3'!O80</f>
        <v>0</v>
      </c>
      <c r="O32" s="128">
        <f>'дод. 3'!P80</f>
        <v>0</v>
      </c>
      <c r="P32" s="128">
        <f t="shared" si="3"/>
        <v>220318</v>
      </c>
      <c r="Q32" s="266"/>
      <c r="R32" s="226"/>
      <c r="S32" s="226"/>
      <c r="Y32" s="89"/>
      <c r="Z32" s="89"/>
    </row>
    <row r="33" spans="2:26" ht="22.5" customHeight="1">
      <c r="B33" s="51" t="s">
        <v>272</v>
      </c>
      <c r="C33" s="51" t="s">
        <v>269</v>
      </c>
      <c r="D33" s="65" t="s">
        <v>73</v>
      </c>
      <c r="E33" s="128">
        <f>'дод. 3'!F81</f>
        <v>3547833</v>
      </c>
      <c r="F33" s="128">
        <f>'дод. 3'!G81</f>
        <v>3547833</v>
      </c>
      <c r="G33" s="128">
        <f>'дод. 3'!H81</f>
        <v>2414320</v>
      </c>
      <c r="H33" s="128">
        <f>'дод. 3'!I81</f>
        <v>356035</v>
      </c>
      <c r="I33" s="128">
        <f>'дод. 3'!J81</f>
        <v>0</v>
      </c>
      <c r="J33" s="128">
        <f>'дод. 3'!K81</f>
        <v>150000</v>
      </c>
      <c r="K33" s="128">
        <f>'дод. 3'!L81</f>
        <v>0</v>
      </c>
      <c r="L33" s="128">
        <f>'дод. 3'!M81</f>
        <v>0</v>
      </c>
      <c r="M33" s="128">
        <f>'дод. 3'!N81</f>
        <v>0</v>
      </c>
      <c r="N33" s="128">
        <f>'дод. 3'!O81</f>
        <v>150000</v>
      </c>
      <c r="O33" s="128">
        <f>'дод. 3'!P81</f>
        <v>150000</v>
      </c>
      <c r="P33" s="128">
        <f t="shared" si="3"/>
        <v>3697833</v>
      </c>
      <c r="Q33" s="266"/>
      <c r="R33" s="226"/>
      <c r="S33" s="226"/>
      <c r="Y33" s="89"/>
      <c r="Z33" s="89"/>
    </row>
    <row r="34" spans="2:26" ht="24.75" customHeight="1">
      <c r="B34" s="51" t="s">
        <v>273</v>
      </c>
      <c r="C34" s="51" t="s">
        <v>269</v>
      </c>
      <c r="D34" s="65" t="s">
        <v>18</v>
      </c>
      <c r="E34" s="128">
        <f>E35</f>
        <v>73780</v>
      </c>
      <c r="F34" s="128">
        <f aca="true" t="shared" si="4" ref="F34:O34">F35</f>
        <v>73780</v>
      </c>
      <c r="G34" s="128">
        <f t="shared" si="4"/>
        <v>0</v>
      </c>
      <c r="H34" s="128">
        <f t="shared" si="4"/>
        <v>0</v>
      </c>
      <c r="I34" s="128">
        <f t="shared" si="4"/>
        <v>0</v>
      </c>
      <c r="J34" s="128">
        <f t="shared" si="4"/>
        <v>0</v>
      </c>
      <c r="K34" s="128">
        <f t="shared" si="4"/>
        <v>0</v>
      </c>
      <c r="L34" s="128">
        <f t="shared" si="4"/>
        <v>0</v>
      </c>
      <c r="M34" s="128">
        <f t="shared" si="4"/>
        <v>0</v>
      </c>
      <c r="N34" s="128">
        <f t="shared" si="4"/>
        <v>0</v>
      </c>
      <c r="O34" s="128">
        <f t="shared" si="4"/>
        <v>0</v>
      </c>
      <c r="P34" s="128">
        <f t="shared" si="3"/>
        <v>73780</v>
      </c>
      <c r="Q34" s="266"/>
      <c r="R34" s="226"/>
      <c r="S34" s="226"/>
      <c r="Y34" s="89"/>
      <c r="Z34" s="89"/>
    </row>
    <row r="35" spans="1:26" s="58" customFormat="1" ht="46.5" customHeight="1">
      <c r="A35" s="56"/>
      <c r="B35" s="55" t="s">
        <v>273</v>
      </c>
      <c r="C35" s="55" t="s">
        <v>269</v>
      </c>
      <c r="D35" s="66" t="s">
        <v>209</v>
      </c>
      <c r="E35" s="129">
        <f>'дод. 3'!F83</f>
        <v>73780</v>
      </c>
      <c r="F35" s="129">
        <f>'дод. 3'!G83</f>
        <v>73780</v>
      </c>
      <c r="G35" s="129">
        <f>'дод. 3'!H83</f>
        <v>0</v>
      </c>
      <c r="H35" s="129">
        <f>'дод. 3'!I83</f>
        <v>0</v>
      </c>
      <c r="I35" s="129">
        <f>'дод. 3'!J83</f>
        <v>0</v>
      </c>
      <c r="J35" s="129">
        <f>'дод. 3'!K83</f>
        <v>0</v>
      </c>
      <c r="K35" s="129">
        <f>'дод. 3'!L83</f>
        <v>0</v>
      </c>
      <c r="L35" s="129">
        <f>'дод. 3'!M83</f>
        <v>0</v>
      </c>
      <c r="M35" s="129">
        <f>'дод. 3'!N83</f>
        <v>0</v>
      </c>
      <c r="N35" s="129">
        <f>'дод. 3'!O83</f>
        <v>0</v>
      </c>
      <c r="O35" s="129">
        <f>'дод. 3'!P83</f>
        <v>0</v>
      </c>
      <c r="P35" s="129">
        <f t="shared" si="3"/>
        <v>73780</v>
      </c>
      <c r="Q35" s="266"/>
      <c r="R35" s="226"/>
      <c r="S35" s="226"/>
      <c r="Y35" s="151"/>
      <c r="Z35" s="151"/>
    </row>
    <row r="36" spans="2:26" ht="31.5">
      <c r="B36" s="51" t="s">
        <v>274</v>
      </c>
      <c r="C36" s="51" t="s">
        <v>269</v>
      </c>
      <c r="D36" s="65" t="s">
        <v>86</v>
      </c>
      <c r="E36" s="128">
        <f>'дод. 3'!F84</f>
        <v>57920</v>
      </c>
      <c r="F36" s="128">
        <f>'дод. 3'!G84</f>
        <v>57920</v>
      </c>
      <c r="G36" s="128">
        <f>'дод. 3'!H84</f>
        <v>0</v>
      </c>
      <c r="H36" s="128">
        <f>'дод. 3'!I84</f>
        <v>0</v>
      </c>
      <c r="I36" s="128">
        <f>'дод. 3'!J84</f>
        <v>0</v>
      </c>
      <c r="J36" s="128">
        <f>'дод. 3'!K84</f>
        <v>0</v>
      </c>
      <c r="K36" s="128">
        <f>'дод. 3'!L84</f>
        <v>0</v>
      </c>
      <c r="L36" s="128">
        <f>'дод. 3'!M84</f>
        <v>0</v>
      </c>
      <c r="M36" s="128">
        <f>'дод. 3'!N84</f>
        <v>0</v>
      </c>
      <c r="N36" s="128">
        <f>'дод. 3'!O84</f>
        <v>0</v>
      </c>
      <c r="O36" s="128">
        <f>'дод. 3'!P84</f>
        <v>0</v>
      </c>
      <c r="P36" s="128">
        <f t="shared" si="3"/>
        <v>57920</v>
      </c>
      <c r="Q36" s="242">
        <v>35</v>
      </c>
      <c r="R36" s="226"/>
      <c r="S36" s="226"/>
      <c r="Y36" s="89"/>
      <c r="Z36" s="89"/>
    </row>
    <row r="37" spans="1:26" s="97" customFormat="1" ht="23.25" customHeight="1">
      <c r="A37" s="96"/>
      <c r="B37" s="98" t="s">
        <v>275</v>
      </c>
      <c r="C37" s="62"/>
      <c r="D37" s="101" t="s">
        <v>276</v>
      </c>
      <c r="E37" s="127">
        <f>E39+E41+E43+E45+E47+E49+E55+E51</f>
        <v>325509698</v>
      </c>
      <c r="F37" s="127">
        <f aca="true" t="shared" si="5" ref="F37:P37">F39+F41+F43+F45+F47+F49+F55+F51</f>
        <v>325509698</v>
      </c>
      <c r="G37" s="127">
        <f t="shared" si="5"/>
        <v>0</v>
      </c>
      <c r="H37" s="127">
        <f t="shared" si="5"/>
        <v>0</v>
      </c>
      <c r="I37" s="127">
        <f t="shared" si="5"/>
        <v>0</v>
      </c>
      <c r="J37" s="127">
        <f t="shared" si="5"/>
        <v>54117483</v>
      </c>
      <c r="K37" s="127">
        <f t="shared" si="5"/>
        <v>12622623</v>
      </c>
      <c r="L37" s="127">
        <f t="shared" si="5"/>
        <v>0</v>
      </c>
      <c r="M37" s="127">
        <f t="shared" si="5"/>
        <v>0</v>
      </c>
      <c r="N37" s="127">
        <f t="shared" si="5"/>
        <v>41494860</v>
      </c>
      <c r="O37" s="127">
        <f t="shared" si="5"/>
        <v>41303050</v>
      </c>
      <c r="P37" s="127">
        <f t="shared" si="5"/>
        <v>379627181</v>
      </c>
      <c r="Q37" s="242"/>
      <c r="R37" s="226"/>
      <c r="S37" s="226"/>
      <c r="Y37" s="94"/>
      <c r="Z37" s="94"/>
    </row>
    <row r="38" spans="1:26" s="97" customFormat="1" ht="16.5">
      <c r="A38" s="96"/>
      <c r="B38" s="98"/>
      <c r="C38" s="62"/>
      <c r="D38" s="101" t="s">
        <v>526</v>
      </c>
      <c r="E38" s="127">
        <f>E42+E40+E44+E46+E48+E50+E56+E52</f>
        <v>243177356</v>
      </c>
      <c r="F38" s="127">
        <f aca="true" t="shared" si="6" ref="F38:P38">F42+F40+F44+F46+F48+F50+F56+F52</f>
        <v>243177356</v>
      </c>
      <c r="G38" s="127">
        <f t="shared" si="6"/>
        <v>0</v>
      </c>
      <c r="H38" s="127">
        <f t="shared" si="6"/>
        <v>0</v>
      </c>
      <c r="I38" s="127">
        <f t="shared" si="6"/>
        <v>0</v>
      </c>
      <c r="J38" s="127">
        <f t="shared" si="6"/>
        <v>0</v>
      </c>
      <c r="K38" s="127">
        <f t="shared" si="6"/>
        <v>0</v>
      </c>
      <c r="L38" s="127">
        <f t="shared" si="6"/>
        <v>0</v>
      </c>
      <c r="M38" s="127">
        <f t="shared" si="6"/>
        <v>0</v>
      </c>
      <c r="N38" s="127">
        <f t="shared" si="6"/>
        <v>0</v>
      </c>
      <c r="O38" s="127">
        <f t="shared" si="6"/>
        <v>0</v>
      </c>
      <c r="P38" s="127">
        <f t="shared" si="6"/>
        <v>243177356</v>
      </c>
      <c r="Q38" s="242"/>
      <c r="R38" s="226"/>
      <c r="S38" s="226"/>
      <c r="Y38" s="94"/>
      <c r="Z38" s="94"/>
    </row>
    <row r="39" spans="2:26" ht="18" customHeight="1">
      <c r="B39" s="51" t="s">
        <v>277</v>
      </c>
      <c r="C39" s="51" t="s">
        <v>278</v>
      </c>
      <c r="D39" s="65" t="s">
        <v>92</v>
      </c>
      <c r="E39" s="128">
        <f>'дод. 3'!F95+'дод. 3'!F252</f>
        <v>262562844</v>
      </c>
      <c r="F39" s="128">
        <f>'дод. 3'!G95+'дод. 3'!G252</f>
        <v>262562844</v>
      </c>
      <c r="G39" s="128">
        <f>'дод. 3'!H95+'дод. 3'!H252</f>
        <v>0</v>
      </c>
      <c r="H39" s="128">
        <f>'дод. 3'!I95+'дод. 3'!I252</f>
        <v>0</v>
      </c>
      <c r="I39" s="128">
        <f>'дод. 3'!J95+'дод. 3'!J252</f>
        <v>0</v>
      </c>
      <c r="J39" s="128">
        <f>'дод. 3'!K95+'дод. 3'!K252</f>
        <v>43947683</v>
      </c>
      <c r="K39" s="128">
        <f>'дод. 3'!L95+'дод. 3'!L252</f>
        <v>8677823</v>
      </c>
      <c r="L39" s="128">
        <f>'дод. 3'!M95+'дод. 3'!M252</f>
        <v>0</v>
      </c>
      <c r="M39" s="128">
        <f>'дод. 3'!N95+'дод. 3'!N252</f>
        <v>0</v>
      </c>
      <c r="N39" s="128">
        <f>'дод. 3'!O95+'дод. 3'!O252</f>
        <v>35269860</v>
      </c>
      <c r="O39" s="128">
        <f>'дод. 3'!P95+'дод. 3'!P252</f>
        <v>35078050</v>
      </c>
      <c r="P39" s="128">
        <f t="shared" si="3"/>
        <v>306510527</v>
      </c>
      <c r="Q39" s="242"/>
      <c r="R39" s="226"/>
      <c r="S39" s="226"/>
      <c r="Y39" s="89"/>
      <c r="Z39" s="89"/>
    </row>
    <row r="40" spans="3:26" ht="16.5">
      <c r="C40" s="51"/>
      <c r="D40" s="65" t="s">
        <v>526</v>
      </c>
      <c r="E40" s="128">
        <f>'дод. 3'!F96</f>
        <v>198850887</v>
      </c>
      <c r="F40" s="128">
        <f>'дод. 3'!G96</f>
        <v>198850887</v>
      </c>
      <c r="G40" s="128">
        <f>'дод. 3'!H96</f>
        <v>0</v>
      </c>
      <c r="H40" s="128">
        <f>'дод. 3'!I96</f>
        <v>0</v>
      </c>
      <c r="I40" s="128">
        <f>'дод. 3'!J96</f>
        <v>0</v>
      </c>
      <c r="J40" s="128">
        <f>'дод. 3'!K96</f>
        <v>0</v>
      </c>
      <c r="K40" s="128">
        <f>'дод. 3'!L96</f>
        <v>0</v>
      </c>
      <c r="L40" s="128">
        <f>'дод. 3'!M96</f>
        <v>0</v>
      </c>
      <c r="M40" s="128">
        <f>'дод. 3'!N96</f>
        <v>0</v>
      </c>
      <c r="N40" s="128">
        <f>'дод. 3'!O96</f>
        <v>0</v>
      </c>
      <c r="O40" s="128">
        <f>'дод. 3'!P96</f>
        <v>0</v>
      </c>
      <c r="P40" s="128">
        <f t="shared" si="3"/>
        <v>198850887</v>
      </c>
      <c r="Q40" s="242"/>
      <c r="R40" s="226"/>
      <c r="S40" s="226"/>
      <c r="Y40" s="89"/>
      <c r="Z40" s="89"/>
    </row>
    <row r="41" spans="2:26" ht="31.5">
      <c r="B41" s="51" t="s">
        <v>279</v>
      </c>
      <c r="C41" s="51" t="s">
        <v>280</v>
      </c>
      <c r="D41" s="65" t="s">
        <v>94</v>
      </c>
      <c r="E41" s="128">
        <f>'дод. 3'!F97</f>
        <v>29977760</v>
      </c>
      <c r="F41" s="128">
        <f>'дод. 3'!G97</f>
        <v>29977760</v>
      </c>
      <c r="G41" s="128">
        <f>'дод. 3'!H97</f>
        <v>0</v>
      </c>
      <c r="H41" s="128">
        <f>'дод. 3'!I97</f>
        <v>0</v>
      </c>
      <c r="I41" s="128">
        <f>'дод. 3'!J97</f>
        <v>0</v>
      </c>
      <c r="J41" s="128">
        <f>'дод. 3'!K97</f>
        <v>3524000</v>
      </c>
      <c r="K41" s="128">
        <f>'дод. 3'!L97</f>
        <v>24000</v>
      </c>
      <c r="L41" s="128">
        <f>'дод. 3'!M97</f>
        <v>0</v>
      </c>
      <c r="M41" s="128">
        <f>'дод. 3'!N97</f>
        <v>0</v>
      </c>
      <c r="N41" s="128">
        <f>'дод. 3'!O97</f>
        <v>3500000</v>
      </c>
      <c r="O41" s="128">
        <f>'дод. 3'!P97</f>
        <v>3500000</v>
      </c>
      <c r="P41" s="128">
        <f t="shared" si="3"/>
        <v>33501760</v>
      </c>
      <c r="Q41" s="242"/>
      <c r="R41" s="226"/>
      <c r="S41" s="226"/>
      <c r="Y41" s="89"/>
      <c r="Z41" s="89"/>
    </row>
    <row r="42" spans="3:26" ht="16.5">
      <c r="C42" s="51"/>
      <c r="D42" s="65" t="s">
        <v>527</v>
      </c>
      <c r="E42" s="128">
        <f>'дод. 3'!F98</f>
        <v>20152092</v>
      </c>
      <c r="F42" s="128">
        <f>'дод. 3'!G98</f>
        <v>20152092</v>
      </c>
      <c r="G42" s="128">
        <f>'дод. 3'!H98</f>
        <v>0</v>
      </c>
      <c r="H42" s="128">
        <f>'дод. 3'!I98</f>
        <v>0</v>
      </c>
      <c r="I42" s="128">
        <f>'дод. 3'!J98</f>
        <v>0</v>
      </c>
      <c r="J42" s="128">
        <f>'дод. 3'!K98</f>
        <v>0</v>
      </c>
      <c r="K42" s="128">
        <f>'дод. 3'!L98</f>
        <v>0</v>
      </c>
      <c r="L42" s="128">
        <f>'дод. 3'!M98</f>
        <v>0</v>
      </c>
      <c r="M42" s="128">
        <f>'дод. 3'!N98</f>
        <v>0</v>
      </c>
      <c r="N42" s="128">
        <f>'дод. 3'!O98</f>
        <v>0</v>
      </c>
      <c r="O42" s="128">
        <f>'дод. 3'!P98</f>
        <v>0</v>
      </c>
      <c r="P42" s="128">
        <f t="shared" si="3"/>
        <v>20152092</v>
      </c>
      <c r="Q42" s="242"/>
      <c r="R42" s="226"/>
      <c r="S42" s="226"/>
      <c r="Y42" s="89"/>
      <c r="Z42" s="89"/>
    </row>
    <row r="43" spans="2:26" ht="30" customHeight="1">
      <c r="B43" s="51" t="s">
        <v>281</v>
      </c>
      <c r="C43" s="51" t="s">
        <v>282</v>
      </c>
      <c r="D43" s="65" t="s">
        <v>416</v>
      </c>
      <c r="E43" s="128">
        <f>'дод. 3'!F99</f>
        <v>2282045</v>
      </c>
      <c r="F43" s="128">
        <f>'дод. 3'!G99</f>
        <v>2282045</v>
      </c>
      <c r="G43" s="128">
        <f>'дод. 3'!H99</f>
        <v>0</v>
      </c>
      <c r="H43" s="128">
        <f>'дод. 3'!I99</f>
        <v>0</v>
      </c>
      <c r="I43" s="128">
        <f>'дод. 3'!J99</f>
        <v>0</v>
      </c>
      <c r="J43" s="128">
        <f>'дод. 3'!K99</f>
        <v>412100</v>
      </c>
      <c r="K43" s="128">
        <f>'дод. 3'!L99</f>
        <v>412100</v>
      </c>
      <c r="L43" s="128">
        <f>'дод. 3'!M99</f>
        <v>0</v>
      </c>
      <c r="M43" s="128">
        <f>'дод. 3'!N99</f>
        <v>0</v>
      </c>
      <c r="N43" s="128">
        <f>'дод. 3'!O99</f>
        <v>0</v>
      </c>
      <c r="O43" s="128">
        <f>'дод. 3'!P99</f>
        <v>0</v>
      </c>
      <c r="P43" s="128">
        <f t="shared" si="3"/>
        <v>2694145</v>
      </c>
      <c r="Q43" s="242"/>
      <c r="R43" s="226"/>
      <c r="S43" s="226"/>
      <c r="Y43" s="89"/>
      <c r="Z43" s="89"/>
    </row>
    <row r="44" spans="3:26" ht="16.5">
      <c r="C44" s="51"/>
      <c r="D44" s="65" t="s">
        <v>527</v>
      </c>
      <c r="E44" s="128">
        <f>'дод. 3'!F100</f>
        <v>1744691</v>
      </c>
      <c r="F44" s="128">
        <f>'дод. 3'!G100</f>
        <v>1744691</v>
      </c>
      <c r="G44" s="128">
        <f>'дод. 3'!H100</f>
        <v>0</v>
      </c>
      <c r="H44" s="128">
        <f>'дод. 3'!I100</f>
        <v>0</v>
      </c>
      <c r="I44" s="128">
        <f>'дод. 3'!J100</f>
        <v>0</v>
      </c>
      <c r="J44" s="128">
        <f>'дод. 3'!K100</f>
        <v>0</v>
      </c>
      <c r="K44" s="128">
        <f>'дод. 3'!L100</f>
        <v>0</v>
      </c>
      <c r="L44" s="128">
        <f>'дод. 3'!M100</f>
        <v>0</v>
      </c>
      <c r="M44" s="128">
        <f>'дод. 3'!N100</f>
        <v>0</v>
      </c>
      <c r="N44" s="128">
        <f>'дод. 3'!O100</f>
        <v>0</v>
      </c>
      <c r="O44" s="128">
        <f>'дод. 3'!P100</f>
        <v>0</v>
      </c>
      <c r="P44" s="128">
        <f t="shared" si="3"/>
        <v>1744691</v>
      </c>
      <c r="Q44" s="242"/>
      <c r="R44" s="226"/>
      <c r="S44" s="226"/>
      <c r="Y44" s="89"/>
      <c r="Z44" s="89"/>
    </row>
    <row r="45" spans="2:26" ht="22.5" customHeight="1">
      <c r="B45" s="51" t="s">
        <v>283</v>
      </c>
      <c r="C45" s="51" t="s">
        <v>284</v>
      </c>
      <c r="D45" s="65" t="s">
        <v>96</v>
      </c>
      <c r="E45" s="128">
        <f>'дод. 3'!F101</f>
        <v>7298882</v>
      </c>
      <c r="F45" s="128">
        <f>'дод. 3'!G101</f>
        <v>7298882</v>
      </c>
      <c r="G45" s="128">
        <f>'дод. 3'!H101</f>
        <v>0</v>
      </c>
      <c r="H45" s="128">
        <f>'дод. 3'!I101</f>
        <v>0</v>
      </c>
      <c r="I45" s="128">
        <f>'дод. 3'!J101</f>
        <v>0</v>
      </c>
      <c r="J45" s="128">
        <f>'дод. 3'!K101</f>
        <v>4352000</v>
      </c>
      <c r="K45" s="128">
        <f>'дод. 3'!L101</f>
        <v>3352000</v>
      </c>
      <c r="L45" s="128">
        <f>'дод. 3'!M101</f>
        <v>0</v>
      </c>
      <c r="M45" s="128">
        <f>'дод. 3'!N101</f>
        <v>0</v>
      </c>
      <c r="N45" s="128">
        <f>'дод. 3'!O101</f>
        <v>1000000</v>
      </c>
      <c r="O45" s="128">
        <f>'дод. 3'!P101</f>
        <v>1000000</v>
      </c>
      <c r="P45" s="128">
        <f t="shared" si="3"/>
        <v>11650882</v>
      </c>
      <c r="Q45" s="242"/>
      <c r="R45" s="226"/>
      <c r="S45" s="226"/>
      <c r="Y45" s="89"/>
      <c r="Z45" s="89"/>
    </row>
    <row r="46" spans="3:26" ht="16.5">
      <c r="C46" s="51"/>
      <c r="D46" s="65" t="s">
        <v>527</v>
      </c>
      <c r="E46" s="128">
        <f>'дод. 3'!F102</f>
        <v>5156330</v>
      </c>
      <c r="F46" s="128">
        <f>'дод. 3'!G102</f>
        <v>5156330</v>
      </c>
      <c r="G46" s="128">
        <f>'дод. 3'!H102</f>
        <v>0</v>
      </c>
      <c r="H46" s="128">
        <f>'дод. 3'!I102</f>
        <v>0</v>
      </c>
      <c r="I46" s="128">
        <f>'дод. 3'!J102</f>
        <v>0</v>
      </c>
      <c r="J46" s="128">
        <f>'дод. 3'!K102</f>
        <v>0</v>
      </c>
      <c r="K46" s="128">
        <f>'дод. 3'!L102</f>
        <v>0</v>
      </c>
      <c r="L46" s="128">
        <f>'дод. 3'!M102</f>
        <v>0</v>
      </c>
      <c r="M46" s="128">
        <f>'дод. 3'!N102</f>
        <v>0</v>
      </c>
      <c r="N46" s="128">
        <f>'дод. 3'!O102</f>
        <v>0</v>
      </c>
      <c r="O46" s="128">
        <f>'дод. 3'!P102</f>
        <v>0</v>
      </c>
      <c r="P46" s="128">
        <f t="shared" si="3"/>
        <v>5156330</v>
      </c>
      <c r="Q46" s="242"/>
      <c r="R46" s="226"/>
      <c r="S46" s="226"/>
      <c r="Y46" s="89"/>
      <c r="Z46" s="89"/>
    </row>
    <row r="47" spans="2:26" ht="27" customHeight="1">
      <c r="B47" s="51" t="s">
        <v>285</v>
      </c>
      <c r="C47" s="51" t="s">
        <v>286</v>
      </c>
      <c r="D47" s="65" t="s">
        <v>98</v>
      </c>
      <c r="E47" s="128">
        <f>'дод. 3'!F103</f>
        <v>14520691</v>
      </c>
      <c r="F47" s="128">
        <f>'дод. 3'!G103</f>
        <v>14520691</v>
      </c>
      <c r="G47" s="128">
        <f>'дод. 3'!H103</f>
        <v>0</v>
      </c>
      <c r="H47" s="128">
        <f>'дод. 3'!I103</f>
        <v>0</v>
      </c>
      <c r="I47" s="128">
        <f>'дод. 3'!J103</f>
        <v>0</v>
      </c>
      <c r="J47" s="128">
        <f>'дод. 3'!K103</f>
        <v>1881700</v>
      </c>
      <c r="K47" s="128">
        <f>'дод. 3'!L103</f>
        <v>156700</v>
      </c>
      <c r="L47" s="128">
        <f>'дод. 3'!M103</f>
        <v>0</v>
      </c>
      <c r="M47" s="128">
        <f>'дод. 3'!N103</f>
        <v>0</v>
      </c>
      <c r="N47" s="128">
        <f>'дод. 3'!O103</f>
        <v>1725000</v>
      </c>
      <c r="O47" s="128">
        <f>'дод. 3'!P103</f>
        <v>1725000</v>
      </c>
      <c r="P47" s="128">
        <f t="shared" si="3"/>
        <v>16402391</v>
      </c>
      <c r="Q47" s="242"/>
      <c r="R47" s="226"/>
      <c r="S47" s="226"/>
      <c r="Y47" s="89"/>
      <c r="Z47" s="89"/>
    </row>
    <row r="48" spans="3:26" ht="16.5">
      <c r="C48" s="51"/>
      <c r="D48" s="65" t="s">
        <v>527</v>
      </c>
      <c r="E48" s="128">
        <f>'дод. 3'!F104</f>
        <v>10538125</v>
      </c>
      <c r="F48" s="128">
        <f>'дод. 3'!G104</f>
        <v>10538125</v>
      </c>
      <c r="G48" s="128">
        <f>'дод. 3'!H104</f>
        <v>0</v>
      </c>
      <c r="H48" s="128">
        <f>'дод. 3'!I104</f>
        <v>0</v>
      </c>
      <c r="I48" s="128">
        <f>'дод. 3'!J104</f>
        <v>0</v>
      </c>
      <c r="J48" s="128">
        <f>'дод. 3'!K104</f>
        <v>0</v>
      </c>
      <c r="K48" s="128">
        <f>'дод. 3'!L104</f>
        <v>0</v>
      </c>
      <c r="L48" s="128">
        <f>'дод. 3'!M104</f>
        <v>0</v>
      </c>
      <c r="M48" s="128">
        <f>'дод. 3'!N104</f>
        <v>0</v>
      </c>
      <c r="N48" s="128">
        <f>'дод. 3'!O104</f>
        <v>0</v>
      </c>
      <c r="O48" s="128">
        <f>'дод. 3'!P104</f>
        <v>0</v>
      </c>
      <c r="P48" s="128">
        <f t="shared" si="3"/>
        <v>10538125</v>
      </c>
      <c r="Q48" s="242"/>
      <c r="R48" s="226"/>
      <c r="S48" s="226"/>
      <c r="Y48" s="89"/>
      <c r="Z48" s="89"/>
    </row>
    <row r="49" spans="2:26" ht="59.25" customHeight="1">
      <c r="B49" s="51" t="s">
        <v>287</v>
      </c>
      <c r="C49" s="51" t="s">
        <v>288</v>
      </c>
      <c r="D49" s="65" t="s">
        <v>20</v>
      </c>
      <c r="E49" s="128">
        <f>'дод. 3'!F105</f>
        <v>898410</v>
      </c>
      <c r="F49" s="128">
        <f>'дод. 3'!G105</f>
        <v>898410</v>
      </c>
      <c r="G49" s="128">
        <f>'дод. 3'!H105</f>
        <v>0</v>
      </c>
      <c r="H49" s="128">
        <f>'дод. 3'!I105</f>
        <v>0</v>
      </c>
      <c r="I49" s="128">
        <f>'дод. 3'!J105</f>
        <v>0</v>
      </c>
      <c r="J49" s="128">
        <f>'дод. 3'!K105</f>
        <v>0</v>
      </c>
      <c r="K49" s="128">
        <f>'дод. 3'!L105</f>
        <v>0</v>
      </c>
      <c r="L49" s="128">
        <f>'дод. 3'!M105</f>
        <v>0</v>
      </c>
      <c r="M49" s="128">
        <f>'дод. 3'!N105</f>
        <v>0</v>
      </c>
      <c r="N49" s="128">
        <f>'дод. 3'!O105</f>
        <v>0</v>
      </c>
      <c r="O49" s="128">
        <f>'дод. 3'!P105</f>
        <v>0</v>
      </c>
      <c r="P49" s="128">
        <f t="shared" si="3"/>
        <v>898410</v>
      </c>
      <c r="Q49" s="242"/>
      <c r="R49" s="226"/>
      <c r="S49" s="226"/>
      <c r="Y49" s="89"/>
      <c r="Z49" s="89"/>
    </row>
    <row r="50" spans="3:26" ht="16.5">
      <c r="C50" s="51"/>
      <c r="D50" s="65" t="s">
        <v>527</v>
      </c>
      <c r="E50" s="128">
        <f>'дод. 3'!F106</f>
        <v>727608</v>
      </c>
      <c r="F50" s="128">
        <f>'дод. 3'!G106</f>
        <v>727608</v>
      </c>
      <c r="G50" s="128">
        <f>'дод. 3'!H106</f>
        <v>0</v>
      </c>
      <c r="H50" s="128">
        <f>'дод. 3'!I106</f>
        <v>0</v>
      </c>
      <c r="I50" s="128">
        <f>'дод. 3'!J106</f>
        <v>0</v>
      </c>
      <c r="J50" s="128">
        <f>'дод. 3'!K106</f>
        <v>0</v>
      </c>
      <c r="K50" s="128">
        <f>'дод. 3'!L106</f>
        <v>0</v>
      </c>
      <c r="L50" s="128">
        <f>'дод. 3'!M106</f>
        <v>0</v>
      </c>
      <c r="M50" s="128">
        <f>'дод. 3'!N106</f>
        <v>0</v>
      </c>
      <c r="N50" s="128">
        <f>'дод. 3'!O106</f>
        <v>0</v>
      </c>
      <c r="O50" s="128">
        <f>'дод. 3'!P106</f>
        <v>0</v>
      </c>
      <c r="P50" s="128">
        <f t="shared" si="3"/>
        <v>727608</v>
      </c>
      <c r="Q50" s="242"/>
      <c r="R50" s="226"/>
      <c r="S50" s="226"/>
      <c r="Y50" s="89"/>
      <c r="Z50" s="89"/>
    </row>
    <row r="51" spans="2:26" ht="26.25" customHeight="1">
      <c r="B51" s="149">
        <v>2210</v>
      </c>
      <c r="C51" s="149"/>
      <c r="D51" s="65" t="s">
        <v>447</v>
      </c>
      <c r="E51" s="128">
        <f>'дод. 3'!F107</f>
        <v>5312308</v>
      </c>
      <c r="F51" s="128">
        <f>'дод. 3'!G107</f>
        <v>5312308</v>
      </c>
      <c r="G51" s="128">
        <f>'дод. 3'!H107</f>
        <v>0</v>
      </c>
      <c r="H51" s="128">
        <f>'дод. 3'!I107</f>
        <v>0</v>
      </c>
      <c r="I51" s="128">
        <f>'дод. 3'!J107</f>
        <v>0</v>
      </c>
      <c r="J51" s="128">
        <f>'дод. 3'!K107</f>
        <v>0</v>
      </c>
      <c r="K51" s="128">
        <f>'дод. 3'!L107</f>
        <v>0</v>
      </c>
      <c r="L51" s="128">
        <f>'дод. 3'!M107</f>
        <v>0</v>
      </c>
      <c r="M51" s="128">
        <f>'дод. 3'!N107</f>
        <v>0</v>
      </c>
      <c r="N51" s="128">
        <f>'дод. 3'!O107</f>
        <v>0</v>
      </c>
      <c r="O51" s="128">
        <f>'дод. 3'!P107</f>
        <v>0</v>
      </c>
      <c r="P51" s="128">
        <f>'дод. 3'!Q107</f>
        <v>5312308</v>
      </c>
      <c r="Q51" s="242"/>
      <c r="R51" s="226"/>
      <c r="S51" s="226"/>
      <c r="Y51" s="89"/>
      <c r="Z51" s="89"/>
    </row>
    <row r="52" spans="2:26" ht="16.5">
      <c r="B52" s="149"/>
      <c r="C52" s="149"/>
      <c r="D52" s="65" t="s">
        <v>527</v>
      </c>
      <c r="E52" s="128">
        <f>'дод. 3'!F108</f>
        <v>5312308</v>
      </c>
      <c r="F52" s="128">
        <f>'дод. 3'!G108</f>
        <v>5312308</v>
      </c>
      <c r="G52" s="128">
        <f>'дод. 3'!H108</f>
        <v>0</v>
      </c>
      <c r="H52" s="128">
        <f>'дод. 3'!I108</f>
        <v>0</v>
      </c>
      <c r="I52" s="128">
        <f>'дод. 3'!J108</f>
        <v>0</v>
      </c>
      <c r="J52" s="128">
        <f>'дод. 3'!K108</f>
        <v>0</v>
      </c>
      <c r="K52" s="128">
        <f>'дод. 3'!L108</f>
        <v>0</v>
      </c>
      <c r="L52" s="128">
        <f>'дод. 3'!M108</f>
        <v>0</v>
      </c>
      <c r="M52" s="128">
        <f>'дод. 3'!N108</f>
        <v>0</v>
      </c>
      <c r="N52" s="128">
        <f>'дод. 3'!O108</f>
        <v>0</v>
      </c>
      <c r="O52" s="128">
        <f>'дод. 3'!P108</f>
        <v>0</v>
      </c>
      <c r="P52" s="128">
        <f>'дод. 3'!Q108</f>
        <v>5312308</v>
      </c>
      <c r="Q52" s="242"/>
      <c r="R52" s="226"/>
      <c r="S52" s="226"/>
      <c r="Y52" s="89"/>
      <c r="Z52" s="89"/>
    </row>
    <row r="53" spans="1:26" s="58" customFormat="1" ht="36.75" customHeight="1">
      <c r="A53" s="56"/>
      <c r="B53" s="150">
        <v>2214</v>
      </c>
      <c r="C53" s="55" t="s">
        <v>288</v>
      </c>
      <c r="D53" s="66" t="s">
        <v>448</v>
      </c>
      <c r="E53" s="129">
        <f>'дод. 3'!F109</f>
        <v>5312308</v>
      </c>
      <c r="F53" s="129">
        <f>'дод. 3'!G109</f>
        <v>5312308</v>
      </c>
      <c r="G53" s="129">
        <f>'дод. 3'!H109</f>
        <v>0</v>
      </c>
      <c r="H53" s="129">
        <f>'дод. 3'!I109</f>
        <v>0</v>
      </c>
      <c r="I53" s="129">
        <f>'дод. 3'!J109</f>
        <v>0</v>
      </c>
      <c r="J53" s="129">
        <f>'дод. 3'!K109</f>
        <v>0</v>
      </c>
      <c r="K53" s="129">
        <f>'дод. 3'!L109</f>
        <v>0</v>
      </c>
      <c r="L53" s="129">
        <f>'дод. 3'!M109</f>
        <v>0</v>
      </c>
      <c r="M53" s="129">
        <f>'дод. 3'!N109</f>
        <v>0</v>
      </c>
      <c r="N53" s="129">
        <f>'дод. 3'!O109</f>
        <v>0</v>
      </c>
      <c r="O53" s="129">
        <f>'дод. 3'!P109</f>
        <v>0</v>
      </c>
      <c r="P53" s="129">
        <f>'дод. 3'!Q109</f>
        <v>5312308</v>
      </c>
      <c r="Q53" s="242"/>
      <c r="R53" s="226"/>
      <c r="S53" s="226"/>
      <c r="Y53" s="151"/>
      <c r="Z53" s="151"/>
    </row>
    <row r="54" spans="1:26" s="58" customFormat="1" ht="18" customHeight="1">
      <c r="A54" s="56"/>
      <c r="B54" s="150"/>
      <c r="C54" s="55"/>
      <c r="D54" s="66" t="s">
        <v>527</v>
      </c>
      <c r="E54" s="129">
        <f>'дод. 3'!F110</f>
        <v>5312308</v>
      </c>
      <c r="F54" s="129">
        <f>'дод. 3'!G110</f>
        <v>5312308</v>
      </c>
      <c r="G54" s="129">
        <f>'дод. 3'!H110</f>
        <v>0</v>
      </c>
      <c r="H54" s="129">
        <f>'дод. 3'!I110</f>
        <v>0</v>
      </c>
      <c r="I54" s="129">
        <f>'дод. 3'!J110</f>
        <v>0</v>
      </c>
      <c r="J54" s="129">
        <f>'дод. 3'!K110</f>
        <v>0</v>
      </c>
      <c r="K54" s="129">
        <f>'дод. 3'!L110</f>
        <v>0</v>
      </c>
      <c r="L54" s="129">
        <f>'дод. 3'!M110</f>
        <v>0</v>
      </c>
      <c r="M54" s="129">
        <f>'дод. 3'!N110</f>
        <v>0</v>
      </c>
      <c r="N54" s="129">
        <f>'дод. 3'!O110</f>
        <v>0</v>
      </c>
      <c r="O54" s="129">
        <f>'дод. 3'!P110</f>
        <v>0</v>
      </c>
      <c r="P54" s="129">
        <f>'дод. 3'!Q110</f>
        <v>5312308</v>
      </c>
      <c r="Q54" s="242"/>
      <c r="R54" s="226"/>
      <c r="S54" s="226"/>
      <c r="Y54" s="151"/>
      <c r="Z54" s="151"/>
    </row>
    <row r="55" spans="2:26" ht="16.5">
      <c r="B55" s="51" t="s">
        <v>289</v>
      </c>
      <c r="C55" s="51" t="s">
        <v>288</v>
      </c>
      <c r="D55" s="65" t="s">
        <v>100</v>
      </c>
      <c r="E55" s="128">
        <f>E57+E59</f>
        <v>2656758</v>
      </c>
      <c r="F55" s="128">
        <f aca="true" t="shared" si="7" ref="F55:O55">F57+F59</f>
        <v>2656758</v>
      </c>
      <c r="G55" s="128">
        <f t="shared" si="7"/>
        <v>0</v>
      </c>
      <c r="H55" s="128">
        <f t="shared" si="7"/>
        <v>0</v>
      </c>
      <c r="I55" s="128">
        <f t="shared" si="7"/>
        <v>0</v>
      </c>
      <c r="J55" s="128">
        <f t="shared" si="7"/>
        <v>0</v>
      </c>
      <c r="K55" s="128">
        <f t="shared" si="7"/>
        <v>0</v>
      </c>
      <c r="L55" s="128">
        <f t="shared" si="7"/>
        <v>0</v>
      </c>
      <c r="M55" s="128">
        <f t="shared" si="7"/>
        <v>0</v>
      </c>
      <c r="N55" s="128">
        <f t="shared" si="7"/>
        <v>0</v>
      </c>
      <c r="O55" s="128">
        <f t="shared" si="7"/>
        <v>0</v>
      </c>
      <c r="P55" s="128">
        <f t="shared" si="3"/>
        <v>2656758</v>
      </c>
      <c r="Q55" s="242"/>
      <c r="R55" s="226"/>
      <c r="S55" s="226"/>
      <c r="Y55" s="89"/>
      <c r="Z55" s="89"/>
    </row>
    <row r="56" spans="3:26" ht="16.5">
      <c r="C56" s="51"/>
      <c r="D56" s="65" t="s">
        <v>527</v>
      </c>
      <c r="E56" s="128">
        <f>E58</f>
        <v>695315</v>
      </c>
      <c r="F56" s="128">
        <f>F58</f>
        <v>695315</v>
      </c>
      <c r="G56" s="128">
        <f aca="true" t="shared" si="8" ref="G56:P56">G58</f>
        <v>0</v>
      </c>
      <c r="H56" s="128">
        <f t="shared" si="8"/>
        <v>0</v>
      </c>
      <c r="I56" s="128">
        <f t="shared" si="8"/>
        <v>0</v>
      </c>
      <c r="J56" s="128">
        <f t="shared" si="8"/>
        <v>0</v>
      </c>
      <c r="K56" s="128">
        <f t="shared" si="8"/>
        <v>0</v>
      </c>
      <c r="L56" s="128">
        <f t="shared" si="8"/>
        <v>0</v>
      </c>
      <c r="M56" s="128">
        <f t="shared" si="8"/>
        <v>0</v>
      </c>
      <c r="N56" s="128">
        <f t="shared" si="8"/>
        <v>0</v>
      </c>
      <c r="O56" s="128">
        <f t="shared" si="8"/>
        <v>0</v>
      </c>
      <c r="P56" s="128">
        <f t="shared" si="8"/>
        <v>695315</v>
      </c>
      <c r="Q56" s="242"/>
      <c r="R56" s="226"/>
      <c r="S56" s="226"/>
      <c r="Y56" s="89"/>
      <c r="Z56" s="89"/>
    </row>
    <row r="57" spans="1:26" s="58" customFormat="1" ht="31.5">
      <c r="A57" s="56"/>
      <c r="B57" s="55" t="s">
        <v>289</v>
      </c>
      <c r="C57" s="55" t="s">
        <v>288</v>
      </c>
      <c r="D57" s="66" t="s">
        <v>102</v>
      </c>
      <c r="E57" s="129">
        <f>'дод. 3'!F113</f>
        <v>826395</v>
      </c>
      <c r="F57" s="129">
        <f>'дод. 3'!G113</f>
        <v>826395</v>
      </c>
      <c r="G57" s="129">
        <f>'дод. 3'!H113</f>
        <v>0</v>
      </c>
      <c r="H57" s="129">
        <f>'дод. 3'!I113</f>
        <v>0</v>
      </c>
      <c r="I57" s="129">
        <f>'дод. 3'!J113</f>
        <v>0</v>
      </c>
      <c r="J57" s="129">
        <f>'дод. 3'!K113</f>
        <v>0</v>
      </c>
      <c r="K57" s="129">
        <f>'дод. 3'!L113</f>
        <v>0</v>
      </c>
      <c r="L57" s="129">
        <f>'дод. 3'!M113</f>
        <v>0</v>
      </c>
      <c r="M57" s="129">
        <f>'дод. 3'!N113</f>
        <v>0</v>
      </c>
      <c r="N57" s="129">
        <f>'дод. 3'!O113</f>
        <v>0</v>
      </c>
      <c r="O57" s="129">
        <f>'дод. 3'!P113</f>
        <v>0</v>
      </c>
      <c r="P57" s="129">
        <f t="shared" si="3"/>
        <v>826395</v>
      </c>
      <c r="Q57" s="242"/>
      <c r="R57" s="226"/>
      <c r="S57" s="226"/>
      <c r="Y57" s="151"/>
      <c r="Z57" s="151"/>
    </row>
    <row r="58" spans="1:26" s="58" customFormat="1" ht="18.75" customHeight="1">
      <c r="A58" s="56"/>
      <c r="B58" s="55"/>
      <c r="C58" s="55"/>
      <c r="D58" s="66" t="s">
        <v>527</v>
      </c>
      <c r="E58" s="129">
        <f>'дод. 3'!F114</f>
        <v>695315</v>
      </c>
      <c r="F58" s="129">
        <f>'дод. 3'!G114</f>
        <v>695315</v>
      </c>
      <c r="G58" s="129">
        <f>'дод. 3'!H114</f>
        <v>0</v>
      </c>
      <c r="H58" s="129">
        <f>'дод. 3'!I114</f>
        <v>0</v>
      </c>
      <c r="I58" s="129">
        <f>'дод. 3'!J114</f>
        <v>0</v>
      </c>
      <c r="J58" s="129">
        <f>'дод. 3'!K114</f>
        <v>0</v>
      </c>
      <c r="K58" s="129">
        <f>'дод. 3'!L114</f>
        <v>0</v>
      </c>
      <c r="L58" s="129">
        <f>'дод. 3'!M114</f>
        <v>0</v>
      </c>
      <c r="M58" s="129">
        <f>'дод. 3'!N114</f>
        <v>0</v>
      </c>
      <c r="N58" s="129">
        <f>'дод. 3'!O114</f>
        <v>0</v>
      </c>
      <c r="O58" s="129">
        <f>'дод. 3'!P114</f>
        <v>0</v>
      </c>
      <c r="P58" s="129">
        <f t="shared" si="3"/>
        <v>695315</v>
      </c>
      <c r="Q58" s="242"/>
      <c r="R58" s="226"/>
      <c r="S58" s="226"/>
      <c r="Y58" s="151"/>
      <c r="Z58" s="151"/>
    </row>
    <row r="59" spans="1:26" s="58" customFormat="1" ht="16.5">
      <c r="A59" s="56"/>
      <c r="B59" s="55" t="s">
        <v>289</v>
      </c>
      <c r="C59" s="55" t="s">
        <v>288</v>
      </c>
      <c r="D59" s="66" t="s">
        <v>103</v>
      </c>
      <c r="E59" s="129">
        <f>'дод. 3'!F115</f>
        <v>1830363</v>
      </c>
      <c r="F59" s="129">
        <f>'дод. 3'!G115</f>
        <v>1830363</v>
      </c>
      <c r="G59" s="129">
        <f>'дод. 3'!H115</f>
        <v>0</v>
      </c>
      <c r="H59" s="129">
        <f>'дод. 3'!I115</f>
        <v>0</v>
      </c>
      <c r="I59" s="129">
        <f>'дод. 3'!J115</f>
        <v>0</v>
      </c>
      <c r="J59" s="129">
        <f>'дод. 3'!K115</f>
        <v>0</v>
      </c>
      <c r="K59" s="129">
        <f>'дод. 3'!L115</f>
        <v>0</v>
      </c>
      <c r="L59" s="129">
        <f>'дод. 3'!M115</f>
        <v>0</v>
      </c>
      <c r="M59" s="129">
        <f>'дод. 3'!N115</f>
        <v>0</v>
      </c>
      <c r="N59" s="129">
        <f>'дод. 3'!O115</f>
        <v>0</v>
      </c>
      <c r="O59" s="129">
        <f>'дод. 3'!P115</f>
        <v>0</v>
      </c>
      <c r="P59" s="129">
        <f t="shared" si="3"/>
        <v>1830363</v>
      </c>
      <c r="Q59" s="242"/>
      <c r="R59" s="226"/>
      <c r="S59" s="226"/>
      <c r="Y59" s="151"/>
      <c r="Z59" s="151"/>
    </row>
    <row r="60" spans="1:26" s="97" customFormat="1" ht="25.5" customHeight="1">
      <c r="A60" s="96"/>
      <c r="B60" s="98" t="s">
        <v>290</v>
      </c>
      <c r="C60" s="62"/>
      <c r="D60" s="101" t="s">
        <v>291</v>
      </c>
      <c r="E60" s="127">
        <f>E85+E112+E116+E118+E126+E130+E131+E134+E135+E136+E139+E143+E120+E123+E125+E62+E77+E92+E113+E115</f>
        <v>659777792.2</v>
      </c>
      <c r="F60" s="127">
        <f aca="true" t="shared" si="9" ref="F60:P60">F85+F112+F116+F118+F126+F130+F131+F134+F135+F136+F139+F143+F120+F123+F125+F62+F77+F92+F113+F115</f>
        <v>659777792.2</v>
      </c>
      <c r="G60" s="127">
        <f t="shared" si="9"/>
        <v>10539765</v>
      </c>
      <c r="H60" s="127">
        <f t="shared" si="9"/>
        <v>1127600</v>
      </c>
      <c r="I60" s="127">
        <f t="shared" si="9"/>
        <v>0</v>
      </c>
      <c r="J60" s="127">
        <f t="shared" si="9"/>
        <v>1088915</v>
      </c>
      <c r="K60" s="127">
        <f t="shared" si="9"/>
        <v>48900</v>
      </c>
      <c r="L60" s="127">
        <f t="shared" si="9"/>
        <v>39000</v>
      </c>
      <c r="M60" s="127">
        <f t="shared" si="9"/>
        <v>0</v>
      </c>
      <c r="N60" s="127">
        <f t="shared" si="9"/>
        <v>1040015</v>
      </c>
      <c r="O60" s="127">
        <f t="shared" si="9"/>
        <v>1040015</v>
      </c>
      <c r="P60" s="127">
        <f t="shared" si="9"/>
        <v>660866707.2</v>
      </c>
      <c r="Q60" s="242"/>
      <c r="R60" s="226"/>
      <c r="S60" s="226"/>
      <c r="Y60" s="94"/>
      <c r="Z60" s="94"/>
    </row>
    <row r="61" spans="1:26" s="97" customFormat="1" ht="17.25" customHeight="1">
      <c r="A61" s="96"/>
      <c r="B61" s="98"/>
      <c r="C61" s="62"/>
      <c r="D61" s="101" t="s">
        <v>526</v>
      </c>
      <c r="E61" s="127">
        <f>E63+E78+E93+E114</f>
        <v>583918500</v>
      </c>
      <c r="F61" s="127">
        <f aca="true" t="shared" si="10" ref="F61:P61">F63+F78+F93+F114</f>
        <v>583918500</v>
      </c>
      <c r="G61" s="127">
        <f t="shared" si="10"/>
        <v>0</v>
      </c>
      <c r="H61" s="127">
        <f t="shared" si="10"/>
        <v>0</v>
      </c>
      <c r="I61" s="127">
        <f t="shared" si="10"/>
        <v>0</v>
      </c>
      <c r="J61" s="127">
        <f t="shared" si="10"/>
        <v>0</v>
      </c>
      <c r="K61" s="127">
        <f t="shared" si="10"/>
        <v>0</v>
      </c>
      <c r="L61" s="127">
        <f t="shared" si="10"/>
        <v>0</v>
      </c>
      <c r="M61" s="127">
        <f t="shared" si="10"/>
        <v>0</v>
      </c>
      <c r="N61" s="127">
        <f t="shared" si="10"/>
        <v>0</v>
      </c>
      <c r="O61" s="127">
        <f t="shared" si="10"/>
        <v>0</v>
      </c>
      <c r="P61" s="127">
        <f t="shared" si="10"/>
        <v>583918500</v>
      </c>
      <c r="Q61" s="242"/>
      <c r="R61" s="226"/>
      <c r="S61" s="226"/>
      <c r="Y61" s="94"/>
      <c r="Z61" s="94"/>
    </row>
    <row r="62" spans="1:26" s="97" customFormat="1" ht="72.75" customHeight="1">
      <c r="A62" s="96"/>
      <c r="B62" s="152" t="s">
        <v>451</v>
      </c>
      <c r="C62" s="152"/>
      <c r="D62" s="71" t="s">
        <v>452</v>
      </c>
      <c r="E62" s="128">
        <f>'дод. 3'!F123</f>
        <v>266900900</v>
      </c>
      <c r="F62" s="128">
        <f>'дод. 3'!G123</f>
        <v>266900900</v>
      </c>
      <c r="G62" s="128">
        <f>'дод. 3'!H123</f>
        <v>0</v>
      </c>
      <c r="H62" s="128">
        <f>'дод. 3'!I123</f>
        <v>0</v>
      </c>
      <c r="I62" s="128">
        <f>'дод. 3'!J123</f>
        <v>0</v>
      </c>
      <c r="J62" s="128">
        <f>'дод. 3'!K123</f>
        <v>0</v>
      </c>
      <c r="K62" s="128">
        <f>'дод. 3'!L123</f>
        <v>0</v>
      </c>
      <c r="L62" s="128">
        <f>'дод. 3'!M123</f>
        <v>0</v>
      </c>
      <c r="M62" s="128">
        <f>'дод. 3'!N123</f>
        <v>0</v>
      </c>
      <c r="N62" s="128">
        <f>'дод. 3'!O123</f>
        <v>0</v>
      </c>
      <c r="O62" s="128">
        <f>'дод. 3'!P123</f>
        <v>0</v>
      </c>
      <c r="P62" s="128">
        <f>'дод. 3'!Q123</f>
        <v>266900900</v>
      </c>
      <c r="Q62" s="242"/>
      <c r="R62" s="226"/>
      <c r="S62" s="226"/>
      <c r="Y62" s="94"/>
      <c r="Z62" s="94"/>
    </row>
    <row r="63" spans="1:26" s="97" customFormat="1" ht="25.5" customHeight="1">
      <c r="A63" s="96"/>
      <c r="B63" s="152"/>
      <c r="C63" s="152"/>
      <c r="D63" s="65" t="s">
        <v>527</v>
      </c>
      <c r="E63" s="128">
        <f>'дод. 3'!F124</f>
        <v>266900900</v>
      </c>
      <c r="F63" s="128">
        <f>'дод. 3'!G124</f>
        <v>266900900</v>
      </c>
      <c r="G63" s="128">
        <f>'дод. 3'!H124</f>
        <v>0</v>
      </c>
      <c r="H63" s="128">
        <f>'дод. 3'!I124</f>
        <v>0</v>
      </c>
      <c r="I63" s="128">
        <f>'дод. 3'!J124</f>
        <v>0</v>
      </c>
      <c r="J63" s="128">
        <f>'дод. 3'!K124</f>
        <v>0</v>
      </c>
      <c r="K63" s="128">
        <f>'дод. 3'!L124</f>
        <v>0</v>
      </c>
      <c r="L63" s="128">
        <f>'дод. 3'!M124</f>
        <v>0</v>
      </c>
      <c r="M63" s="128">
        <f>'дод. 3'!N124</f>
        <v>0</v>
      </c>
      <c r="N63" s="128">
        <f>'дод. 3'!O124</f>
        <v>0</v>
      </c>
      <c r="O63" s="128">
        <f>'дод. 3'!P124</f>
        <v>0</v>
      </c>
      <c r="P63" s="128">
        <f>'дод. 3'!Q124</f>
        <v>266900900</v>
      </c>
      <c r="Q63" s="242"/>
      <c r="R63" s="226"/>
      <c r="S63" s="226"/>
      <c r="Y63" s="94"/>
      <c r="Z63" s="94"/>
    </row>
    <row r="64" spans="1:26" s="159" customFormat="1" ht="198" customHeight="1">
      <c r="A64" s="157"/>
      <c r="B64" s="154" t="s">
        <v>454</v>
      </c>
      <c r="C64" s="154" t="s">
        <v>260</v>
      </c>
      <c r="D64" s="72" t="s">
        <v>455</v>
      </c>
      <c r="E64" s="129">
        <f>'дод. 3'!F125</f>
        <v>10254500</v>
      </c>
      <c r="F64" s="129">
        <f>'дод. 3'!G125</f>
        <v>10254500</v>
      </c>
      <c r="G64" s="129">
        <f>'дод. 3'!H125</f>
        <v>0</v>
      </c>
      <c r="H64" s="129">
        <f>'дод. 3'!I125</f>
        <v>0</v>
      </c>
      <c r="I64" s="129">
        <f>'дод. 3'!J125</f>
        <v>0</v>
      </c>
      <c r="J64" s="129">
        <f>'дод. 3'!K125</f>
        <v>0</v>
      </c>
      <c r="K64" s="129">
        <f>'дод. 3'!L125</f>
        <v>0</v>
      </c>
      <c r="L64" s="129">
        <f>'дод. 3'!M125</f>
        <v>0</v>
      </c>
      <c r="M64" s="129">
        <f>'дод. 3'!N125</f>
        <v>0</v>
      </c>
      <c r="N64" s="129">
        <f>'дод. 3'!O125</f>
        <v>0</v>
      </c>
      <c r="O64" s="129">
        <f>'дод. 3'!P125</f>
        <v>0</v>
      </c>
      <c r="P64" s="129">
        <f>'дод. 3'!Q125</f>
        <v>10254500</v>
      </c>
      <c r="Q64" s="242"/>
      <c r="R64" s="226"/>
      <c r="S64" s="226"/>
      <c r="Y64" s="158"/>
      <c r="Z64" s="158"/>
    </row>
    <row r="65" spans="1:26" s="159" customFormat="1" ht="25.5" customHeight="1">
      <c r="A65" s="157"/>
      <c r="B65" s="154"/>
      <c r="C65" s="154"/>
      <c r="D65" s="66" t="s">
        <v>527</v>
      </c>
      <c r="E65" s="174">
        <f>'дод. 3'!F126</f>
        <v>10254500</v>
      </c>
      <c r="F65" s="174">
        <f>'дод. 3'!G126</f>
        <v>10254500</v>
      </c>
      <c r="G65" s="174">
        <f>'дод. 3'!H126</f>
        <v>0</v>
      </c>
      <c r="H65" s="174">
        <f>'дод. 3'!I126</f>
        <v>0</v>
      </c>
      <c r="I65" s="174">
        <f>'дод. 3'!J126</f>
        <v>0</v>
      </c>
      <c r="J65" s="174">
        <f>'дод. 3'!K126</f>
        <v>0</v>
      </c>
      <c r="K65" s="174">
        <f>'дод. 3'!L126</f>
        <v>0</v>
      </c>
      <c r="L65" s="174">
        <f>'дод. 3'!M126</f>
        <v>0</v>
      </c>
      <c r="M65" s="174">
        <f>'дод. 3'!N126</f>
        <v>0</v>
      </c>
      <c r="N65" s="174">
        <f>'дод. 3'!O126</f>
        <v>0</v>
      </c>
      <c r="O65" s="174">
        <f>'дод. 3'!P126</f>
        <v>0</v>
      </c>
      <c r="P65" s="174">
        <f>'дод. 3'!Q126</f>
        <v>10254500</v>
      </c>
      <c r="Q65" s="242"/>
      <c r="R65" s="226"/>
      <c r="S65" s="226"/>
      <c r="Y65" s="158"/>
      <c r="Z65" s="158"/>
    </row>
    <row r="66" spans="1:26" s="159" customFormat="1" ht="264.75" customHeight="1">
      <c r="A66" s="157"/>
      <c r="B66" s="243" t="s">
        <v>457</v>
      </c>
      <c r="C66" s="245" t="s">
        <v>260</v>
      </c>
      <c r="D66" s="173" t="s">
        <v>510</v>
      </c>
      <c r="E66" s="196">
        <f>'дод. 3'!F127</f>
        <v>1663400</v>
      </c>
      <c r="F66" s="196">
        <f>'дод. 3'!G127</f>
        <v>1663400</v>
      </c>
      <c r="G66" s="196">
        <f>'дод. 3'!H127</f>
        <v>0</v>
      </c>
      <c r="H66" s="196">
        <f>'дод. 3'!I127</f>
        <v>0</v>
      </c>
      <c r="I66" s="196">
        <f>'дод. 3'!J127</f>
        <v>0</v>
      </c>
      <c r="J66" s="196">
        <f>'дод. 3'!K127</f>
        <v>0</v>
      </c>
      <c r="K66" s="196">
        <f>'дод. 3'!L127</f>
        <v>0</v>
      </c>
      <c r="L66" s="196">
        <f>'дод. 3'!M127</f>
        <v>0</v>
      </c>
      <c r="M66" s="196">
        <f>'дод. 3'!N127</f>
        <v>0</v>
      </c>
      <c r="N66" s="196">
        <f>'дод. 3'!O127</f>
        <v>0</v>
      </c>
      <c r="O66" s="196">
        <f>'дод. 3'!P127</f>
        <v>0</v>
      </c>
      <c r="P66" s="196">
        <f>'дод. 3'!Q127</f>
        <v>1663400</v>
      </c>
      <c r="Q66" s="242">
        <v>36</v>
      </c>
      <c r="R66" s="226"/>
      <c r="S66" s="226"/>
      <c r="Y66" s="158"/>
      <c r="Z66" s="158"/>
    </row>
    <row r="67" spans="1:26" s="159" customFormat="1" ht="224.25" customHeight="1">
      <c r="A67" s="157"/>
      <c r="B67" s="244"/>
      <c r="C67" s="267"/>
      <c r="D67" s="57" t="s">
        <v>458</v>
      </c>
      <c r="E67" s="175">
        <f>'дод. 3'!F128</f>
        <v>0</v>
      </c>
      <c r="F67" s="175">
        <f>'дод. 3'!G128</f>
        <v>0</v>
      </c>
      <c r="G67" s="175">
        <f>'дод. 3'!H128</f>
        <v>0</v>
      </c>
      <c r="H67" s="175">
        <f>'дод. 3'!I128</f>
        <v>0</v>
      </c>
      <c r="I67" s="175">
        <f>'дод. 3'!J128</f>
        <v>0</v>
      </c>
      <c r="J67" s="175">
        <f>'дод. 3'!K128</f>
        <v>0</v>
      </c>
      <c r="K67" s="175">
        <f>'дод. 3'!L128</f>
        <v>0</v>
      </c>
      <c r="L67" s="175">
        <f>'дод. 3'!M128</f>
        <v>0</v>
      </c>
      <c r="M67" s="175">
        <f>'дод. 3'!N128</f>
        <v>0</v>
      </c>
      <c r="N67" s="175">
        <f>'дод. 3'!O128</f>
        <v>0</v>
      </c>
      <c r="O67" s="175">
        <f>'дод. 3'!P128</f>
        <v>0</v>
      </c>
      <c r="P67" s="175">
        <f>'дод. 3'!Q128</f>
        <v>0</v>
      </c>
      <c r="Q67" s="242"/>
      <c r="R67" s="226"/>
      <c r="S67" s="226"/>
      <c r="Y67" s="158"/>
      <c r="Z67" s="158"/>
    </row>
    <row r="68" spans="1:26" s="159" customFormat="1" ht="25.5" customHeight="1">
      <c r="A68" s="157"/>
      <c r="B68" s="154"/>
      <c r="C68" s="154"/>
      <c r="D68" s="66" t="s">
        <v>527</v>
      </c>
      <c r="E68" s="175">
        <f>'дод. 3'!F129</f>
        <v>1663400</v>
      </c>
      <c r="F68" s="175">
        <f>'дод. 3'!G129</f>
        <v>1663400</v>
      </c>
      <c r="G68" s="175">
        <f>'дод. 3'!H129</f>
        <v>0</v>
      </c>
      <c r="H68" s="175">
        <f>'дод. 3'!I129</f>
        <v>0</v>
      </c>
      <c r="I68" s="175">
        <f>'дод. 3'!J129</f>
        <v>0</v>
      </c>
      <c r="J68" s="175">
        <f>'дод. 3'!K129</f>
        <v>0</v>
      </c>
      <c r="K68" s="175">
        <f>'дод. 3'!L129</f>
        <v>0</v>
      </c>
      <c r="L68" s="175">
        <f>'дод. 3'!M129</f>
        <v>0</v>
      </c>
      <c r="M68" s="175">
        <f>'дод. 3'!N129</f>
        <v>0</v>
      </c>
      <c r="N68" s="175">
        <f>'дод. 3'!O129</f>
        <v>0</v>
      </c>
      <c r="O68" s="175">
        <f>'дод. 3'!P129</f>
        <v>0</v>
      </c>
      <c r="P68" s="175">
        <f>'дод. 3'!Q129</f>
        <v>1663400</v>
      </c>
      <c r="Q68" s="242"/>
      <c r="R68" s="226"/>
      <c r="S68" s="226"/>
      <c r="Y68" s="158"/>
      <c r="Z68" s="158"/>
    </row>
    <row r="69" spans="1:26" s="159" customFormat="1" ht="107.25" customHeight="1">
      <c r="A69" s="157"/>
      <c r="B69" s="154" t="s">
        <v>460</v>
      </c>
      <c r="C69" s="154" t="s">
        <v>262</v>
      </c>
      <c r="D69" s="72" t="s">
        <v>461</v>
      </c>
      <c r="E69" s="129">
        <f>'дод. 3'!F130</f>
        <v>1184400</v>
      </c>
      <c r="F69" s="129">
        <f>'дод. 3'!G130</f>
        <v>1184400</v>
      </c>
      <c r="G69" s="129">
        <f>'дод. 3'!H130</f>
        <v>0</v>
      </c>
      <c r="H69" s="129">
        <f>'дод. 3'!I130</f>
        <v>0</v>
      </c>
      <c r="I69" s="129">
        <f>'дод. 3'!J130</f>
        <v>0</v>
      </c>
      <c r="J69" s="129">
        <f>'дод. 3'!K130</f>
        <v>0</v>
      </c>
      <c r="K69" s="129">
        <f>'дод. 3'!L130</f>
        <v>0</v>
      </c>
      <c r="L69" s="129">
        <f>'дод. 3'!M130</f>
        <v>0</v>
      </c>
      <c r="M69" s="129">
        <f>'дод. 3'!N130</f>
        <v>0</v>
      </c>
      <c r="N69" s="129">
        <f>'дод. 3'!O130</f>
        <v>0</v>
      </c>
      <c r="O69" s="129">
        <f>'дод. 3'!P130</f>
        <v>0</v>
      </c>
      <c r="P69" s="129">
        <f>'дод. 3'!Q130</f>
        <v>1184400</v>
      </c>
      <c r="Q69" s="242"/>
      <c r="R69" s="226"/>
      <c r="S69" s="226"/>
      <c r="Y69" s="158"/>
      <c r="Z69" s="158"/>
    </row>
    <row r="70" spans="1:26" s="159" customFormat="1" ht="25.5" customHeight="1">
      <c r="A70" s="157"/>
      <c r="B70" s="154"/>
      <c r="C70" s="154"/>
      <c r="D70" s="66" t="s">
        <v>527</v>
      </c>
      <c r="E70" s="129">
        <f>'дод. 3'!F131</f>
        <v>1184400</v>
      </c>
      <c r="F70" s="129">
        <f>'дод. 3'!G131</f>
        <v>1184400</v>
      </c>
      <c r="G70" s="129">
        <f>'дод. 3'!H131</f>
        <v>0</v>
      </c>
      <c r="H70" s="129">
        <f>'дод. 3'!I131</f>
        <v>0</v>
      </c>
      <c r="I70" s="129">
        <f>'дод. 3'!J131</f>
        <v>0</v>
      </c>
      <c r="J70" s="129">
        <f>'дод. 3'!K131</f>
        <v>0</v>
      </c>
      <c r="K70" s="129">
        <f>'дод. 3'!L131</f>
        <v>0</v>
      </c>
      <c r="L70" s="129">
        <f>'дод. 3'!M131</f>
        <v>0</v>
      </c>
      <c r="M70" s="129">
        <f>'дод. 3'!N131</f>
        <v>0</v>
      </c>
      <c r="N70" s="129">
        <f>'дод. 3'!O131</f>
        <v>0</v>
      </c>
      <c r="O70" s="129">
        <f>'дод. 3'!P131</f>
        <v>0</v>
      </c>
      <c r="P70" s="129">
        <f>'дод. 3'!Q131</f>
        <v>1184400</v>
      </c>
      <c r="Q70" s="242"/>
      <c r="R70" s="226"/>
      <c r="S70" s="226"/>
      <c r="Y70" s="158"/>
      <c r="Z70" s="158"/>
    </row>
    <row r="71" spans="1:26" s="159" customFormat="1" ht="177" customHeight="1">
      <c r="A71" s="157"/>
      <c r="B71" s="154" t="s">
        <v>463</v>
      </c>
      <c r="C71" s="154" t="s">
        <v>262</v>
      </c>
      <c r="D71" s="72" t="s">
        <v>464</v>
      </c>
      <c r="E71" s="129">
        <f>'дод. 3'!F132</f>
        <v>14700</v>
      </c>
      <c r="F71" s="129">
        <f>'дод. 3'!G132</f>
        <v>14700</v>
      </c>
      <c r="G71" s="129">
        <f>'дод. 3'!H132</f>
        <v>0</v>
      </c>
      <c r="H71" s="129">
        <f>'дод. 3'!I132</f>
        <v>0</v>
      </c>
      <c r="I71" s="129">
        <f>'дод. 3'!J132</f>
        <v>0</v>
      </c>
      <c r="J71" s="129">
        <f>'дод. 3'!K132</f>
        <v>0</v>
      </c>
      <c r="K71" s="129">
        <f>'дод. 3'!L132</f>
        <v>0</v>
      </c>
      <c r="L71" s="129">
        <f>'дод. 3'!M132</f>
        <v>0</v>
      </c>
      <c r="M71" s="129">
        <f>'дод. 3'!N132</f>
        <v>0</v>
      </c>
      <c r="N71" s="129">
        <f>'дод. 3'!O132</f>
        <v>0</v>
      </c>
      <c r="O71" s="129">
        <f>'дод. 3'!P132</f>
        <v>0</v>
      </c>
      <c r="P71" s="129">
        <f>'дод. 3'!Q132</f>
        <v>14700</v>
      </c>
      <c r="Q71" s="242"/>
      <c r="R71" s="226"/>
      <c r="S71" s="226"/>
      <c r="Y71" s="158"/>
      <c r="Z71" s="158"/>
    </row>
    <row r="72" spans="1:26" s="159" customFormat="1" ht="25.5" customHeight="1">
      <c r="A72" s="157"/>
      <c r="B72" s="154"/>
      <c r="C72" s="154"/>
      <c r="D72" s="66" t="s">
        <v>527</v>
      </c>
      <c r="E72" s="129">
        <f>'дод. 3'!F133</f>
        <v>14700</v>
      </c>
      <c r="F72" s="129">
        <f>'дод. 3'!G133</f>
        <v>14700</v>
      </c>
      <c r="G72" s="129">
        <f>'дод. 3'!H133</f>
        <v>0</v>
      </c>
      <c r="H72" s="129">
        <f>'дод. 3'!I133</f>
        <v>0</v>
      </c>
      <c r="I72" s="129">
        <f>'дод. 3'!J133</f>
        <v>0</v>
      </c>
      <c r="J72" s="129">
        <f>'дод. 3'!K133</f>
        <v>0</v>
      </c>
      <c r="K72" s="129">
        <f>'дод. 3'!L133</f>
        <v>0</v>
      </c>
      <c r="L72" s="129">
        <f>'дод. 3'!M133</f>
        <v>0</v>
      </c>
      <c r="M72" s="129">
        <f>'дод. 3'!N133</f>
        <v>0</v>
      </c>
      <c r="N72" s="129">
        <f>'дод. 3'!O133</f>
        <v>0</v>
      </c>
      <c r="O72" s="129">
        <f>'дод. 3'!P133</f>
        <v>0</v>
      </c>
      <c r="P72" s="129">
        <f>'дод. 3'!Q133</f>
        <v>14700</v>
      </c>
      <c r="Q72" s="242"/>
      <c r="R72" s="226"/>
      <c r="S72" s="226"/>
      <c r="Y72" s="158"/>
      <c r="Z72" s="158"/>
    </row>
    <row r="73" spans="1:26" s="159" customFormat="1" ht="43.5" customHeight="1">
      <c r="A73" s="157"/>
      <c r="B73" s="154" t="s">
        <v>466</v>
      </c>
      <c r="C73" s="154" t="s">
        <v>262</v>
      </c>
      <c r="D73" s="72" t="s">
        <v>467</v>
      </c>
      <c r="E73" s="129">
        <f>'дод. 3'!F134</f>
        <v>241400</v>
      </c>
      <c r="F73" s="129">
        <f>'дод. 3'!G134</f>
        <v>241400</v>
      </c>
      <c r="G73" s="129">
        <f>'дод. 3'!H134</f>
        <v>0</v>
      </c>
      <c r="H73" s="129">
        <f>'дод. 3'!I134</f>
        <v>0</v>
      </c>
      <c r="I73" s="129">
        <f>'дод. 3'!J134</f>
        <v>0</v>
      </c>
      <c r="J73" s="129">
        <f>'дод. 3'!K134</f>
        <v>0</v>
      </c>
      <c r="K73" s="129">
        <f>'дод. 3'!L134</f>
        <v>0</v>
      </c>
      <c r="L73" s="129">
        <f>'дод. 3'!M134</f>
        <v>0</v>
      </c>
      <c r="M73" s="129">
        <f>'дод. 3'!N134</f>
        <v>0</v>
      </c>
      <c r="N73" s="129">
        <f>'дод. 3'!O134</f>
        <v>0</v>
      </c>
      <c r="O73" s="129">
        <f>'дод. 3'!P134</f>
        <v>0</v>
      </c>
      <c r="P73" s="129">
        <f>'дод. 3'!Q134</f>
        <v>241400</v>
      </c>
      <c r="Q73" s="242"/>
      <c r="R73" s="226"/>
      <c r="S73" s="226"/>
      <c r="Y73" s="158"/>
      <c r="Z73" s="158"/>
    </row>
    <row r="74" spans="1:26" s="159" customFormat="1" ht="25.5" customHeight="1">
      <c r="A74" s="157"/>
      <c r="B74" s="154"/>
      <c r="C74" s="154"/>
      <c r="D74" s="66" t="s">
        <v>527</v>
      </c>
      <c r="E74" s="129">
        <f>'дод. 3'!F135</f>
        <v>241400</v>
      </c>
      <c r="F74" s="129">
        <f>'дод. 3'!G135</f>
        <v>241400</v>
      </c>
      <c r="G74" s="129">
        <f>'дод. 3'!H135</f>
        <v>0</v>
      </c>
      <c r="H74" s="129">
        <f>'дод. 3'!I135</f>
        <v>0</v>
      </c>
      <c r="I74" s="129">
        <f>'дод. 3'!J135</f>
        <v>0</v>
      </c>
      <c r="J74" s="129">
        <f>'дод. 3'!K135</f>
        <v>0</v>
      </c>
      <c r="K74" s="129">
        <f>'дод. 3'!L135</f>
        <v>0</v>
      </c>
      <c r="L74" s="129">
        <f>'дод. 3'!M135</f>
        <v>0</v>
      </c>
      <c r="M74" s="129">
        <f>'дод. 3'!N135</f>
        <v>0</v>
      </c>
      <c r="N74" s="129">
        <f>'дод. 3'!O135</f>
        <v>0</v>
      </c>
      <c r="O74" s="129">
        <f>'дод. 3'!P135</f>
        <v>0</v>
      </c>
      <c r="P74" s="129">
        <f>'дод. 3'!Q135</f>
        <v>241400</v>
      </c>
      <c r="Q74" s="242"/>
      <c r="R74" s="226"/>
      <c r="S74" s="226"/>
      <c r="Y74" s="158"/>
      <c r="Z74" s="158"/>
    </row>
    <row r="75" spans="1:26" s="159" customFormat="1" ht="53.25" customHeight="1">
      <c r="A75" s="157"/>
      <c r="B75" s="154" t="s">
        <v>469</v>
      </c>
      <c r="C75" s="154" t="s">
        <v>261</v>
      </c>
      <c r="D75" s="72" t="s">
        <v>470</v>
      </c>
      <c r="E75" s="129">
        <f>'дод. 3'!F136</f>
        <v>253542500</v>
      </c>
      <c r="F75" s="129">
        <f>'дод. 3'!G136</f>
        <v>253542500</v>
      </c>
      <c r="G75" s="129">
        <f>'дод. 3'!H136</f>
        <v>0</v>
      </c>
      <c r="H75" s="129">
        <f>'дод. 3'!I136</f>
        <v>0</v>
      </c>
      <c r="I75" s="129">
        <f>'дод. 3'!J136</f>
        <v>0</v>
      </c>
      <c r="J75" s="129">
        <f>'дод. 3'!K136</f>
        <v>0</v>
      </c>
      <c r="K75" s="129">
        <f>'дод. 3'!L136</f>
        <v>0</v>
      </c>
      <c r="L75" s="129">
        <f>'дод. 3'!M136</f>
        <v>0</v>
      </c>
      <c r="M75" s="129">
        <f>'дод. 3'!N136</f>
        <v>0</v>
      </c>
      <c r="N75" s="129">
        <f>'дод. 3'!O136</f>
        <v>0</v>
      </c>
      <c r="O75" s="129">
        <f>'дод. 3'!P136</f>
        <v>0</v>
      </c>
      <c r="P75" s="129">
        <f>'дод. 3'!Q136</f>
        <v>253542500</v>
      </c>
      <c r="Q75" s="242"/>
      <c r="R75" s="226"/>
      <c r="S75" s="226"/>
      <c r="Y75" s="158"/>
      <c r="Z75" s="158"/>
    </row>
    <row r="76" spans="1:26" s="159" customFormat="1" ht="25.5" customHeight="1">
      <c r="A76" s="157"/>
      <c r="B76" s="154"/>
      <c r="C76" s="154"/>
      <c r="D76" s="66" t="s">
        <v>527</v>
      </c>
      <c r="E76" s="129">
        <f>'дод. 3'!F137</f>
        <v>253542500</v>
      </c>
      <c r="F76" s="129">
        <f>'дод. 3'!G137</f>
        <v>253542500</v>
      </c>
      <c r="G76" s="129">
        <f>'дод. 3'!H137</f>
        <v>0</v>
      </c>
      <c r="H76" s="129">
        <f>'дод. 3'!I137</f>
        <v>0</v>
      </c>
      <c r="I76" s="129">
        <f>'дод. 3'!J137</f>
        <v>0</v>
      </c>
      <c r="J76" s="129">
        <f>'дод. 3'!K137</f>
        <v>0</v>
      </c>
      <c r="K76" s="129">
        <f>'дод. 3'!L137</f>
        <v>0</v>
      </c>
      <c r="L76" s="129">
        <f>'дод. 3'!M137</f>
        <v>0</v>
      </c>
      <c r="M76" s="129">
        <f>'дод. 3'!N137</f>
        <v>0</v>
      </c>
      <c r="N76" s="129">
        <f>'дод. 3'!O137</f>
        <v>0</v>
      </c>
      <c r="O76" s="129">
        <f>'дод. 3'!P137</f>
        <v>0</v>
      </c>
      <c r="P76" s="129">
        <f>'дод. 3'!Q137</f>
        <v>253542500</v>
      </c>
      <c r="Q76" s="242"/>
      <c r="R76" s="226"/>
      <c r="S76" s="226"/>
      <c r="Y76" s="158"/>
      <c r="Z76" s="158"/>
    </row>
    <row r="77" spans="1:26" s="97" customFormat="1" ht="58.5" customHeight="1">
      <c r="A77" s="96"/>
      <c r="B77" s="152" t="s">
        <v>472</v>
      </c>
      <c r="C77" s="152"/>
      <c r="D77" s="71" t="s">
        <v>473</v>
      </c>
      <c r="E77" s="128">
        <f>'дод. 3'!F138</f>
        <v>313500</v>
      </c>
      <c r="F77" s="128">
        <f>'дод. 3'!G138</f>
        <v>313500</v>
      </c>
      <c r="G77" s="128">
        <f>'дод. 3'!H138</f>
        <v>0</v>
      </c>
      <c r="H77" s="128">
        <f>'дод. 3'!I138</f>
        <v>0</v>
      </c>
      <c r="I77" s="128">
        <f>'дод. 3'!J138</f>
        <v>0</v>
      </c>
      <c r="J77" s="128">
        <f>'дод. 3'!K138</f>
        <v>0</v>
      </c>
      <c r="K77" s="128">
        <f>'дод. 3'!L138</f>
        <v>0</v>
      </c>
      <c r="L77" s="128">
        <f>'дод. 3'!M138</f>
        <v>0</v>
      </c>
      <c r="M77" s="128">
        <f>'дод. 3'!N138</f>
        <v>0</v>
      </c>
      <c r="N77" s="128">
        <f>'дод. 3'!O138</f>
        <v>0</v>
      </c>
      <c r="O77" s="128">
        <f>'дод. 3'!P138</f>
        <v>0</v>
      </c>
      <c r="P77" s="128">
        <f>'дод. 3'!Q138</f>
        <v>313500</v>
      </c>
      <c r="Q77" s="242"/>
      <c r="R77" s="226"/>
      <c r="S77" s="226"/>
      <c r="Y77" s="94"/>
      <c r="Z77" s="94"/>
    </row>
    <row r="78" spans="1:26" s="97" customFormat="1" ht="25.5" customHeight="1">
      <c r="A78" s="96"/>
      <c r="B78" s="152"/>
      <c r="C78" s="152"/>
      <c r="D78" s="65" t="s">
        <v>527</v>
      </c>
      <c r="E78" s="128">
        <f>'дод. 3'!F139</f>
        <v>313500</v>
      </c>
      <c r="F78" s="128">
        <f>'дод. 3'!G139</f>
        <v>313500</v>
      </c>
      <c r="G78" s="128">
        <f>'дод. 3'!H139</f>
        <v>0</v>
      </c>
      <c r="H78" s="128">
        <f>'дод. 3'!I139</f>
        <v>0</v>
      </c>
      <c r="I78" s="128">
        <f>'дод. 3'!J139</f>
        <v>0</v>
      </c>
      <c r="J78" s="128">
        <f>'дод. 3'!K139</f>
        <v>0</v>
      </c>
      <c r="K78" s="128">
        <f>'дод. 3'!L139</f>
        <v>0</v>
      </c>
      <c r="L78" s="128">
        <f>'дод. 3'!M139</f>
        <v>0</v>
      </c>
      <c r="M78" s="128">
        <f>'дод. 3'!N139</f>
        <v>0</v>
      </c>
      <c r="N78" s="128">
        <f>'дод. 3'!O139</f>
        <v>0</v>
      </c>
      <c r="O78" s="128">
        <f>'дод. 3'!P139</f>
        <v>0</v>
      </c>
      <c r="P78" s="128">
        <f>'дод. 3'!Q139</f>
        <v>313500</v>
      </c>
      <c r="Q78" s="242">
        <v>37</v>
      </c>
      <c r="R78" s="226"/>
      <c r="S78" s="226"/>
      <c r="Y78" s="94"/>
      <c r="Z78" s="94"/>
    </row>
    <row r="79" spans="1:26" s="159" customFormat="1" ht="195" customHeight="1">
      <c r="A79" s="157"/>
      <c r="B79" s="154" t="s">
        <v>475</v>
      </c>
      <c r="C79" s="154" t="s">
        <v>260</v>
      </c>
      <c r="D79" s="72" t="s">
        <v>476</v>
      </c>
      <c r="E79" s="129">
        <f>'дод. 3'!F140</f>
        <v>28416</v>
      </c>
      <c r="F79" s="129">
        <f>'дод. 3'!G140</f>
        <v>28416</v>
      </c>
      <c r="G79" s="129">
        <f>'дод. 3'!H140</f>
        <v>0</v>
      </c>
      <c r="H79" s="129">
        <f>'дод. 3'!I140</f>
        <v>0</v>
      </c>
      <c r="I79" s="129">
        <f>'дод. 3'!J140</f>
        <v>0</v>
      </c>
      <c r="J79" s="129">
        <f>'дод. 3'!K140</f>
        <v>0</v>
      </c>
      <c r="K79" s="129">
        <f>'дод. 3'!L140</f>
        <v>0</v>
      </c>
      <c r="L79" s="129">
        <f>'дод. 3'!M140</f>
        <v>0</v>
      </c>
      <c r="M79" s="129">
        <f>'дод. 3'!N140</f>
        <v>0</v>
      </c>
      <c r="N79" s="129">
        <f>'дод. 3'!O140</f>
        <v>0</v>
      </c>
      <c r="O79" s="129">
        <f>'дод. 3'!P140</f>
        <v>0</v>
      </c>
      <c r="P79" s="129">
        <f>'дод. 3'!Q140</f>
        <v>28416</v>
      </c>
      <c r="Q79" s="242"/>
      <c r="R79" s="226"/>
      <c r="S79" s="226"/>
      <c r="Y79" s="158"/>
      <c r="Z79" s="158"/>
    </row>
    <row r="80" spans="1:26" s="159" customFormat="1" ht="25.5" customHeight="1">
      <c r="A80" s="157"/>
      <c r="B80" s="154"/>
      <c r="C80" s="154"/>
      <c r="D80" s="66" t="s">
        <v>527</v>
      </c>
      <c r="E80" s="129">
        <f>'дод. 3'!F141</f>
        <v>28416</v>
      </c>
      <c r="F80" s="129">
        <f>'дод. 3'!G141</f>
        <v>28416</v>
      </c>
      <c r="G80" s="129">
        <f>'дод. 3'!H141</f>
        <v>0</v>
      </c>
      <c r="H80" s="129">
        <f>'дод. 3'!I141</f>
        <v>0</v>
      </c>
      <c r="I80" s="129">
        <f>'дод. 3'!J141</f>
        <v>0</v>
      </c>
      <c r="J80" s="129">
        <f>'дод. 3'!K141</f>
        <v>0</v>
      </c>
      <c r="K80" s="129">
        <f>'дод. 3'!L141</f>
        <v>0</v>
      </c>
      <c r="L80" s="129">
        <f>'дод. 3'!M141</f>
        <v>0</v>
      </c>
      <c r="M80" s="129">
        <f>'дод. 3'!N141</f>
        <v>0</v>
      </c>
      <c r="N80" s="129">
        <f>'дод. 3'!O141</f>
        <v>0</v>
      </c>
      <c r="O80" s="129">
        <f>'дод. 3'!P141</f>
        <v>0</v>
      </c>
      <c r="P80" s="129">
        <f>'дод. 3'!Q141</f>
        <v>28416</v>
      </c>
      <c r="Q80" s="242"/>
      <c r="R80" s="226"/>
      <c r="S80" s="226"/>
      <c r="Y80" s="158"/>
      <c r="Z80" s="158"/>
    </row>
    <row r="81" spans="1:26" s="159" customFormat="1" ht="40.5" customHeight="1">
      <c r="A81" s="157"/>
      <c r="B81" s="154" t="s">
        <v>478</v>
      </c>
      <c r="C81" s="154" t="s">
        <v>262</v>
      </c>
      <c r="D81" s="155" t="s">
        <v>479</v>
      </c>
      <c r="E81" s="129">
        <f>'дод. 3'!F142</f>
        <v>8259</v>
      </c>
      <c r="F81" s="129">
        <f>'дод. 3'!G142</f>
        <v>8259</v>
      </c>
      <c r="G81" s="129">
        <f>'дод. 3'!H142</f>
        <v>0</v>
      </c>
      <c r="H81" s="129">
        <f>'дод. 3'!I142</f>
        <v>0</v>
      </c>
      <c r="I81" s="129">
        <f>'дод. 3'!J142</f>
        <v>0</v>
      </c>
      <c r="J81" s="129">
        <f>'дод. 3'!K142</f>
        <v>0</v>
      </c>
      <c r="K81" s="129">
        <f>'дод. 3'!L142</f>
        <v>0</v>
      </c>
      <c r="L81" s="129">
        <f>'дод. 3'!M142</f>
        <v>0</v>
      </c>
      <c r="M81" s="129">
        <f>'дод. 3'!N142</f>
        <v>0</v>
      </c>
      <c r="N81" s="129">
        <f>'дод. 3'!O142</f>
        <v>0</v>
      </c>
      <c r="O81" s="129">
        <f>'дод. 3'!P142</f>
        <v>0</v>
      </c>
      <c r="P81" s="129">
        <f>'дод. 3'!Q142</f>
        <v>8259</v>
      </c>
      <c r="Q81" s="242"/>
      <c r="R81" s="226"/>
      <c r="S81" s="226"/>
      <c r="Y81" s="158"/>
      <c r="Z81" s="158"/>
    </row>
    <row r="82" spans="1:26" s="159" customFormat="1" ht="25.5" customHeight="1">
      <c r="A82" s="157"/>
      <c r="B82" s="154"/>
      <c r="C82" s="154"/>
      <c r="D82" s="66" t="s">
        <v>527</v>
      </c>
      <c r="E82" s="129">
        <f>'дод. 3'!F143</f>
        <v>8259</v>
      </c>
      <c r="F82" s="129">
        <f>'дод. 3'!G143</f>
        <v>8259</v>
      </c>
      <c r="G82" s="129">
        <f>'дод. 3'!H143</f>
        <v>0</v>
      </c>
      <c r="H82" s="129">
        <f>'дод. 3'!I143</f>
        <v>0</v>
      </c>
      <c r="I82" s="129">
        <f>'дод. 3'!J143</f>
        <v>0</v>
      </c>
      <c r="J82" s="129">
        <f>'дод. 3'!K143</f>
        <v>0</v>
      </c>
      <c r="K82" s="129">
        <f>'дод. 3'!L143</f>
        <v>0</v>
      </c>
      <c r="L82" s="129">
        <f>'дод. 3'!M143</f>
        <v>0</v>
      </c>
      <c r="M82" s="129">
        <f>'дод. 3'!N143</f>
        <v>0</v>
      </c>
      <c r="N82" s="129">
        <f>'дод. 3'!O143</f>
        <v>0</v>
      </c>
      <c r="O82" s="129">
        <f>'дод. 3'!P143</f>
        <v>0</v>
      </c>
      <c r="P82" s="129">
        <f>'дод. 3'!Q143</f>
        <v>8259</v>
      </c>
      <c r="Q82" s="242"/>
      <c r="R82" s="226"/>
      <c r="S82" s="226"/>
      <c r="Y82" s="158"/>
      <c r="Z82" s="158"/>
    </row>
    <row r="83" spans="1:26" s="159" customFormat="1" ht="47.25" customHeight="1">
      <c r="A83" s="157"/>
      <c r="B83" s="154" t="s">
        <v>481</v>
      </c>
      <c r="C83" s="154" t="s">
        <v>261</v>
      </c>
      <c r="D83" s="72" t="s">
        <v>482</v>
      </c>
      <c r="E83" s="129">
        <f>'дод. 3'!F144</f>
        <v>276825</v>
      </c>
      <c r="F83" s="129">
        <f>'дод. 3'!G144</f>
        <v>276825</v>
      </c>
      <c r="G83" s="129">
        <f>'дод. 3'!H144</f>
        <v>0</v>
      </c>
      <c r="H83" s="129">
        <f>'дод. 3'!I144</f>
        <v>0</v>
      </c>
      <c r="I83" s="129">
        <f>'дод. 3'!J144</f>
        <v>0</v>
      </c>
      <c r="J83" s="129">
        <f>'дод. 3'!K144</f>
        <v>0</v>
      </c>
      <c r="K83" s="129">
        <f>'дод. 3'!L144</f>
        <v>0</v>
      </c>
      <c r="L83" s="129">
        <f>'дод. 3'!M144</f>
        <v>0</v>
      </c>
      <c r="M83" s="129">
        <f>'дод. 3'!N144</f>
        <v>0</v>
      </c>
      <c r="N83" s="129">
        <f>'дод. 3'!O144</f>
        <v>0</v>
      </c>
      <c r="O83" s="129">
        <f>'дод. 3'!P144</f>
        <v>0</v>
      </c>
      <c r="P83" s="129">
        <f>'дод. 3'!Q144</f>
        <v>276825</v>
      </c>
      <c r="Q83" s="242"/>
      <c r="R83" s="226"/>
      <c r="S83" s="226"/>
      <c r="Y83" s="158"/>
      <c r="Z83" s="158"/>
    </row>
    <row r="84" spans="1:26" s="159" customFormat="1" ht="25.5" customHeight="1">
      <c r="A84" s="157"/>
      <c r="B84" s="154"/>
      <c r="C84" s="154"/>
      <c r="D84" s="66" t="s">
        <v>527</v>
      </c>
      <c r="E84" s="129">
        <f>'дод. 3'!F145</f>
        <v>276825</v>
      </c>
      <c r="F84" s="129">
        <f>'дод. 3'!G145</f>
        <v>276825</v>
      </c>
      <c r="G84" s="129">
        <f>'дод. 3'!H145</f>
        <v>0</v>
      </c>
      <c r="H84" s="129">
        <f>'дод. 3'!I145</f>
        <v>0</v>
      </c>
      <c r="I84" s="129">
        <f>'дод. 3'!J145</f>
        <v>0</v>
      </c>
      <c r="J84" s="129">
        <f>'дод. 3'!K145</f>
        <v>0</v>
      </c>
      <c r="K84" s="129">
        <f>'дод. 3'!L145</f>
        <v>0</v>
      </c>
      <c r="L84" s="129">
        <f>'дод. 3'!M145</f>
        <v>0</v>
      </c>
      <c r="M84" s="129">
        <f>'дод. 3'!N145</f>
        <v>0</v>
      </c>
      <c r="N84" s="129">
        <f>'дод. 3'!O145</f>
        <v>0</v>
      </c>
      <c r="O84" s="129">
        <f>'дод. 3'!P145</f>
        <v>0</v>
      </c>
      <c r="P84" s="129">
        <f>'дод. 3'!Q145</f>
        <v>276825</v>
      </c>
      <c r="Q84" s="242"/>
      <c r="R84" s="226"/>
      <c r="S84" s="226"/>
      <c r="Y84" s="158"/>
      <c r="Z84" s="158"/>
    </row>
    <row r="85" spans="2:26" ht="155.25" customHeight="1">
      <c r="B85" s="51" t="s">
        <v>390</v>
      </c>
      <c r="C85" s="73"/>
      <c r="D85" s="71" t="s">
        <v>108</v>
      </c>
      <c r="E85" s="128">
        <f>E86+E87+E88+E89+E91+E90</f>
        <v>38580560.2</v>
      </c>
      <c r="F85" s="128">
        <f>F86+F87+F88+F89+F91+F90</f>
        <v>38580560.2</v>
      </c>
      <c r="G85" s="128">
        <f aca="true" t="shared" si="11" ref="G85:O85">G86+G87+G88+G89+G91</f>
        <v>0</v>
      </c>
      <c r="H85" s="128">
        <f t="shared" si="11"/>
        <v>0</v>
      </c>
      <c r="I85" s="128">
        <f t="shared" si="11"/>
        <v>0</v>
      </c>
      <c r="J85" s="128">
        <f t="shared" si="11"/>
        <v>154612</v>
      </c>
      <c r="K85" s="128">
        <f t="shared" si="11"/>
        <v>0</v>
      </c>
      <c r="L85" s="128">
        <f t="shared" si="11"/>
        <v>0</v>
      </c>
      <c r="M85" s="128">
        <f t="shared" si="11"/>
        <v>0</v>
      </c>
      <c r="N85" s="128">
        <f t="shared" si="11"/>
        <v>154612</v>
      </c>
      <c r="O85" s="128">
        <f t="shared" si="11"/>
        <v>154612</v>
      </c>
      <c r="P85" s="128">
        <f aca="true" t="shared" si="12" ref="P85:P91">E85+J85</f>
        <v>38735172.2</v>
      </c>
      <c r="Q85" s="242"/>
      <c r="R85" s="226"/>
      <c r="S85" s="226"/>
      <c r="Y85" s="89"/>
      <c r="Z85" s="89"/>
    </row>
    <row r="86" spans="1:26" s="58" customFormat="1" ht="222" customHeight="1">
      <c r="A86" s="56"/>
      <c r="B86" s="55" t="s">
        <v>391</v>
      </c>
      <c r="C86" s="55" t="s">
        <v>260</v>
      </c>
      <c r="D86" s="72" t="s">
        <v>237</v>
      </c>
      <c r="E86" s="129">
        <f>'дод. 3'!F147</f>
        <v>270200</v>
      </c>
      <c r="F86" s="129">
        <f>'дод. 3'!G147</f>
        <v>270200</v>
      </c>
      <c r="G86" s="129">
        <f>'дод. 3'!H147</f>
        <v>0</v>
      </c>
      <c r="H86" s="129">
        <f>'дод. 3'!I147</f>
        <v>0</v>
      </c>
      <c r="I86" s="129">
        <f>'дод. 3'!J147</f>
        <v>0</v>
      </c>
      <c r="J86" s="129">
        <f>'дод. 3'!K147</f>
        <v>154612</v>
      </c>
      <c r="K86" s="129">
        <f>'дод. 3'!L147</f>
        <v>0</v>
      </c>
      <c r="L86" s="129">
        <f>'дод. 3'!M147</f>
        <v>0</v>
      </c>
      <c r="M86" s="129">
        <f>'дод. 3'!N147</f>
        <v>0</v>
      </c>
      <c r="N86" s="129">
        <f>'дод. 3'!O147</f>
        <v>154612</v>
      </c>
      <c r="O86" s="129">
        <f>'дод. 3'!P147</f>
        <v>154612</v>
      </c>
      <c r="P86" s="129">
        <f t="shared" si="12"/>
        <v>424812</v>
      </c>
      <c r="Q86" s="242"/>
      <c r="R86" s="226"/>
      <c r="S86" s="226"/>
      <c r="Y86" s="151"/>
      <c r="Z86" s="151"/>
    </row>
    <row r="87" spans="1:26" s="58" customFormat="1" ht="87" customHeight="1">
      <c r="A87" s="56"/>
      <c r="B87" s="55" t="s">
        <v>392</v>
      </c>
      <c r="C87" s="55" t="s">
        <v>262</v>
      </c>
      <c r="D87" s="72" t="s">
        <v>238</v>
      </c>
      <c r="E87" s="129">
        <f>'дод. 3'!F148</f>
        <v>74666</v>
      </c>
      <c r="F87" s="129">
        <f>'дод. 3'!G148</f>
        <v>74666</v>
      </c>
      <c r="G87" s="129">
        <f>'дод. 3'!H148</f>
        <v>0</v>
      </c>
      <c r="H87" s="129">
        <f>'дод. 3'!I148</f>
        <v>0</v>
      </c>
      <c r="I87" s="129">
        <f>'дод. 3'!J148</f>
        <v>0</v>
      </c>
      <c r="J87" s="129">
        <f>'дод. 3'!K148</f>
        <v>0</v>
      </c>
      <c r="K87" s="129">
        <f>'дод. 3'!L148</f>
        <v>0</v>
      </c>
      <c r="L87" s="129">
        <f>'дод. 3'!M148</f>
        <v>0</v>
      </c>
      <c r="M87" s="129">
        <f>'дод. 3'!N148</f>
        <v>0</v>
      </c>
      <c r="N87" s="129">
        <f>'дод. 3'!O148</f>
        <v>0</v>
      </c>
      <c r="O87" s="129">
        <f>'дод. 3'!P148</f>
        <v>0</v>
      </c>
      <c r="P87" s="129">
        <f t="shared" si="12"/>
        <v>74666</v>
      </c>
      <c r="Q87" s="242"/>
      <c r="R87" s="226"/>
      <c r="S87" s="226"/>
      <c r="Y87" s="151"/>
      <c r="Z87" s="151"/>
    </row>
    <row r="88" spans="1:26" s="58" customFormat="1" ht="38.25" customHeight="1">
      <c r="A88" s="56"/>
      <c r="B88" s="55" t="s">
        <v>393</v>
      </c>
      <c r="C88" s="55" t="s">
        <v>262</v>
      </c>
      <c r="D88" s="72" t="s">
        <v>230</v>
      </c>
      <c r="E88" s="129">
        <f>'дод. 3'!F149</f>
        <v>1577457</v>
      </c>
      <c r="F88" s="129">
        <f>'дод. 3'!G149</f>
        <v>1577457</v>
      </c>
      <c r="G88" s="129">
        <f>'дод. 3'!H149</f>
        <v>0</v>
      </c>
      <c r="H88" s="129">
        <f>'дод. 3'!I149</f>
        <v>0</v>
      </c>
      <c r="I88" s="129">
        <f>'дод. 3'!J149</f>
        <v>0</v>
      </c>
      <c r="J88" s="129">
        <f>'дод. 3'!K149</f>
        <v>0</v>
      </c>
      <c r="K88" s="129">
        <f>'дод. 3'!L149</f>
        <v>0</v>
      </c>
      <c r="L88" s="129">
        <f>'дод. 3'!M149</f>
        <v>0</v>
      </c>
      <c r="M88" s="129">
        <f>'дод. 3'!N149</f>
        <v>0</v>
      </c>
      <c r="N88" s="129">
        <f>'дод. 3'!O149</f>
        <v>0</v>
      </c>
      <c r="O88" s="129">
        <f>'дод. 3'!P149</f>
        <v>0</v>
      </c>
      <c r="P88" s="129">
        <f t="shared" si="12"/>
        <v>1577457</v>
      </c>
      <c r="Q88" s="242"/>
      <c r="R88" s="226"/>
      <c r="S88" s="226"/>
      <c r="Y88" s="151"/>
      <c r="Z88" s="151"/>
    </row>
    <row r="89" spans="1:26" s="58" customFormat="1" ht="54.75" customHeight="1">
      <c r="A89" s="56"/>
      <c r="B89" s="55" t="s">
        <v>339</v>
      </c>
      <c r="C89" s="55" t="s">
        <v>262</v>
      </c>
      <c r="D89" s="66" t="s">
        <v>239</v>
      </c>
      <c r="E89" s="129">
        <f>'дод. 3'!F150</f>
        <v>9943724.2</v>
      </c>
      <c r="F89" s="129">
        <f>'дод. 3'!G150</f>
        <v>9943724.2</v>
      </c>
      <c r="G89" s="129">
        <f>'дод. 3'!H150</f>
        <v>0</v>
      </c>
      <c r="H89" s="129">
        <f>'дод. 3'!I150</f>
        <v>0</v>
      </c>
      <c r="I89" s="129">
        <f>'дод. 3'!J150</f>
        <v>0</v>
      </c>
      <c r="J89" s="129">
        <f>'дод. 3'!K150</f>
        <v>0</v>
      </c>
      <c r="K89" s="129">
        <f>'дод. 3'!L150</f>
        <v>0</v>
      </c>
      <c r="L89" s="129">
        <f>'дод. 3'!M150</f>
        <v>0</v>
      </c>
      <c r="M89" s="129">
        <f>'дод. 3'!N150</f>
        <v>0</v>
      </c>
      <c r="N89" s="129">
        <f>'дод. 3'!O150</f>
        <v>0</v>
      </c>
      <c r="O89" s="129">
        <f>'дод. 3'!P150</f>
        <v>0</v>
      </c>
      <c r="P89" s="129">
        <f t="shared" si="12"/>
        <v>9943724.2</v>
      </c>
      <c r="Q89" s="242"/>
      <c r="R89" s="226"/>
      <c r="S89" s="226"/>
      <c r="Y89" s="151"/>
      <c r="Z89" s="151"/>
    </row>
    <row r="90" spans="1:26" s="58" customFormat="1" ht="54.75" customHeight="1">
      <c r="A90" s="56"/>
      <c r="B90" s="55" t="s">
        <v>559</v>
      </c>
      <c r="C90" s="55" t="s">
        <v>262</v>
      </c>
      <c r="D90" s="66" t="s">
        <v>558</v>
      </c>
      <c r="E90" s="129">
        <f>'дод. 3'!F151</f>
        <v>1500000</v>
      </c>
      <c r="F90" s="129">
        <f>'дод. 3'!G151</f>
        <v>1500000</v>
      </c>
      <c r="G90" s="129"/>
      <c r="H90" s="129"/>
      <c r="I90" s="129"/>
      <c r="J90" s="129"/>
      <c r="K90" s="129"/>
      <c r="L90" s="129"/>
      <c r="M90" s="129"/>
      <c r="N90" s="129"/>
      <c r="O90" s="129"/>
      <c r="P90" s="129">
        <f t="shared" si="12"/>
        <v>1500000</v>
      </c>
      <c r="Q90" s="242"/>
      <c r="R90" s="226"/>
      <c r="S90" s="226"/>
      <c r="Y90" s="151"/>
      <c r="Z90" s="151"/>
    </row>
    <row r="91" spans="1:26" s="58" customFormat="1" ht="47.25" customHeight="1">
      <c r="A91" s="56"/>
      <c r="B91" s="55" t="s">
        <v>342</v>
      </c>
      <c r="C91" s="55" t="s">
        <v>262</v>
      </c>
      <c r="D91" s="66" t="s">
        <v>23</v>
      </c>
      <c r="E91" s="129">
        <f>'дод. 3'!F152+'дод. 3'!F17</f>
        <v>25214513</v>
      </c>
      <c r="F91" s="129">
        <f>'дод. 3'!G152+'дод. 3'!G17</f>
        <v>25214513</v>
      </c>
      <c r="G91" s="129">
        <f>'дод. 3'!H152+'дод. 3'!H17</f>
        <v>0</v>
      </c>
      <c r="H91" s="129">
        <f>'дод. 3'!I152+'дод. 3'!I17</f>
        <v>0</v>
      </c>
      <c r="I91" s="129">
        <f>'дод. 3'!J152+'дод. 3'!J17</f>
        <v>0</v>
      </c>
      <c r="J91" s="129">
        <f>'дод. 3'!K152+'дод. 3'!K17</f>
        <v>0</v>
      </c>
      <c r="K91" s="129">
        <f>'дод. 3'!L152+'дод. 3'!L17</f>
        <v>0</v>
      </c>
      <c r="L91" s="129">
        <f>'дод. 3'!M152+'дод. 3'!M17</f>
        <v>0</v>
      </c>
      <c r="M91" s="129">
        <f>'дод. 3'!N152+'дод. 3'!N17</f>
        <v>0</v>
      </c>
      <c r="N91" s="129">
        <f>'дод. 3'!O152+'дод. 3'!O17</f>
        <v>0</v>
      </c>
      <c r="O91" s="129">
        <f>'дод. 3'!P152+'дод. 3'!P17</f>
        <v>0</v>
      </c>
      <c r="P91" s="129">
        <f t="shared" si="12"/>
        <v>25214513</v>
      </c>
      <c r="Q91" s="242"/>
      <c r="R91" s="226"/>
      <c r="S91" s="226"/>
      <c r="Y91" s="151"/>
      <c r="Z91" s="151"/>
    </row>
    <row r="92" spans="2:26" ht="60" customHeight="1">
      <c r="B92" s="149">
        <v>3040</v>
      </c>
      <c r="C92" s="149"/>
      <c r="D92" s="71" t="s">
        <v>483</v>
      </c>
      <c r="E92" s="128">
        <f>'дод. 3'!F153</f>
        <v>307726600</v>
      </c>
      <c r="F92" s="128">
        <f>'дод. 3'!G153</f>
        <v>307726600</v>
      </c>
      <c r="G92" s="128">
        <f>'дод. 3'!H153</f>
        <v>0</v>
      </c>
      <c r="H92" s="128">
        <f>'дод. 3'!I153</f>
        <v>0</v>
      </c>
      <c r="I92" s="128">
        <f>'дод. 3'!J153</f>
        <v>0</v>
      </c>
      <c r="J92" s="128">
        <f>'дод. 3'!K153</f>
        <v>0</v>
      </c>
      <c r="K92" s="128">
        <f>'дод. 3'!L153</f>
        <v>0</v>
      </c>
      <c r="L92" s="128">
        <f>'дод. 3'!M153</f>
        <v>0</v>
      </c>
      <c r="M92" s="128">
        <f>'дод. 3'!N153</f>
        <v>0</v>
      </c>
      <c r="N92" s="128">
        <f>'дод. 3'!O153</f>
        <v>0</v>
      </c>
      <c r="O92" s="128">
        <f>'дод. 3'!P153</f>
        <v>0</v>
      </c>
      <c r="P92" s="128">
        <f>'дод. 3'!Q153</f>
        <v>307726600</v>
      </c>
      <c r="Q92" s="242">
        <v>38</v>
      </c>
      <c r="R92" s="226"/>
      <c r="S92" s="226"/>
      <c r="Y92" s="89"/>
      <c r="Z92" s="89"/>
    </row>
    <row r="93" spans="2:26" ht="23.25" customHeight="1">
      <c r="B93" s="149"/>
      <c r="C93" s="149"/>
      <c r="D93" s="65" t="s">
        <v>527</v>
      </c>
      <c r="E93" s="128">
        <f>'дод. 3'!F154</f>
        <v>307726600</v>
      </c>
      <c r="F93" s="128">
        <f>'дод. 3'!G154</f>
        <v>307726600</v>
      </c>
      <c r="G93" s="128">
        <f>'дод. 3'!H154</f>
        <v>0</v>
      </c>
      <c r="H93" s="128">
        <f>'дод. 3'!I154</f>
        <v>0</v>
      </c>
      <c r="I93" s="128">
        <f>'дод. 3'!J154</f>
        <v>0</v>
      </c>
      <c r="J93" s="128">
        <f>'дод. 3'!K154</f>
        <v>0</v>
      </c>
      <c r="K93" s="128">
        <f>'дод. 3'!L154</f>
        <v>0</v>
      </c>
      <c r="L93" s="128">
        <f>'дод. 3'!M154</f>
        <v>0</v>
      </c>
      <c r="M93" s="128">
        <f>'дод. 3'!N154</f>
        <v>0</v>
      </c>
      <c r="N93" s="128">
        <f>'дод. 3'!O154</f>
        <v>0</v>
      </c>
      <c r="O93" s="128">
        <f>'дод. 3'!P154</f>
        <v>0</v>
      </c>
      <c r="P93" s="128">
        <f>'дод. 3'!Q154</f>
        <v>307726600</v>
      </c>
      <c r="Q93" s="242"/>
      <c r="R93" s="226"/>
      <c r="S93" s="226"/>
      <c r="Y93" s="89"/>
      <c r="Z93" s="89"/>
    </row>
    <row r="94" spans="1:26" s="58" customFormat="1" ht="20.25" customHeight="1">
      <c r="A94" s="56"/>
      <c r="B94" s="150">
        <v>3041</v>
      </c>
      <c r="C94" s="150">
        <v>1040</v>
      </c>
      <c r="D94" s="72" t="s">
        <v>484</v>
      </c>
      <c r="E94" s="129">
        <f>'дод. 3'!F155</f>
        <v>3435800</v>
      </c>
      <c r="F94" s="129">
        <f>'дод. 3'!G155</f>
        <v>3435800</v>
      </c>
      <c r="G94" s="129">
        <f>'дод. 3'!H155</f>
        <v>0</v>
      </c>
      <c r="H94" s="129">
        <f>'дод. 3'!I155</f>
        <v>0</v>
      </c>
      <c r="I94" s="129">
        <f>'дод. 3'!J155</f>
        <v>0</v>
      </c>
      <c r="J94" s="129">
        <f>'дод. 3'!K155</f>
        <v>0</v>
      </c>
      <c r="K94" s="129">
        <f>'дод. 3'!L155</f>
        <v>0</v>
      </c>
      <c r="L94" s="129">
        <f>'дод. 3'!M155</f>
        <v>0</v>
      </c>
      <c r="M94" s="129">
        <f>'дод. 3'!N155</f>
        <v>0</v>
      </c>
      <c r="N94" s="129">
        <f>'дод. 3'!O155</f>
        <v>0</v>
      </c>
      <c r="O94" s="129">
        <f>'дод. 3'!P155</f>
        <v>0</v>
      </c>
      <c r="P94" s="129">
        <f>'дод. 3'!Q155</f>
        <v>3435800</v>
      </c>
      <c r="Q94" s="242"/>
      <c r="R94" s="226"/>
      <c r="S94" s="226"/>
      <c r="Y94" s="151"/>
      <c r="Z94" s="151"/>
    </row>
    <row r="95" spans="1:26" s="58" customFormat="1" ht="20.25" customHeight="1">
      <c r="A95" s="56"/>
      <c r="B95" s="150"/>
      <c r="C95" s="150"/>
      <c r="D95" s="66" t="s">
        <v>527</v>
      </c>
      <c r="E95" s="129">
        <f>'дод. 3'!F156</f>
        <v>3435800</v>
      </c>
      <c r="F95" s="129">
        <f>'дод. 3'!G156</f>
        <v>3435800</v>
      </c>
      <c r="G95" s="129">
        <f>'дод. 3'!H156</f>
        <v>0</v>
      </c>
      <c r="H95" s="129">
        <f>'дод. 3'!I156</f>
        <v>0</v>
      </c>
      <c r="I95" s="129">
        <f>'дод. 3'!J156</f>
        <v>0</v>
      </c>
      <c r="J95" s="129">
        <f>'дод. 3'!K156</f>
        <v>0</v>
      </c>
      <c r="K95" s="129">
        <f>'дод. 3'!L156</f>
        <v>0</v>
      </c>
      <c r="L95" s="129">
        <f>'дод. 3'!M156</f>
        <v>0</v>
      </c>
      <c r="M95" s="129">
        <f>'дод. 3'!N156</f>
        <v>0</v>
      </c>
      <c r="N95" s="129">
        <f>'дод. 3'!O156</f>
        <v>0</v>
      </c>
      <c r="O95" s="129">
        <f>'дод. 3'!P156</f>
        <v>0</v>
      </c>
      <c r="P95" s="129">
        <f>'дод. 3'!Q156</f>
        <v>3435800</v>
      </c>
      <c r="Q95" s="242"/>
      <c r="R95" s="226"/>
      <c r="S95" s="226"/>
      <c r="Y95" s="151"/>
      <c r="Z95" s="151"/>
    </row>
    <row r="96" spans="1:26" s="58" customFormat="1" ht="25.5" customHeight="1">
      <c r="A96" s="56"/>
      <c r="B96" s="150">
        <v>3042</v>
      </c>
      <c r="C96" s="150">
        <v>1040</v>
      </c>
      <c r="D96" s="72" t="s">
        <v>537</v>
      </c>
      <c r="E96" s="129">
        <f>'дод. 3'!F157</f>
        <v>468000</v>
      </c>
      <c r="F96" s="129">
        <f>'дод. 3'!G157</f>
        <v>468000</v>
      </c>
      <c r="G96" s="129">
        <f>'дод. 3'!H157</f>
        <v>0</v>
      </c>
      <c r="H96" s="129">
        <f>'дод. 3'!I157</f>
        <v>0</v>
      </c>
      <c r="I96" s="129">
        <f>'дод. 3'!J157</f>
        <v>0</v>
      </c>
      <c r="J96" s="129">
        <f>'дод. 3'!K157</f>
        <v>0</v>
      </c>
      <c r="K96" s="129">
        <f>'дод. 3'!L157</f>
        <v>0</v>
      </c>
      <c r="L96" s="129">
        <f>'дод. 3'!M157</f>
        <v>0</v>
      </c>
      <c r="M96" s="129">
        <f>'дод. 3'!N157</f>
        <v>0</v>
      </c>
      <c r="N96" s="129">
        <f>'дод. 3'!O157</f>
        <v>0</v>
      </c>
      <c r="O96" s="129">
        <f>'дод. 3'!P157</f>
        <v>0</v>
      </c>
      <c r="P96" s="129">
        <f>'дод. 3'!Q157</f>
        <v>468000</v>
      </c>
      <c r="Q96" s="242"/>
      <c r="R96" s="226"/>
      <c r="S96" s="226"/>
      <c r="Y96" s="151"/>
      <c r="Z96" s="151"/>
    </row>
    <row r="97" spans="1:26" s="58" customFormat="1" ht="16.5" customHeight="1">
      <c r="A97" s="56"/>
      <c r="B97" s="150"/>
      <c r="C97" s="150"/>
      <c r="D97" s="66" t="s">
        <v>527</v>
      </c>
      <c r="E97" s="129">
        <f>'дод. 3'!F158</f>
        <v>468000</v>
      </c>
      <c r="F97" s="129">
        <f>'дод. 3'!G158</f>
        <v>468000</v>
      </c>
      <c r="G97" s="129">
        <f>'дод. 3'!H158</f>
        <v>0</v>
      </c>
      <c r="H97" s="129">
        <f>'дод. 3'!I158</f>
        <v>0</v>
      </c>
      <c r="I97" s="129">
        <f>'дод. 3'!J158</f>
        <v>0</v>
      </c>
      <c r="J97" s="129">
        <f>'дод. 3'!K158</f>
        <v>0</v>
      </c>
      <c r="K97" s="129">
        <f>'дод. 3'!L158</f>
        <v>0</v>
      </c>
      <c r="L97" s="129">
        <f>'дод. 3'!M158</f>
        <v>0</v>
      </c>
      <c r="M97" s="129">
        <f>'дод. 3'!N158</f>
        <v>0</v>
      </c>
      <c r="N97" s="129">
        <f>'дод. 3'!O158</f>
        <v>0</v>
      </c>
      <c r="O97" s="129">
        <f>'дод. 3'!P158</f>
        <v>0</v>
      </c>
      <c r="P97" s="129">
        <f>'дод. 3'!Q158</f>
        <v>468000</v>
      </c>
      <c r="Q97" s="242"/>
      <c r="R97" s="226"/>
      <c r="S97" s="226"/>
      <c r="Y97" s="151"/>
      <c r="Z97" s="151"/>
    </row>
    <row r="98" spans="1:26" s="58" customFormat="1" ht="24" customHeight="1">
      <c r="A98" s="56"/>
      <c r="B98" s="150">
        <v>3043</v>
      </c>
      <c r="C98" s="150">
        <v>1040</v>
      </c>
      <c r="D98" s="72" t="s">
        <v>485</v>
      </c>
      <c r="E98" s="129">
        <f>'дод. 3'!F159</f>
        <v>142613700</v>
      </c>
      <c r="F98" s="129">
        <f>'дод. 3'!G159</f>
        <v>142613700</v>
      </c>
      <c r="G98" s="129">
        <f>'дод. 3'!H159</f>
        <v>0</v>
      </c>
      <c r="H98" s="129">
        <f>'дод. 3'!I159</f>
        <v>0</v>
      </c>
      <c r="I98" s="129">
        <f>'дод. 3'!J159</f>
        <v>0</v>
      </c>
      <c r="J98" s="129">
        <f>'дод. 3'!K159</f>
        <v>0</v>
      </c>
      <c r="K98" s="129">
        <f>'дод. 3'!L159</f>
        <v>0</v>
      </c>
      <c r="L98" s="129">
        <f>'дод. 3'!M159</f>
        <v>0</v>
      </c>
      <c r="M98" s="129">
        <f>'дод. 3'!N159</f>
        <v>0</v>
      </c>
      <c r="N98" s="129">
        <f>'дод. 3'!O159</f>
        <v>0</v>
      </c>
      <c r="O98" s="129">
        <f>'дод. 3'!P159</f>
        <v>0</v>
      </c>
      <c r="P98" s="129">
        <f>'дод. 3'!Q159</f>
        <v>142613700</v>
      </c>
      <c r="Q98" s="242"/>
      <c r="R98" s="226"/>
      <c r="S98" s="226"/>
      <c r="Y98" s="151"/>
      <c r="Z98" s="151"/>
    </row>
    <row r="99" spans="1:26" s="58" customFormat="1" ht="18.75" customHeight="1">
      <c r="A99" s="56"/>
      <c r="B99" s="150"/>
      <c r="C99" s="150"/>
      <c r="D99" s="66" t="s">
        <v>527</v>
      </c>
      <c r="E99" s="129">
        <f>'дод. 3'!F160</f>
        <v>142613700</v>
      </c>
      <c r="F99" s="129">
        <f>'дод. 3'!G160</f>
        <v>142613700</v>
      </c>
      <c r="G99" s="129">
        <f>'дод. 3'!H160</f>
        <v>0</v>
      </c>
      <c r="H99" s="129">
        <f>'дод. 3'!I160</f>
        <v>0</v>
      </c>
      <c r="I99" s="129">
        <f>'дод. 3'!J160</f>
        <v>0</v>
      </c>
      <c r="J99" s="129">
        <f>'дод. 3'!K160</f>
        <v>0</v>
      </c>
      <c r="K99" s="129">
        <f>'дод. 3'!L160</f>
        <v>0</v>
      </c>
      <c r="L99" s="129">
        <f>'дод. 3'!M160</f>
        <v>0</v>
      </c>
      <c r="M99" s="129">
        <f>'дод. 3'!N160</f>
        <v>0</v>
      </c>
      <c r="N99" s="129">
        <f>'дод. 3'!O160</f>
        <v>0</v>
      </c>
      <c r="O99" s="129">
        <f>'дод. 3'!P160</f>
        <v>0</v>
      </c>
      <c r="P99" s="129">
        <f>'дод. 3'!Q160</f>
        <v>142613700</v>
      </c>
      <c r="Q99" s="242"/>
      <c r="R99" s="226"/>
      <c r="S99" s="226"/>
      <c r="Y99" s="151"/>
      <c r="Z99" s="151"/>
    </row>
    <row r="100" spans="1:26" s="58" customFormat="1" ht="35.25" customHeight="1">
      <c r="A100" s="56"/>
      <c r="B100" s="150">
        <v>3044</v>
      </c>
      <c r="C100" s="150">
        <v>1040</v>
      </c>
      <c r="D100" s="72" t="s">
        <v>486</v>
      </c>
      <c r="E100" s="129">
        <f>'дод. 3'!F161</f>
        <v>9856700</v>
      </c>
      <c r="F100" s="129">
        <f>'дод. 3'!G161</f>
        <v>9856700</v>
      </c>
      <c r="G100" s="129">
        <f>'дод. 3'!H161</f>
        <v>0</v>
      </c>
      <c r="H100" s="129">
        <f>'дод. 3'!I161</f>
        <v>0</v>
      </c>
      <c r="I100" s="129">
        <f>'дод. 3'!J161</f>
        <v>0</v>
      </c>
      <c r="J100" s="129">
        <f>'дод. 3'!K161</f>
        <v>0</v>
      </c>
      <c r="K100" s="129">
        <f>'дод. 3'!L161</f>
        <v>0</v>
      </c>
      <c r="L100" s="129">
        <f>'дод. 3'!M161</f>
        <v>0</v>
      </c>
      <c r="M100" s="129">
        <f>'дод. 3'!N161</f>
        <v>0</v>
      </c>
      <c r="N100" s="129">
        <f>'дод. 3'!O161</f>
        <v>0</v>
      </c>
      <c r="O100" s="129">
        <f>'дод. 3'!P161</f>
        <v>0</v>
      </c>
      <c r="P100" s="129">
        <f>'дод. 3'!Q161</f>
        <v>9856700</v>
      </c>
      <c r="Q100" s="242"/>
      <c r="R100" s="226"/>
      <c r="S100" s="226"/>
      <c r="Y100" s="151"/>
      <c r="Z100" s="151"/>
    </row>
    <row r="101" spans="1:26" s="58" customFormat="1" ht="16.5" customHeight="1">
      <c r="A101" s="56"/>
      <c r="B101" s="150"/>
      <c r="C101" s="150"/>
      <c r="D101" s="66" t="s">
        <v>527</v>
      </c>
      <c r="E101" s="129">
        <f>'дод. 3'!F162</f>
        <v>9856700</v>
      </c>
      <c r="F101" s="129">
        <f>'дод. 3'!G162</f>
        <v>9856700</v>
      </c>
      <c r="G101" s="129">
        <f>'дод. 3'!H162</f>
        <v>0</v>
      </c>
      <c r="H101" s="129">
        <f>'дод. 3'!I162</f>
        <v>0</v>
      </c>
      <c r="I101" s="129">
        <f>'дод. 3'!J162</f>
        <v>0</v>
      </c>
      <c r="J101" s="129">
        <f>'дод. 3'!K162</f>
        <v>0</v>
      </c>
      <c r="K101" s="129">
        <f>'дод. 3'!L162</f>
        <v>0</v>
      </c>
      <c r="L101" s="129">
        <f>'дод. 3'!M162</f>
        <v>0</v>
      </c>
      <c r="M101" s="129">
        <f>'дод. 3'!N162</f>
        <v>0</v>
      </c>
      <c r="N101" s="129">
        <f>'дод. 3'!O162</f>
        <v>0</v>
      </c>
      <c r="O101" s="129">
        <f>'дод. 3'!P162</f>
        <v>0</v>
      </c>
      <c r="P101" s="129">
        <f>'дод. 3'!Q162</f>
        <v>9856700</v>
      </c>
      <c r="Q101" s="242"/>
      <c r="R101" s="226"/>
      <c r="S101" s="226"/>
      <c r="Y101" s="151"/>
      <c r="Z101" s="151"/>
    </row>
    <row r="102" spans="1:26" s="58" customFormat="1" ht="25.5" customHeight="1">
      <c r="A102" s="56"/>
      <c r="B102" s="150">
        <v>3045</v>
      </c>
      <c r="C102" s="150">
        <v>1040</v>
      </c>
      <c r="D102" s="72" t="s">
        <v>487</v>
      </c>
      <c r="E102" s="129">
        <f>'дод. 3'!F163</f>
        <v>58904500</v>
      </c>
      <c r="F102" s="129">
        <f>'дод. 3'!G163</f>
        <v>58904500</v>
      </c>
      <c r="G102" s="129">
        <f>'дод. 3'!H163</f>
        <v>0</v>
      </c>
      <c r="H102" s="129">
        <f>'дод. 3'!I163</f>
        <v>0</v>
      </c>
      <c r="I102" s="129">
        <f>'дод. 3'!J163</f>
        <v>0</v>
      </c>
      <c r="J102" s="129">
        <f>'дод. 3'!K163</f>
        <v>0</v>
      </c>
      <c r="K102" s="129">
        <f>'дод. 3'!L163</f>
        <v>0</v>
      </c>
      <c r="L102" s="129">
        <f>'дод. 3'!M163</f>
        <v>0</v>
      </c>
      <c r="M102" s="129">
        <f>'дод. 3'!N163</f>
        <v>0</v>
      </c>
      <c r="N102" s="129">
        <f>'дод. 3'!O163</f>
        <v>0</v>
      </c>
      <c r="O102" s="129">
        <f>'дод. 3'!P163</f>
        <v>0</v>
      </c>
      <c r="P102" s="129">
        <f>'дод. 3'!Q163</f>
        <v>58904500</v>
      </c>
      <c r="Q102" s="242"/>
      <c r="R102" s="226"/>
      <c r="S102" s="226"/>
      <c r="Y102" s="151"/>
      <c r="Z102" s="151"/>
    </row>
    <row r="103" spans="1:26" s="58" customFormat="1" ht="17.25" customHeight="1">
      <c r="A103" s="56"/>
      <c r="B103" s="150"/>
      <c r="C103" s="150"/>
      <c r="D103" s="66" t="s">
        <v>527</v>
      </c>
      <c r="E103" s="129">
        <f>'дод. 3'!F164</f>
        <v>58904500</v>
      </c>
      <c r="F103" s="129">
        <f>'дод. 3'!G164</f>
        <v>58904500</v>
      </c>
      <c r="G103" s="129">
        <f>'дод. 3'!H164</f>
        <v>0</v>
      </c>
      <c r="H103" s="129">
        <f>'дод. 3'!I164</f>
        <v>0</v>
      </c>
      <c r="I103" s="129">
        <f>'дод. 3'!J164</f>
        <v>0</v>
      </c>
      <c r="J103" s="129">
        <f>'дод. 3'!K164</f>
        <v>0</v>
      </c>
      <c r="K103" s="129">
        <f>'дод. 3'!L164</f>
        <v>0</v>
      </c>
      <c r="L103" s="129">
        <f>'дод. 3'!M164</f>
        <v>0</v>
      </c>
      <c r="M103" s="129">
        <f>'дод. 3'!N164</f>
        <v>0</v>
      </c>
      <c r="N103" s="129">
        <f>'дод. 3'!O164</f>
        <v>0</v>
      </c>
      <c r="O103" s="129">
        <f>'дод. 3'!P164</f>
        <v>0</v>
      </c>
      <c r="P103" s="129">
        <f>'дод. 3'!Q164</f>
        <v>58904500</v>
      </c>
      <c r="Q103" s="242"/>
      <c r="R103" s="226"/>
      <c r="S103" s="226"/>
      <c r="Y103" s="151"/>
      <c r="Z103" s="151"/>
    </row>
    <row r="104" spans="1:26" s="58" customFormat="1" ht="25.5" customHeight="1">
      <c r="A104" s="56"/>
      <c r="B104" s="150">
        <v>3046</v>
      </c>
      <c r="C104" s="150">
        <v>1040</v>
      </c>
      <c r="D104" s="72" t="s">
        <v>488</v>
      </c>
      <c r="E104" s="129">
        <f>'дод. 3'!F165</f>
        <v>2590200</v>
      </c>
      <c r="F104" s="129">
        <f>'дод. 3'!G165</f>
        <v>2590200</v>
      </c>
      <c r="G104" s="129">
        <f>'дод. 3'!H165</f>
        <v>0</v>
      </c>
      <c r="H104" s="129">
        <f>'дод. 3'!I165</f>
        <v>0</v>
      </c>
      <c r="I104" s="129">
        <f>'дод. 3'!J165</f>
        <v>0</v>
      </c>
      <c r="J104" s="129">
        <f>'дод. 3'!K165</f>
        <v>0</v>
      </c>
      <c r="K104" s="129">
        <f>'дод. 3'!L165</f>
        <v>0</v>
      </c>
      <c r="L104" s="129">
        <f>'дод. 3'!M165</f>
        <v>0</v>
      </c>
      <c r="M104" s="129">
        <f>'дод. 3'!N165</f>
        <v>0</v>
      </c>
      <c r="N104" s="129">
        <f>'дод. 3'!O165</f>
        <v>0</v>
      </c>
      <c r="O104" s="129">
        <f>'дод. 3'!P165</f>
        <v>0</v>
      </c>
      <c r="P104" s="129">
        <f>'дод. 3'!Q165</f>
        <v>2590200</v>
      </c>
      <c r="Q104" s="242"/>
      <c r="R104" s="226"/>
      <c r="S104" s="226"/>
      <c r="Y104" s="151"/>
      <c r="Z104" s="151"/>
    </row>
    <row r="105" spans="1:26" s="58" customFormat="1" ht="20.25" customHeight="1">
      <c r="A105" s="56"/>
      <c r="B105" s="150"/>
      <c r="C105" s="150"/>
      <c r="D105" s="66" t="s">
        <v>527</v>
      </c>
      <c r="E105" s="129">
        <f>'дод. 3'!F166</f>
        <v>2590200</v>
      </c>
      <c r="F105" s="129">
        <f>'дод. 3'!G166</f>
        <v>2590200</v>
      </c>
      <c r="G105" s="129">
        <f>'дод. 3'!H166</f>
        <v>0</v>
      </c>
      <c r="H105" s="129">
        <f>'дод. 3'!I166</f>
        <v>0</v>
      </c>
      <c r="I105" s="129">
        <f>'дод. 3'!J166</f>
        <v>0</v>
      </c>
      <c r="J105" s="129">
        <f>'дод. 3'!K166</f>
        <v>0</v>
      </c>
      <c r="K105" s="129">
        <f>'дод. 3'!L166</f>
        <v>0</v>
      </c>
      <c r="L105" s="129">
        <f>'дод. 3'!M166</f>
        <v>0</v>
      </c>
      <c r="M105" s="129">
        <f>'дод. 3'!N166</f>
        <v>0</v>
      </c>
      <c r="N105" s="129">
        <f>'дод. 3'!O166</f>
        <v>0</v>
      </c>
      <c r="O105" s="129">
        <f>'дод. 3'!P166</f>
        <v>0</v>
      </c>
      <c r="P105" s="129">
        <f>'дод. 3'!Q166</f>
        <v>2590200</v>
      </c>
      <c r="Q105" s="242"/>
      <c r="R105" s="226"/>
      <c r="S105" s="226"/>
      <c r="Y105" s="151"/>
      <c r="Z105" s="151"/>
    </row>
    <row r="106" spans="1:26" s="58" customFormat="1" ht="18.75" customHeight="1">
      <c r="A106" s="56"/>
      <c r="B106" s="150">
        <v>3047</v>
      </c>
      <c r="C106" s="150">
        <v>1040</v>
      </c>
      <c r="D106" s="72" t="s">
        <v>489</v>
      </c>
      <c r="E106" s="129">
        <f>'дод. 3'!F167</f>
        <v>354300</v>
      </c>
      <c r="F106" s="129">
        <f>'дод. 3'!G167</f>
        <v>354300</v>
      </c>
      <c r="G106" s="129">
        <f>'дод. 3'!H167</f>
        <v>0</v>
      </c>
      <c r="H106" s="129">
        <f>'дод. 3'!I167</f>
        <v>0</v>
      </c>
      <c r="I106" s="129">
        <f>'дод. 3'!J167</f>
        <v>0</v>
      </c>
      <c r="J106" s="129">
        <f>'дод. 3'!K167</f>
        <v>0</v>
      </c>
      <c r="K106" s="129">
        <f>'дод. 3'!L167</f>
        <v>0</v>
      </c>
      <c r="L106" s="129">
        <f>'дод. 3'!M167</f>
        <v>0</v>
      </c>
      <c r="M106" s="129">
        <f>'дод. 3'!N167</f>
        <v>0</v>
      </c>
      <c r="N106" s="129">
        <f>'дод. 3'!O167</f>
        <v>0</v>
      </c>
      <c r="O106" s="129">
        <f>'дод. 3'!P167</f>
        <v>0</v>
      </c>
      <c r="P106" s="129">
        <f>'дод. 3'!Q167</f>
        <v>354300</v>
      </c>
      <c r="Q106" s="242"/>
      <c r="R106" s="226"/>
      <c r="S106" s="226"/>
      <c r="Y106" s="151"/>
      <c r="Z106" s="151"/>
    </row>
    <row r="107" spans="1:26" s="58" customFormat="1" ht="20.25" customHeight="1">
      <c r="A107" s="56"/>
      <c r="B107" s="150"/>
      <c r="C107" s="150"/>
      <c r="D107" s="66" t="s">
        <v>527</v>
      </c>
      <c r="E107" s="129">
        <f>'дод. 3'!F168</f>
        <v>354300</v>
      </c>
      <c r="F107" s="129">
        <f>'дод. 3'!G168</f>
        <v>354300</v>
      </c>
      <c r="G107" s="129">
        <f>'дод. 3'!H168</f>
        <v>0</v>
      </c>
      <c r="H107" s="129">
        <f>'дод. 3'!I168</f>
        <v>0</v>
      </c>
      <c r="I107" s="129">
        <f>'дод. 3'!J168</f>
        <v>0</v>
      </c>
      <c r="J107" s="129">
        <f>'дод. 3'!K168</f>
        <v>0</v>
      </c>
      <c r="K107" s="129">
        <f>'дод. 3'!L168</f>
        <v>0</v>
      </c>
      <c r="L107" s="129">
        <f>'дод. 3'!M168</f>
        <v>0</v>
      </c>
      <c r="M107" s="129">
        <f>'дод. 3'!N168</f>
        <v>0</v>
      </c>
      <c r="N107" s="129">
        <f>'дод. 3'!O168</f>
        <v>0</v>
      </c>
      <c r="O107" s="129">
        <f>'дод. 3'!P168</f>
        <v>0</v>
      </c>
      <c r="P107" s="129">
        <f>'дод. 3'!Q168</f>
        <v>354300</v>
      </c>
      <c r="Q107" s="242"/>
      <c r="R107" s="226"/>
      <c r="S107" s="226"/>
      <c r="Y107" s="151"/>
      <c r="Z107" s="151"/>
    </row>
    <row r="108" spans="1:26" s="58" customFormat="1" ht="36.75" customHeight="1">
      <c r="A108" s="56"/>
      <c r="B108" s="150">
        <v>3048</v>
      </c>
      <c r="C108" s="150">
        <v>1040</v>
      </c>
      <c r="D108" s="72" t="s">
        <v>490</v>
      </c>
      <c r="E108" s="129">
        <f>'дод. 3'!F169</f>
        <v>38809400</v>
      </c>
      <c r="F108" s="129">
        <f>'дод. 3'!G169</f>
        <v>38809400</v>
      </c>
      <c r="G108" s="129">
        <f>'дод. 3'!H169</f>
        <v>0</v>
      </c>
      <c r="H108" s="129">
        <f>'дод. 3'!I169</f>
        <v>0</v>
      </c>
      <c r="I108" s="129">
        <f>'дод. 3'!J169</f>
        <v>0</v>
      </c>
      <c r="J108" s="129">
        <f>'дод. 3'!K169</f>
        <v>0</v>
      </c>
      <c r="K108" s="129">
        <f>'дод. 3'!L169</f>
        <v>0</v>
      </c>
      <c r="L108" s="129">
        <f>'дод. 3'!M169</f>
        <v>0</v>
      </c>
      <c r="M108" s="129">
        <f>'дод. 3'!N169</f>
        <v>0</v>
      </c>
      <c r="N108" s="129">
        <f>'дод. 3'!O169</f>
        <v>0</v>
      </c>
      <c r="O108" s="129">
        <f>'дод. 3'!P169</f>
        <v>0</v>
      </c>
      <c r="P108" s="129">
        <f>'дод. 3'!Q169</f>
        <v>38809400</v>
      </c>
      <c r="Q108" s="242"/>
      <c r="R108" s="226"/>
      <c r="S108" s="226"/>
      <c r="Y108" s="151"/>
      <c r="Z108" s="151"/>
    </row>
    <row r="109" spans="1:26" s="58" customFormat="1" ht="23.25" customHeight="1">
      <c r="A109" s="56"/>
      <c r="B109" s="150"/>
      <c r="C109" s="150"/>
      <c r="D109" s="66" t="s">
        <v>527</v>
      </c>
      <c r="E109" s="129">
        <f>'дод. 3'!F170</f>
        <v>38809400</v>
      </c>
      <c r="F109" s="129">
        <f>'дод. 3'!G170</f>
        <v>38809400</v>
      </c>
      <c r="G109" s="129">
        <f>'дод. 3'!H170</f>
        <v>0</v>
      </c>
      <c r="H109" s="129">
        <f>'дод. 3'!I170</f>
        <v>0</v>
      </c>
      <c r="I109" s="129">
        <f>'дод. 3'!J170</f>
        <v>0</v>
      </c>
      <c r="J109" s="129">
        <f>'дод. 3'!K170</f>
        <v>0</v>
      </c>
      <c r="K109" s="129">
        <f>'дод. 3'!L170</f>
        <v>0</v>
      </c>
      <c r="L109" s="129">
        <f>'дод. 3'!M170</f>
        <v>0</v>
      </c>
      <c r="M109" s="129">
        <f>'дод. 3'!N170</f>
        <v>0</v>
      </c>
      <c r="N109" s="129">
        <f>'дод. 3'!O170</f>
        <v>0</v>
      </c>
      <c r="O109" s="129">
        <f>'дод. 3'!P170</f>
        <v>0</v>
      </c>
      <c r="P109" s="129">
        <f>'дод. 3'!Q170</f>
        <v>38809400</v>
      </c>
      <c r="Q109" s="242"/>
      <c r="R109" s="226"/>
      <c r="S109" s="226"/>
      <c r="Y109" s="151"/>
      <c r="Z109" s="151"/>
    </row>
    <row r="110" spans="1:26" s="58" customFormat="1" ht="32.25" customHeight="1">
      <c r="A110" s="56"/>
      <c r="B110" s="150">
        <v>3049</v>
      </c>
      <c r="C110" s="150">
        <v>1010</v>
      </c>
      <c r="D110" s="72" t="s">
        <v>491</v>
      </c>
      <c r="E110" s="129">
        <f>'дод. 3'!F171</f>
        <v>50694000</v>
      </c>
      <c r="F110" s="129">
        <f>'дод. 3'!G171</f>
        <v>50694000</v>
      </c>
      <c r="G110" s="129">
        <f>'дод. 3'!H171</f>
        <v>0</v>
      </c>
      <c r="H110" s="129">
        <f>'дод. 3'!I171</f>
        <v>0</v>
      </c>
      <c r="I110" s="129">
        <f>'дод. 3'!J171</f>
        <v>0</v>
      </c>
      <c r="J110" s="129">
        <f>'дод. 3'!K171</f>
        <v>0</v>
      </c>
      <c r="K110" s="129">
        <f>'дод. 3'!L171</f>
        <v>0</v>
      </c>
      <c r="L110" s="129">
        <f>'дод. 3'!M171</f>
        <v>0</v>
      </c>
      <c r="M110" s="129">
        <f>'дод. 3'!N171</f>
        <v>0</v>
      </c>
      <c r="N110" s="129">
        <f>'дод. 3'!O171</f>
        <v>0</v>
      </c>
      <c r="O110" s="129">
        <f>'дод. 3'!P171</f>
        <v>0</v>
      </c>
      <c r="P110" s="129">
        <f>'дод. 3'!Q171</f>
        <v>50694000</v>
      </c>
      <c r="Q110" s="242"/>
      <c r="R110" s="226"/>
      <c r="S110" s="226"/>
      <c r="Y110" s="151"/>
      <c r="Z110" s="151"/>
    </row>
    <row r="111" spans="1:26" s="58" customFormat="1" ht="18.75" customHeight="1">
      <c r="A111" s="56"/>
      <c r="B111" s="150"/>
      <c r="C111" s="150"/>
      <c r="D111" s="66" t="s">
        <v>527</v>
      </c>
      <c r="E111" s="129">
        <f>'дод. 3'!F172</f>
        <v>50694000</v>
      </c>
      <c r="F111" s="129">
        <f>'дод. 3'!G172</f>
        <v>50694000</v>
      </c>
      <c r="G111" s="129">
        <f>'дод. 3'!H172</f>
        <v>0</v>
      </c>
      <c r="H111" s="129">
        <f>'дод. 3'!I172</f>
        <v>0</v>
      </c>
      <c r="I111" s="129">
        <f>'дод. 3'!J172</f>
        <v>0</v>
      </c>
      <c r="J111" s="129">
        <f>'дод. 3'!K172</f>
        <v>0</v>
      </c>
      <c r="K111" s="129">
        <f>'дод. 3'!L172</f>
        <v>0</v>
      </c>
      <c r="L111" s="129">
        <f>'дод. 3'!M172</f>
        <v>0</v>
      </c>
      <c r="M111" s="129">
        <f>'дод. 3'!N172</f>
        <v>0</v>
      </c>
      <c r="N111" s="129">
        <f>'дод. 3'!O172</f>
        <v>0</v>
      </c>
      <c r="O111" s="129">
        <f>'дод. 3'!P172</f>
        <v>0</v>
      </c>
      <c r="P111" s="129">
        <f>'дод. 3'!Q172</f>
        <v>50694000</v>
      </c>
      <c r="Q111" s="242"/>
      <c r="R111" s="226"/>
      <c r="S111" s="226"/>
      <c r="Y111" s="151"/>
      <c r="Z111" s="151"/>
    </row>
    <row r="112" spans="2:26" ht="38.25" customHeight="1">
      <c r="B112" s="51" t="s">
        <v>395</v>
      </c>
      <c r="C112" s="51" t="s">
        <v>262</v>
      </c>
      <c r="D112" s="71" t="s">
        <v>109</v>
      </c>
      <c r="E112" s="128">
        <f>'дод. 3'!F173</f>
        <v>930500</v>
      </c>
      <c r="F112" s="128">
        <f>'дод. 3'!G173</f>
        <v>930500</v>
      </c>
      <c r="G112" s="128">
        <f>'дод. 3'!H173</f>
        <v>0</v>
      </c>
      <c r="H112" s="128">
        <f>'дод. 3'!I173</f>
        <v>0</v>
      </c>
      <c r="I112" s="128">
        <f>'дод. 3'!J173</f>
        <v>0</v>
      </c>
      <c r="J112" s="128">
        <f>'дод. 3'!K173</f>
        <v>0</v>
      </c>
      <c r="K112" s="128">
        <f>'дод. 3'!L173</f>
        <v>0</v>
      </c>
      <c r="L112" s="128">
        <f>'дод. 3'!M173</f>
        <v>0</v>
      </c>
      <c r="M112" s="128">
        <f>'дод. 3'!N173</f>
        <v>0</v>
      </c>
      <c r="N112" s="128">
        <f>'дод. 3'!O173</f>
        <v>0</v>
      </c>
      <c r="O112" s="128">
        <f>'дод. 3'!P173</f>
        <v>0</v>
      </c>
      <c r="P112" s="128">
        <f>E112+J112</f>
        <v>930500</v>
      </c>
      <c r="Q112" s="242"/>
      <c r="R112" s="226"/>
      <c r="S112" s="226"/>
      <c r="Y112" s="89"/>
      <c r="Z112" s="89"/>
    </row>
    <row r="113" spans="2:26" ht="41.25" customHeight="1">
      <c r="B113" s="149">
        <v>3080</v>
      </c>
      <c r="C113" s="149">
        <v>1010</v>
      </c>
      <c r="D113" s="71" t="s">
        <v>538</v>
      </c>
      <c r="E113" s="128">
        <f>'дод. 3'!F174</f>
        <v>8977500</v>
      </c>
      <c r="F113" s="128">
        <f>'дод. 3'!G174</f>
        <v>8977500</v>
      </c>
      <c r="G113" s="128">
        <f>'дод. 3'!H174</f>
        <v>0</v>
      </c>
      <c r="H113" s="128">
        <f>'дод. 3'!I174</f>
        <v>0</v>
      </c>
      <c r="I113" s="128">
        <f>'дод. 3'!J174</f>
        <v>0</v>
      </c>
      <c r="J113" s="128">
        <f>'дод. 3'!K174</f>
        <v>0</v>
      </c>
      <c r="K113" s="128">
        <f>'дод. 3'!L174</f>
        <v>0</v>
      </c>
      <c r="L113" s="128">
        <f>'дод. 3'!M174</f>
        <v>0</v>
      </c>
      <c r="M113" s="128">
        <f>'дод. 3'!N174</f>
        <v>0</v>
      </c>
      <c r="N113" s="128">
        <f>'дод. 3'!O174</f>
        <v>0</v>
      </c>
      <c r="O113" s="128">
        <f>'дод. 3'!P174</f>
        <v>0</v>
      </c>
      <c r="P113" s="128">
        <f>'дод. 3'!Q174</f>
        <v>8977500</v>
      </c>
      <c r="Q113" s="242"/>
      <c r="R113" s="226"/>
      <c r="S113" s="226"/>
      <c r="Y113" s="89"/>
      <c r="Z113" s="89"/>
    </row>
    <row r="114" spans="2:26" ht="23.25" customHeight="1">
      <c r="B114" s="149"/>
      <c r="C114" s="149"/>
      <c r="D114" s="65" t="s">
        <v>527</v>
      </c>
      <c r="E114" s="128">
        <f>'дод. 3'!F175</f>
        <v>8977500</v>
      </c>
      <c r="F114" s="128">
        <f>'дод. 3'!G175</f>
        <v>8977500</v>
      </c>
      <c r="G114" s="128">
        <f>'дод. 3'!H175</f>
        <v>0</v>
      </c>
      <c r="H114" s="128">
        <f>'дод. 3'!I175</f>
        <v>0</v>
      </c>
      <c r="I114" s="128">
        <f>'дод. 3'!J175</f>
        <v>0</v>
      </c>
      <c r="J114" s="128">
        <f>'дод. 3'!K175</f>
        <v>0</v>
      </c>
      <c r="K114" s="128">
        <f>'дод. 3'!L175</f>
        <v>0</v>
      </c>
      <c r="L114" s="128">
        <f>'дод. 3'!M175</f>
        <v>0</v>
      </c>
      <c r="M114" s="128">
        <f>'дод. 3'!N175</f>
        <v>0</v>
      </c>
      <c r="N114" s="128">
        <f>'дод. 3'!O175</f>
        <v>0</v>
      </c>
      <c r="O114" s="128">
        <f>'дод. 3'!P175</f>
        <v>0</v>
      </c>
      <c r="P114" s="128">
        <f>'дод. 3'!Q175</f>
        <v>8977500</v>
      </c>
      <c r="Q114" s="242"/>
      <c r="R114" s="226"/>
      <c r="S114" s="226"/>
      <c r="Y114" s="89"/>
      <c r="Z114" s="89"/>
    </row>
    <row r="115" spans="2:26" ht="19.5" customHeight="1">
      <c r="B115" s="149">
        <v>3090</v>
      </c>
      <c r="C115" s="149">
        <v>1030</v>
      </c>
      <c r="D115" s="156" t="s">
        <v>492</v>
      </c>
      <c r="E115" s="128">
        <f>'дод. 3'!F176</f>
        <v>196100</v>
      </c>
      <c r="F115" s="128">
        <f>'дод. 3'!G176</f>
        <v>196100</v>
      </c>
      <c r="G115" s="128">
        <f>'дод. 3'!H176</f>
        <v>0</v>
      </c>
      <c r="H115" s="128">
        <f>'дод. 3'!I176</f>
        <v>0</v>
      </c>
      <c r="I115" s="128">
        <f>'дод. 3'!J176</f>
        <v>0</v>
      </c>
      <c r="J115" s="128">
        <f>'дод. 3'!K176</f>
        <v>0</v>
      </c>
      <c r="K115" s="128">
        <f>'дод. 3'!L176</f>
        <v>0</v>
      </c>
      <c r="L115" s="128">
        <f>'дод. 3'!M176</f>
        <v>0</v>
      </c>
      <c r="M115" s="128">
        <f>'дод. 3'!N176</f>
        <v>0</v>
      </c>
      <c r="N115" s="128">
        <f>'дод. 3'!O176</f>
        <v>0</v>
      </c>
      <c r="O115" s="128">
        <f>'дод. 3'!P176</f>
        <v>0</v>
      </c>
      <c r="P115" s="128">
        <f>'дод. 3'!Q176</f>
        <v>196100</v>
      </c>
      <c r="Q115" s="242"/>
      <c r="R115" s="226"/>
      <c r="S115" s="226"/>
      <c r="Y115" s="89"/>
      <c r="Z115" s="89"/>
    </row>
    <row r="116" spans="2:26" ht="59.25" customHeight="1">
      <c r="B116" s="51" t="s">
        <v>396</v>
      </c>
      <c r="C116" s="73"/>
      <c r="D116" s="71" t="s">
        <v>110</v>
      </c>
      <c r="E116" s="128">
        <f>E117</f>
        <v>8318882</v>
      </c>
      <c r="F116" s="128">
        <f aca="true" t="shared" si="13" ref="F116:O116">F117</f>
        <v>8318882</v>
      </c>
      <c r="G116" s="128">
        <f t="shared" si="13"/>
        <v>6253700</v>
      </c>
      <c r="H116" s="128">
        <f t="shared" si="13"/>
        <v>195000</v>
      </c>
      <c r="I116" s="128">
        <f t="shared" si="13"/>
        <v>0</v>
      </c>
      <c r="J116" s="128">
        <f t="shared" si="13"/>
        <v>66803</v>
      </c>
      <c r="K116" s="128">
        <f t="shared" si="13"/>
        <v>48900</v>
      </c>
      <c r="L116" s="128">
        <f t="shared" si="13"/>
        <v>39000</v>
      </c>
      <c r="M116" s="128">
        <f t="shared" si="13"/>
        <v>0</v>
      </c>
      <c r="N116" s="128">
        <f t="shared" si="13"/>
        <v>17903</v>
      </c>
      <c r="O116" s="128">
        <f t="shared" si="13"/>
        <v>17903</v>
      </c>
      <c r="P116" s="128">
        <f aca="true" t="shared" si="14" ref="P116:P125">E116+J116</f>
        <v>8385685</v>
      </c>
      <c r="Q116" s="242"/>
      <c r="R116" s="226"/>
      <c r="S116" s="226"/>
      <c r="Y116" s="89"/>
      <c r="Z116" s="89"/>
    </row>
    <row r="117" spans="1:26" s="58" customFormat="1" ht="52.5" customHeight="1">
      <c r="A117" s="56"/>
      <c r="B117" s="55" t="s">
        <v>397</v>
      </c>
      <c r="C117" s="55" t="s">
        <v>258</v>
      </c>
      <c r="D117" s="72" t="s">
        <v>111</v>
      </c>
      <c r="E117" s="129">
        <f>'дод. 3'!F178</f>
        <v>8318882</v>
      </c>
      <c r="F117" s="129">
        <f>'дод. 3'!G178</f>
        <v>8318882</v>
      </c>
      <c r="G117" s="129">
        <f>'дод. 3'!H178</f>
        <v>6253700</v>
      </c>
      <c r="H117" s="129">
        <f>'дод. 3'!I178</f>
        <v>195000</v>
      </c>
      <c r="I117" s="129">
        <f>'дод. 3'!J178</f>
        <v>0</v>
      </c>
      <c r="J117" s="129">
        <f>'дод. 3'!K178</f>
        <v>66803</v>
      </c>
      <c r="K117" s="129">
        <f>'дод. 3'!L178</f>
        <v>48900</v>
      </c>
      <c r="L117" s="129">
        <f>'дод. 3'!M178</f>
        <v>39000</v>
      </c>
      <c r="M117" s="129">
        <f>'дод. 3'!N178</f>
        <v>0</v>
      </c>
      <c r="N117" s="129">
        <f>'дод. 3'!O178</f>
        <v>17903</v>
      </c>
      <c r="O117" s="129">
        <f>'дод. 3'!P178</f>
        <v>17903</v>
      </c>
      <c r="P117" s="129">
        <f t="shared" si="14"/>
        <v>8385685</v>
      </c>
      <c r="Q117" s="242"/>
      <c r="R117" s="226"/>
      <c r="S117" s="226"/>
      <c r="Y117" s="151"/>
      <c r="Z117" s="151"/>
    </row>
    <row r="118" spans="2:26" ht="16.5">
      <c r="B118" s="51" t="s">
        <v>417</v>
      </c>
      <c r="C118" s="51"/>
      <c r="D118" s="71" t="s">
        <v>125</v>
      </c>
      <c r="E118" s="128">
        <f>E119</f>
        <v>55000</v>
      </c>
      <c r="F118" s="128">
        <f aca="true" t="shared" si="15" ref="F118:O118">F119</f>
        <v>55000</v>
      </c>
      <c r="G118" s="128">
        <f t="shared" si="15"/>
        <v>0</v>
      </c>
      <c r="H118" s="128">
        <f t="shared" si="15"/>
        <v>0</v>
      </c>
      <c r="I118" s="128">
        <f t="shared" si="15"/>
        <v>0</v>
      </c>
      <c r="J118" s="128">
        <f t="shared" si="15"/>
        <v>0</v>
      </c>
      <c r="K118" s="128">
        <f t="shared" si="15"/>
        <v>0</v>
      </c>
      <c r="L118" s="128">
        <f t="shared" si="15"/>
        <v>0</v>
      </c>
      <c r="M118" s="128">
        <f t="shared" si="15"/>
        <v>0</v>
      </c>
      <c r="N118" s="128">
        <f t="shared" si="15"/>
        <v>0</v>
      </c>
      <c r="O118" s="128">
        <f t="shared" si="15"/>
        <v>0</v>
      </c>
      <c r="P118" s="128">
        <f t="shared" si="14"/>
        <v>55000</v>
      </c>
      <c r="Q118" s="242"/>
      <c r="Y118" s="89"/>
      <c r="Z118" s="89"/>
    </row>
    <row r="119" spans="1:26" s="58" customFormat="1" ht="31.5">
      <c r="A119" s="56"/>
      <c r="B119" s="55" t="s">
        <v>398</v>
      </c>
      <c r="C119" s="55" t="s">
        <v>394</v>
      </c>
      <c r="D119" s="72" t="s">
        <v>122</v>
      </c>
      <c r="E119" s="129">
        <f>'дод. 3'!F201</f>
        <v>55000</v>
      </c>
      <c r="F119" s="129">
        <f>'дод. 3'!G201</f>
        <v>55000</v>
      </c>
      <c r="G119" s="129">
        <f>'дод. 3'!H201</f>
        <v>0</v>
      </c>
      <c r="H119" s="129">
        <f>'дод. 3'!I201</f>
        <v>0</v>
      </c>
      <c r="I119" s="129">
        <f>'дод. 3'!J201</f>
        <v>0</v>
      </c>
      <c r="J119" s="129">
        <f>'дод. 3'!K201</f>
        <v>0</v>
      </c>
      <c r="K119" s="129">
        <f>'дод. 3'!L201</f>
        <v>0</v>
      </c>
      <c r="L119" s="129">
        <f>'дод. 3'!M201</f>
        <v>0</v>
      </c>
      <c r="M119" s="129">
        <f>'дод. 3'!N201</f>
        <v>0</v>
      </c>
      <c r="N119" s="129">
        <f>'дод. 3'!O201</f>
        <v>0</v>
      </c>
      <c r="O119" s="129">
        <f>'дод. 3'!P201</f>
        <v>0</v>
      </c>
      <c r="P119" s="129">
        <f t="shared" si="14"/>
        <v>55000</v>
      </c>
      <c r="Q119" s="242"/>
      <c r="Y119" s="151"/>
      <c r="Z119" s="151"/>
    </row>
    <row r="120" spans="2:26" ht="31.5">
      <c r="B120" s="51" t="s">
        <v>410</v>
      </c>
      <c r="C120" s="51"/>
      <c r="D120" s="71" t="s">
        <v>32</v>
      </c>
      <c r="E120" s="128">
        <f>E121+E122</f>
        <v>1503600</v>
      </c>
      <c r="F120" s="128">
        <f aca="true" t="shared" si="16" ref="F120:O120">F121+F122</f>
        <v>1503600</v>
      </c>
      <c r="G120" s="128">
        <f t="shared" si="16"/>
        <v>1114600</v>
      </c>
      <c r="H120" s="128">
        <f t="shared" si="16"/>
        <v>62600</v>
      </c>
      <c r="I120" s="128">
        <f t="shared" si="16"/>
        <v>0</v>
      </c>
      <c r="J120" s="128">
        <f t="shared" si="16"/>
        <v>0</v>
      </c>
      <c r="K120" s="128">
        <f t="shared" si="16"/>
        <v>0</v>
      </c>
      <c r="L120" s="128">
        <f t="shared" si="16"/>
        <v>0</v>
      </c>
      <c r="M120" s="128">
        <f t="shared" si="16"/>
        <v>0</v>
      </c>
      <c r="N120" s="128">
        <f t="shared" si="16"/>
        <v>0</v>
      </c>
      <c r="O120" s="128">
        <f t="shared" si="16"/>
        <v>0</v>
      </c>
      <c r="P120" s="128">
        <f t="shared" si="14"/>
        <v>1503600</v>
      </c>
      <c r="Q120" s="242"/>
      <c r="Y120" s="89"/>
      <c r="Z120" s="89"/>
    </row>
    <row r="121" spans="1:26" s="58" customFormat="1" ht="33" customHeight="1">
      <c r="A121" s="56"/>
      <c r="B121" s="55" t="s">
        <v>411</v>
      </c>
      <c r="C121" s="55" t="s">
        <v>394</v>
      </c>
      <c r="D121" s="72" t="s">
        <v>36</v>
      </c>
      <c r="E121" s="129">
        <f>'дод. 3'!F19</f>
        <v>1455600</v>
      </c>
      <c r="F121" s="129">
        <f>'дод. 3'!G19</f>
        <v>1455600</v>
      </c>
      <c r="G121" s="129">
        <f>'дод. 3'!H19</f>
        <v>1114600</v>
      </c>
      <c r="H121" s="129">
        <f>'дод. 3'!I19</f>
        <v>62600</v>
      </c>
      <c r="I121" s="129">
        <f>'дод. 3'!J19</f>
        <v>0</v>
      </c>
      <c r="J121" s="129">
        <f>'дод. 3'!K19</f>
        <v>0</v>
      </c>
      <c r="K121" s="129">
        <f>'дод. 3'!L19</f>
        <v>0</v>
      </c>
      <c r="L121" s="129">
        <f>'дод. 3'!M19</f>
        <v>0</v>
      </c>
      <c r="M121" s="129">
        <f>'дод. 3'!N19</f>
        <v>0</v>
      </c>
      <c r="N121" s="129">
        <f>'дод. 3'!O19</f>
        <v>0</v>
      </c>
      <c r="O121" s="129">
        <f>'дод. 3'!P19</f>
        <v>0</v>
      </c>
      <c r="P121" s="129">
        <f t="shared" si="14"/>
        <v>1455600</v>
      </c>
      <c r="Q121" s="242"/>
      <c r="Y121" s="151"/>
      <c r="Z121" s="151"/>
    </row>
    <row r="122" spans="1:26" s="58" customFormat="1" ht="45" customHeight="1">
      <c r="A122" s="56"/>
      <c r="B122" s="55" t="s">
        <v>412</v>
      </c>
      <c r="C122" s="55" t="s">
        <v>394</v>
      </c>
      <c r="D122" s="72" t="s">
        <v>37</v>
      </c>
      <c r="E122" s="129">
        <f>'дод. 3'!F20</f>
        <v>48000</v>
      </c>
      <c r="F122" s="129">
        <f>'дод. 3'!G20</f>
        <v>48000</v>
      </c>
      <c r="G122" s="129">
        <f>'дод. 3'!H20</f>
        <v>0</v>
      </c>
      <c r="H122" s="129">
        <f>'дод. 3'!I20</f>
        <v>0</v>
      </c>
      <c r="I122" s="129">
        <f>'дод. 3'!J20</f>
        <v>0</v>
      </c>
      <c r="J122" s="129">
        <f>'дод. 3'!K20</f>
        <v>0</v>
      </c>
      <c r="K122" s="129">
        <f>'дод. 3'!L20</f>
        <v>0</v>
      </c>
      <c r="L122" s="129">
        <f>'дод. 3'!M20</f>
        <v>0</v>
      </c>
      <c r="M122" s="129">
        <f>'дод. 3'!N20</f>
        <v>0</v>
      </c>
      <c r="N122" s="129">
        <f>'дод. 3'!O20</f>
        <v>0</v>
      </c>
      <c r="O122" s="129">
        <f>'дод. 3'!P20</f>
        <v>0</v>
      </c>
      <c r="P122" s="129">
        <f t="shared" si="14"/>
        <v>48000</v>
      </c>
      <c r="Q122" s="242"/>
      <c r="Y122" s="151"/>
      <c r="Z122" s="151"/>
    </row>
    <row r="123" spans="2:26" ht="25.5" customHeight="1">
      <c r="B123" s="51" t="s">
        <v>413</v>
      </c>
      <c r="C123" s="51" t="s">
        <v>394</v>
      </c>
      <c r="D123" s="71" t="s">
        <v>497</v>
      </c>
      <c r="E123" s="128">
        <f>'дод. 3'!F21</f>
        <v>744135</v>
      </c>
      <c r="F123" s="128">
        <f>'дод. 3'!G21</f>
        <v>744135</v>
      </c>
      <c r="G123" s="128">
        <f>'дод. 3'!H21</f>
        <v>0</v>
      </c>
      <c r="H123" s="128">
        <f>'дод. 3'!I21</f>
        <v>0</v>
      </c>
      <c r="I123" s="128">
        <f>'дод. 3'!J21</f>
        <v>0</v>
      </c>
      <c r="J123" s="128">
        <f>'дод. 3'!K21</f>
        <v>0</v>
      </c>
      <c r="K123" s="128">
        <f>'дод. 3'!L21</f>
        <v>0</v>
      </c>
      <c r="L123" s="128">
        <f>'дод. 3'!M21</f>
        <v>0</v>
      </c>
      <c r="M123" s="128">
        <f>'дод. 3'!N21</f>
        <v>0</v>
      </c>
      <c r="N123" s="128">
        <f>'дод. 3'!O21</f>
        <v>0</v>
      </c>
      <c r="O123" s="128">
        <f>'дод. 3'!P21</f>
        <v>0</v>
      </c>
      <c r="P123" s="128">
        <f t="shared" si="14"/>
        <v>744135</v>
      </c>
      <c r="Q123" s="242"/>
      <c r="Y123" s="89"/>
      <c r="Z123" s="89"/>
    </row>
    <row r="124" spans="2:26" ht="42" customHeight="1">
      <c r="B124" s="39" t="s">
        <v>529</v>
      </c>
      <c r="C124" s="39" t="s">
        <v>394</v>
      </c>
      <c r="D124" s="32" t="s">
        <v>530</v>
      </c>
      <c r="E124" s="128">
        <f>'дод. 3'!F22</f>
        <v>744135</v>
      </c>
      <c r="F124" s="128">
        <f>'дод. 3'!G22</f>
        <v>744135</v>
      </c>
      <c r="G124" s="128">
        <f>'дод. 3'!H22</f>
        <v>0</v>
      </c>
      <c r="H124" s="128">
        <f>'дод. 3'!I22</f>
        <v>0</v>
      </c>
      <c r="I124" s="128">
        <f>'дод. 3'!J22</f>
        <v>0</v>
      </c>
      <c r="J124" s="128">
        <f>'дод. 3'!K22</f>
        <v>0</v>
      </c>
      <c r="K124" s="128">
        <f>'дод. 3'!L22</f>
        <v>0</v>
      </c>
      <c r="L124" s="128">
        <f>'дод. 3'!M22</f>
        <v>0</v>
      </c>
      <c r="M124" s="128">
        <f>'дод. 3'!N22</f>
        <v>0</v>
      </c>
      <c r="N124" s="128">
        <f>'дод. 3'!O22</f>
        <v>0</v>
      </c>
      <c r="O124" s="128">
        <f>'дод. 3'!P22</f>
        <v>0</v>
      </c>
      <c r="P124" s="119">
        <f t="shared" si="14"/>
        <v>744135</v>
      </c>
      <c r="Q124" s="242"/>
      <c r="Y124" s="89"/>
      <c r="Z124" s="89"/>
    </row>
    <row r="125" spans="2:26" ht="73.5" customHeight="1">
      <c r="B125" s="51" t="s">
        <v>415</v>
      </c>
      <c r="C125" s="51" t="s">
        <v>394</v>
      </c>
      <c r="D125" s="79" t="s">
        <v>39</v>
      </c>
      <c r="E125" s="128">
        <f>'дод. 3'!F23+'дод. 3'!F85</f>
        <v>5401800</v>
      </c>
      <c r="F125" s="128">
        <f>'дод. 3'!G23+'дод. 3'!G85</f>
        <v>5401800</v>
      </c>
      <c r="G125" s="128">
        <f>'дод. 3'!H23+'дод. 3'!H85</f>
        <v>0</v>
      </c>
      <c r="H125" s="128">
        <f>'дод. 3'!I23+'дод. 3'!I85</f>
        <v>0</v>
      </c>
      <c r="I125" s="128">
        <f>'дод. 3'!J23+'дод. 3'!J85</f>
        <v>0</v>
      </c>
      <c r="J125" s="128">
        <f>'дод. 3'!K23+'дод. 3'!K85</f>
        <v>0</v>
      </c>
      <c r="K125" s="128">
        <f>'дод. 3'!L23+'дод. 3'!L85</f>
        <v>0</v>
      </c>
      <c r="L125" s="128">
        <f>'дод. 3'!M23+'дод. 3'!M85</f>
        <v>0</v>
      </c>
      <c r="M125" s="128">
        <f>'дод. 3'!N23+'дод. 3'!N85</f>
        <v>0</v>
      </c>
      <c r="N125" s="128">
        <f>'дод. 3'!O23+'дод. 3'!O85</f>
        <v>0</v>
      </c>
      <c r="O125" s="128">
        <f>'дод. 3'!P23+'дод. 3'!P85</f>
        <v>0</v>
      </c>
      <c r="P125" s="128">
        <f t="shared" si="14"/>
        <v>5401800</v>
      </c>
      <c r="Q125" s="242"/>
      <c r="Y125" s="89"/>
      <c r="Z125" s="89"/>
    </row>
    <row r="126" spans="2:26" ht="75" customHeight="1">
      <c r="B126" s="51" t="s">
        <v>399</v>
      </c>
      <c r="C126" s="73"/>
      <c r="D126" s="71" t="s">
        <v>112</v>
      </c>
      <c r="E126" s="128">
        <f>E127+E128+E129</f>
        <v>1715937</v>
      </c>
      <c r="F126" s="128">
        <f aca="true" t="shared" si="17" ref="F126:P126">F127+F128+F129</f>
        <v>1715937</v>
      </c>
      <c r="G126" s="128">
        <f t="shared" si="17"/>
        <v>0</v>
      </c>
      <c r="H126" s="128">
        <f t="shared" si="17"/>
        <v>0</v>
      </c>
      <c r="I126" s="128">
        <f t="shared" si="17"/>
        <v>0</v>
      </c>
      <c r="J126" s="128">
        <f t="shared" si="17"/>
        <v>0</v>
      </c>
      <c r="K126" s="128">
        <f t="shared" si="17"/>
        <v>0</v>
      </c>
      <c r="L126" s="128">
        <f t="shared" si="17"/>
        <v>0</v>
      </c>
      <c r="M126" s="128">
        <f t="shared" si="17"/>
        <v>0</v>
      </c>
      <c r="N126" s="128">
        <f t="shared" si="17"/>
        <v>0</v>
      </c>
      <c r="O126" s="128">
        <f t="shared" si="17"/>
        <v>0</v>
      </c>
      <c r="P126" s="128">
        <f t="shared" si="17"/>
        <v>1715937</v>
      </c>
      <c r="Q126" s="242">
        <v>39</v>
      </c>
      <c r="Y126" s="89"/>
      <c r="Z126" s="89"/>
    </row>
    <row r="127" spans="1:26" s="58" customFormat="1" ht="75" customHeight="1">
      <c r="A127" s="56"/>
      <c r="B127" s="55" t="s">
        <v>400</v>
      </c>
      <c r="C127" s="55" t="s">
        <v>256</v>
      </c>
      <c r="D127" s="72" t="s">
        <v>113</v>
      </c>
      <c r="E127" s="129">
        <f>'дод. 3'!F180</f>
        <v>1534100</v>
      </c>
      <c r="F127" s="129">
        <f>'дод. 3'!G180</f>
        <v>1534100</v>
      </c>
      <c r="G127" s="129">
        <f>'дод. 3'!H180</f>
        <v>0</v>
      </c>
      <c r="H127" s="129">
        <f>'дод. 3'!I180</f>
        <v>0</v>
      </c>
      <c r="I127" s="129">
        <f>'дод. 3'!J180</f>
        <v>0</v>
      </c>
      <c r="J127" s="129">
        <f>'дод. 3'!K180</f>
        <v>0</v>
      </c>
      <c r="K127" s="129">
        <f>'дод. 3'!L180</f>
        <v>0</v>
      </c>
      <c r="L127" s="129">
        <f>'дод. 3'!M180</f>
        <v>0</v>
      </c>
      <c r="M127" s="129">
        <f>'дод. 3'!N180</f>
        <v>0</v>
      </c>
      <c r="N127" s="129">
        <f>'дод. 3'!O180</f>
        <v>0</v>
      </c>
      <c r="O127" s="129">
        <f>'дод. 3'!P180</f>
        <v>0</v>
      </c>
      <c r="P127" s="129">
        <f>E127+J127</f>
        <v>1534100</v>
      </c>
      <c r="Q127" s="242"/>
      <c r="Y127" s="151"/>
      <c r="Z127" s="151"/>
    </row>
    <row r="128" spans="1:26" s="58" customFormat="1" ht="54.75" customHeight="1">
      <c r="A128" s="56"/>
      <c r="B128" s="150">
        <v>3182</v>
      </c>
      <c r="C128" s="150">
        <v>1010</v>
      </c>
      <c r="D128" s="72" t="s">
        <v>493</v>
      </c>
      <c r="E128" s="129">
        <f>'дод. 3'!F181</f>
        <v>176637</v>
      </c>
      <c r="F128" s="129">
        <f>'дод. 3'!G181</f>
        <v>176637</v>
      </c>
      <c r="G128" s="129">
        <f>'дод. 3'!H181</f>
        <v>0</v>
      </c>
      <c r="H128" s="129">
        <f>'дод. 3'!I181</f>
        <v>0</v>
      </c>
      <c r="I128" s="129">
        <f>'дод. 3'!J181</f>
        <v>0</v>
      </c>
      <c r="J128" s="129">
        <f>'дод. 3'!K181</f>
        <v>0</v>
      </c>
      <c r="K128" s="129">
        <f>'дод. 3'!L181</f>
        <v>0</v>
      </c>
      <c r="L128" s="129">
        <f>'дод. 3'!M181</f>
        <v>0</v>
      </c>
      <c r="M128" s="129">
        <f>'дод. 3'!N181</f>
        <v>0</v>
      </c>
      <c r="N128" s="129">
        <f>'дод. 3'!O181</f>
        <v>0</v>
      </c>
      <c r="O128" s="129">
        <f>'дод. 3'!P181</f>
        <v>0</v>
      </c>
      <c r="P128" s="129">
        <f>'дод. 3'!Q181</f>
        <v>176637</v>
      </c>
      <c r="Q128" s="242"/>
      <c r="Y128" s="151"/>
      <c r="Z128" s="151"/>
    </row>
    <row r="129" spans="1:26" s="58" customFormat="1" ht="31.5" customHeight="1">
      <c r="A129" s="56"/>
      <c r="B129" s="150">
        <v>3183</v>
      </c>
      <c r="C129" s="150">
        <v>1010</v>
      </c>
      <c r="D129" s="72" t="s">
        <v>494</v>
      </c>
      <c r="E129" s="129">
        <f>'дод. 3'!F182</f>
        <v>5200</v>
      </c>
      <c r="F129" s="129">
        <f>'дод. 3'!G182</f>
        <v>5200</v>
      </c>
      <c r="G129" s="129">
        <f>'дод. 3'!H182</f>
        <v>0</v>
      </c>
      <c r="H129" s="129">
        <f>'дод. 3'!I182</f>
        <v>0</v>
      </c>
      <c r="I129" s="129">
        <f>'дод. 3'!J182</f>
        <v>0</v>
      </c>
      <c r="J129" s="129">
        <f>'дод. 3'!K182</f>
        <v>0</v>
      </c>
      <c r="K129" s="129">
        <f>'дод. 3'!L182</f>
        <v>0</v>
      </c>
      <c r="L129" s="129">
        <f>'дод. 3'!M182</f>
        <v>0</v>
      </c>
      <c r="M129" s="129">
        <f>'дод. 3'!N182</f>
        <v>0</v>
      </c>
      <c r="N129" s="129">
        <f>'дод. 3'!O182</f>
        <v>0</v>
      </c>
      <c r="O129" s="129">
        <f>'дод. 3'!P182</f>
        <v>0</v>
      </c>
      <c r="P129" s="129">
        <f>'дод. 3'!Q182</f>
        <v>5200</v>
      </c>
      <c r="Q129" s="242"/>
      <c r="Y129" s="151"/>
      <c r="Z129" s="151"/>
    </row>
    <row r="130" spans="2:26" ht="71.25" customHeight="1">
      <c r="B130" s="51" t="s">
        <v>401</v>
      </c>
      <c r="C130" s="51" t="s">
        <v>261</v>
      </c>
      <c r="D130" s="71" t="s">
        <v>114</v>
      </c>
      <c r="E130" s="128">
        <f>'дод. 3'!F183</f>
        <v>1832454</v>
      </c>
      <c r="F130" s="128">
        <f>'дод. 3'!G183</f>
        <v>1832454</v>
      </c>
      <c r="G130" s="128">
        <f>'дод. 3'!H183</f>
        <v>0</v>
      </c>
      <c r="H130" s="128">
        <f>'дод. 3'!I183</f>
        <v>0</v>
      </c>
      <c r="I130" s="128">
        <f>'дод. 3'!J183</f>
        <v>0</v>
      </c>
      <c r="J130" s="128">
        <f>'дод. 3'!K183</f>
        <v>0</v>
      </c>
      <c r="K130" s="128">
        <f>'дод. 3'!L183</f>
        <v>0</v>
      </c>
      <c r="L130" s="128">
        <f>'дод. 3'!M183</f>
        <v>0</v>
      </c>
      <c r="M130" s="128">
        <f>'дод. 3'!N183</f>
        <v>0</v>
      </c>
      <c r="N130" s="128">
        <f>'дод. 3'!O183</f>
        <v>0</v>
      </c>
      <c r="O130" s="128">
        <f>'дод. 3'!P183</f>
        <v>0</v>
      </c>
      <c r="P130" s="128">
        <f aca="true" t="shared" si="18" ref="P130:P138">E130+J130</f>
        <v>1832454</v>
      </c>
      <c r="Q130" s="242"/>
      <c r="Y130" s="89"/>
      <c r="Z130" s="89"/>
    </row>
    <row r="131" spans="2:26" ht="16.5">
      <c r="B131" s="51" t="s">
        <v>402</v>
      </c>
      <c r="C131" s="73"/>
      <c r="D131" s="71" t="s">
        <v>115</v>
      </c>
      <c r="E131" s="128">
        <f>E132+E133</f>
        <v>2532330</v>
      </c>
      <c r="F131" s="128">
        <f aca="true" t="shared" si="19" ref="F131:O131">F132+F133</f>
        <v>2532330</v>
      </c>
      <c r="G131" s="128">
        <f t="shared" si="19"/>
        <v>0</v>
      </c>
      <c r="H131" s="128">
        <f t="shared" si="19"/>
        <v>0</v>
      </c>
      <c r="I131" s="128">
        <f t="shared" si="19"/>
        <v>0</v>
      </c>
      <c r="J131" s="128">
        <f t="shared" si="19"/>
        <v>0</v>
      </c>
      <c r="K131" s="128">
        <f t="shared" si="19"/>
        <v>0</v>
      </c>
      <c r="L131" s="128">
        <f t="shared" si="19"/>
        <v>0</v>
      </c>
      <c r="M131" s="128">
        <f t="shared" si="19"/>
        <v>0</v>
      </c>
      <c r="N131" s="128">
        <f t="shared" si="19"/>
        <v>0</v>
      </c>
      <c r="O131" s="128">
        <f t="shared" si="19"/>
        <v>0</v>
      </c>
      <c r="P131" s="128">
        <f t="shared" si="18"/>
        <v>2532330</v>
      </c>
      <c r="Q131" s="242"/>
      <c r="Y131" s="89"/>
      <c r="Z131" s="89"/>
    </row>
    <row r="132" spans="1:26" s="58" customFormat="1" ht="33.75" customHeight="1">
      <c r="A132" s="56"/>
      <c r="B132" s="55" t="s">
        <v>403</v>
      </c>
      <c r="C132" s="55" t="s">
        <v>260</v>
      </c>
      <c r="D132" s="72" t="s">
        <v>21</v>
      </c>
      <c r="E132" s="129">
        <f>'дод. 3'!F185</f>
        <v>1419900</v>
      </c>
      <c r="F132" s="129">
        <f>'дод. 3'!G185</f>
        <v>1419900</v>
      </c>
      <c r="G132" s="129">
        <f>'дод. 3'!H185</f>
        <v>0</v>
      </c>
      <c r="H132" s="129">
        <f>'дод. 3'!I185</f>
        <v>0</v>
      </c>
      <c r="I132" s="129">
        <f>'дод. 3'!J185</f>
        <v>0</v>
      </c>
      <c r="J132" s="129">
        <f>'дод. 3'!K185</f>
        <v>0</v>
      </c>
      <c r="K132" s="129">
        <f>'дод. 3'!L185</f>
        <v>0</v>
      </c>
      <c r="L132" s="129">
        <f>'дод. 3'!M185</f>
        <v>0</v>
      </c>
      <c r="M132" s="129">
        <f>'дод. 3'!N185</f>
        <v>0</v>
      </c>
      <c r="N132" s="129">
        <f>'дод. 3'!O185</f>
        <v>0</v>
      </c>
      <c r="O132" s="129">
        <f>'дод. 3'!P185</f>
        <v>0</v>
      </c>
      <c r="P132" s="129">
        <f t="shared" si="18"/>
        <v>1419900</v>
      </c>
      <c r="Q132" s="242"/>
      <c r="Y132" s="151"/>
      <c r="Z132" s="151"/>
    </row>
    <row r="133" spans="1:26" s="58" customFormat="1" ht="47.25">
      <c r="A133" s="56"/>
      <c r="B133" s="55" t="s">
        <v>404</v>
      </c>
      <c r="C133" s="55" t="s">
        <v>260</v>
      </c>
      <c r="D133" s="72" t="s">
        <v>116</v>
      </c>
      <c r="E133" s="129">
        <f>'дод. 3'!F186</f>
        <v>1112430</v>
      </c>
      <c r="F133" s="129">
        <f>'дод. 3'!G186</f>
        <v>1112430</v>
      </c>
      <c r="G133" s="129">
        <f>'дод. 3'!H186</f>
        <v>0</v>
      </c>
      <c r="H133" s="129">
        <f>'дод. 3'!I186</f>
        <v>0</v>
      </c>
      <c r="I133" s="129">
        <f>'дод. 3'!J186</f>
        <v>0</v>
      </c>
      <c r="J133" s="129">
        <f>'дод. 3'!K186</f>
        <v>0</v>
      </c>
      <c r="K133" s="129">
        <f>'дод. 3'!L186</f>
        <v>0</v>
      </c>
      <c r="L133" s="129">
        <f>'дод. 3'!M186</f>
        <v>0</v>
      </c>
      <c r="M133" s="129">
        <f>'дод. 3'!N186</f>
        <v>0</v>
      </c>
      <c r="N133" s="129">
        <f>'дод. 3'!O186</f>
        <v>0</v>
      </c>
      <c r="O133" s="129">
        <f>'дод. 3'!P186</f>
        <v>0</v>
      </c>
      <c r="P133" s="129">
        <f t="shared" si="18"/>
        <v>1112430</v>
      </c>
      <c r="Q133" s="242"/>
      <c r="Y133" s="151"/>
      <c r="Z133" s="151"/>
    </row>
    <row r="134" spans="2:26" ht="31.5">
      <c r="B134" s="51" t="s">
        <v>405</v>
      </c>
      <c r="C134" s="51" t="s">
        <v>264</v>
      </c>
      <c r="D134" s="71" t="s">
        <v>213</v>
      </c>
      <c r="E134" s="128">
        <f>'дод. 3'!F187</f>
        <v>160000</v>
      </c>
      <c r="F134" s="128">
        <f>'дод. 3'!G187</f>
        <v>160000</v>
      </c>
      <c r="G134" s="128">
        <f>'дод. 3'!H187</f>
        <v>0</v>
      </c>
      <c r="H134" s="128">
        <f>'дод. 3'!I187</f>
        <v>0</v>
      </c>
      <c r="I134" s="128">
        <f>'дод. 3'!J187</f>
        <v>0</v>
      </c>
      <c r="J134" s="128">
        <f>'дод. 3'!K187</f>
        <v>0</v>
      </c>
      <c r="K134" s="128">
        <f>'дод. 3'!L187</f>
        <v>0</v>
      </c>
      <c r="L134" s="128">
        <f>'дод. 3'!M187</f>
        <v>0</v>
      </c>
      <c r="M134" s="128">
        <f>'дод. 3'!N187</f>
        <v>0</v>
      </c>
      <c r="N134" s="128">
        <f>'дод. 3'!O187</f>
        <v>0</v>
      </c>
      <c r="O134" s="128">
        <f>'дод. 3'!P187</f>
        <v>0</v>
      </c>
      <c r="P134" s="128">
        <f t="shared" si="18"/>
        <v>160000</v>
      </c>
      <c r="Q134" s="242"/>
      <c r="Y134" s="89"/>
      <c r="Z134" s="89"/>
    </row>
    <row r="135" spans="2:26" ht="22.5" customHeight="1">
      <c r="B135" s="51" t="s">
        <v>406</v>
      </c>
      <c r="C135" s="51" t="s">
        <v>407</v>
      </c>
      <c r="D135" s="71" t="s">
        <v>208</v>
      </c>
      <c r="E135" s="128">
        <f>'дод. 3'!F214+'дод. 3'!F188</f>
        <v>950000</v>
      </c>
      <c r="F135" s="128">
        <f>'дод. 3'!G214+'дод. 3'!G188</f>
        <v>950000</v>
      </c>
      <c r="G135" s="128">
        <f>'дод. 3'!H214+'дод. 3'!H188</f>
        <v>327965</v>
      </c>
      <c r="H135" s="128">
        <f>'дод. 3'!I214+'дод. 3'!I188</f>
        <v>0</v>
      </c>
      <c r="I135" s="128">
        <f>'дод. 3'!J214+'дод. 3'!J188</f>
        <v>0</v>
      </c>
      <c r="J135" s="128">
        <f>'дод. 3'!K214+'дод. 3'!K188</f>
        <v>0</v>
      </c>
      <c r="K135" s="128">
        <f>'дод. 3'!L214+'дод. 3'!L188</f>
        <v>0</v>
      </c>
      <c r="L135" s="128">
        <f>'дод. 3'!M214+'дод. 3'!M188</f>
        <v>0</v>
      </c>
      <c r="M135" s="128">
        <f>'дод. 3'!N214+'дод. 3'!N188</f>
        <v>0</v>
      </c>
      <c r="N135" s="128">
        <f>'дод. 3'!O214+'дод. 3'!O188</f>
        <v>0</v>
      </c>
      <c r="O135" s="128">
        <f>'дод. 3'!P214+'дод. 3'!P188</f>
        <v>0</v>
      </c>
      <c r="P135" s="128">
        <f t="shared" si="18"/>
        <v>950000</v>
      </c>
      <c r="Q135" s="242"/>
      <c r="Y135" s="89"/>
      <c r="Z135" s="89"/>
    </row>
    <row r="136" spans="2:26" ht="29.25" customHeight="1">
      <c r="B136" s="51" t="s">
        <v>408</v>
      </c>
      <c r="C136" s="51" t="s">
        <v>264</v>
      </c>
      <c r="D136" s="71" t="s">
        <v>22</v>
      </c>
      <c r="E136" s="128">
        <f>E137+E138</f>
        <v>4066100</v>
      </c>
      <c r="F136" s="128">
        <f aca="true" t="shared" si="20" ref="F136:O136">F137+F138</f>
        <v>4066100</v>
      </c>
      <c r="G136" s="128">
        <f t="shared" si="20"/>
        <v>2374100</v>
      </c>
      <c r="H136" s="128">
        <f t="shared" si="20"/>
        <v>760100</v>
      </c>
      <c r="I136" s="128">
        <f t="shared" si="20"/>
        <v>0</v>
      </c>
      <c r="J136" s="128">
        <f t="shared" si="20"/>
        <v>857500</v>
      </c>
      <c r="K136" s="128">
        <f t="shared" si="20"/>
        <v>0</v>
      </c>
      <c r="L136" s="128">
        <f t="shared" si="20"/>
        <v>0</v>
      </c>
      <c r="M136" s="128">
        <f t="shared" si="20"/>
        <v>0</v>
      </c>
      <c r="N136" s="128">
        <f t="shared" si="20"/>
        <v>857500</v>
      </c>
      <c r="O136" s="128">
        <f t="shared" si="20"/>
        <v>857500</v>
      </c>
      <c r="P136" s="128">
        <f t="shared" si="18"/>
        <v>4923600</v>
      </c>
      <c r="Q136" s="242"/>
      <c r="Y136" s="89"/>
      <c r="Z136" s="89"/>
    </row>
    <row r="137" spans="1:26" s="58" customFormat="1" ht="39.75" customHeight="1">
      <c r="A137" s="56"/>
      <c r="B137" s="55" t="s">
        <v>408</v>
      </c>
      <c r="C137" s="55" t="s">
        <v>264</v>
      </c>
      <c r="D137" s="72" t="s">
        <v>214</v>
      </c>
      <c r="E137" s="129">
        <f>'дод. 3'!F190</f>
        <v>1604100</v>
      </c>
      <c r="F137" s="129">
        <f>'дод. 3'!G190</f>
        <v>1604100</v>
      </c>
      <c r="G137" s="129">
        <f>'дод. 3'!H190</f>
        <v>992200</v>
      </c>
      <c r="H137" s="129">
        <f>'дод. 3'!I190</f>
        <v>178100</v>
      </c>
      <c r="I137" s="129">
        <f>'дод. 3'!J190</f>
        <v>0</v>
      </c>
      <c r="J137" s="129">
        <f>'дод. 3'!K190</f>
        <v>257500</v>
      </c>
      <c r="K137" s="129">
        <f>'дод. 3'!L190</f>
        <v>0</v>
      </c>
      <c r="L137" s="129">
        <f>'дод. 3'!M190</f>
        <v>0</v>
      </c>
      <c r="M137" s="129">
        <f>'дод. 3'!N190</f>
        <v>0</v>
      </c>
      <c r="N137" s="129">
        <f>'дод. 3'!O190</f>
        <v>257500</v>
      </c>
      <c r="O137" s="129">
        <f>'дод. 3'!P190</f>
        <v>257500</v>
      </c>
      <c r="P137" s="129">
        <f t="shared" si="18"/>
        <v>1861600</v>
      </c>
      <c r="Q137" s="242"/>
      <c r="Y137" s="151"/>
      <c r="Z137" s="151"/>
    </row>
    <row r="138" spans="1:26" s="58" customFormat="1" ht="63" customHeight="1">
      <c r="A138" s="56"/>
      <c r="B138" s="55" t="s">
        <v>408</v>
      </c>
      <c r="C138" s="55" t="s">
        <v>264</v>
      </c>
      <c r="D138" s="72" t="s">
        <v>243</v>
      </c>
      <c r="E138" s="129">
        <f>'дод. 3'!F191</f>
        <v>2462000</v>
      </c>
      <c r="F138" s="129">
        <f>'дод. 3'!G191</f>
        <v>2462000</v>
      </c>
      <c r="G138" s="129">
        <f>'дод. 3'!H191</f>
        <v>1381900</v>
      </c>
      <c r="H138" s="129">
        <f>'дод. 3'!I191</f>
        <v>582000</v>
      </c>
      <c r="I138" s="129">
        <f>'дод. 3'!J191</f>
        <v>0</v>
      </c>
      <c r="J138" s="129">
        <f>'дод. 3'!K191</f>
        <v>600000</v>
      </c>
      <c r="K138" s="129">
        <f>'дод. 3'!L191</f>
        <v>0</v>
      </c>
      <c r="L138" s="129">
        <f>'дод. 3'!M191</f>
        <v>0</v>
      </c>
      <c r="M138" s="129">
        <f>'дод. 3'!N191</f>
        <v>0</v>
      </c>
      <c r="N138" s="129">
        <f>'дод. 3'!O191</f>
        <v>600000</v>
      </c>
      <c r="O138" s="129">
        <f>'дод. 3'!P191</f>
        <v>600000</v>
      </c>
      <c r="P138" s="129">
        <f t="shared" si="18"/>
        <v>3062000</v>
      </c>
      <c r="Q138" s="242"/>
      <c r="Y138" s="151"/>
      <c r="Z138" s="151"/>
    </row>
    <row r="139" spans="2:26" ht="28.5" customHeight="1">
      <c r="B139" s="51" t="s">
        <v>409</v>
      </c>
      <c r="C139" s="51" t="s">
        <v>264</v>
      </c>
      <c r="D139" s="71" t="s">
        <v>11</v>
      </c>
      <c r="E139" s="128">
        <f>E140+E141+E142</f>
        <v>8160394</v>
      </c>
      <c r="F139" s="128">
        <f aca="true" t="shared" si="21" ref="F139:P139">F140+F141+F142</f>
        <v>8160394</v>
      </c>
      <c r="G139" s="128">
        <f t="shared" si="21"/>
        <v>0</v>
      </c>
      <c r="H139" s="128">
        <f t="shared" si="21"/>
        <v>0</v>
      </c>
      <c r="I139" s="128">
        <f t="shared" si="21"/>
        <v>0</v>
      </c>
      <c r="J139" s="128">
        <f t="shared" si="21"/>
        <v>0</v>
      </c>
      <c r="K139" s="128">
        <f t="shared" si="21"/>
        <v>0</v>
      </c>
      <c r="L139" s="128">
        <f t="shared" si="21"/>
        <v>0</v>
      </c>
      <c r="M139" s="128">
        <f t="shared" si="21"/>
        <v>0</v>
      </c>
      <c r="N139" s="128">
        <f t="shared" si="21"/>
        <v>0</v>
      </c>
      <c r="O139" s="128">
        <f t="shared" si="21"/>
        <v>0</v>
      </c>
      <c r="P139" s="128">
        <f t="shared" si="21"/>
        <v>8160394</v>
      </c>
      <c r="Q139" s="242"/>
      <c r="Y139" s="89"/>
      <c r="Z139" s="89"/>
    </row>
    <row r="140" spans="1:26" s="58" customFormat="1" ht="36.75" customHeight="1">
      <c r="A140" s="56"/>
      <c r="B140" s="55" t="s">
        <v>409</v>
      </c>
      <c r="C140" s="55" t="s">
        <v>264</v>
      </c>
      <c r="D140" s="72" t="s">
        <v>426</v>
      </c>
      <c r="E140" s="129">
        <f>'дод. 3'!F25+'дод. 3'!F193</f>
        <v>4039890</v>
      </c>
      <c r="F140" s="129">
        <f>'дод. 3'!G25+'дод. 3'!G193</f>
        <v>4039890</v>
      </c>
      <c r="G140" s="129">
        <f>'дод. 3'!H25+'дод. 3'!H193</f>
        <v>0</v>
      </c>
      <c r="H140" s="129">
        <f>'дод. 3'!I25+'дод. 3'!I193</f>
        <v>0</v>
      </c>
      <c r="I140" s="129">
        <f>'дод. 3'!J25+'дод. 3'!J193</f>
        <v>0</v>
      </c>
      <c r="J140" s="129">
        <f>'дод. 3'!K25+'дод. 3'!K193</f>
        <v>0</v>
      </c>
      <c r="K140" s="129">
        <f>'дод. 3'!L25+'дод. 3'!L193</f>
        <v>0</v>
      </c>
      <c r="L140" s="129">
        <f>'дод. 3'!M25+'дод. 3'!M193</f>
        <v>0</v>
      </c>
      <c r="M140" s="129">
        <f>'дод. 3'!N25+'дод. 3'!N193</f>
        <v>0</v>
      </c>
      <c r="N140" s="129">
        <f>'дод. 3'!O25+'дод. 3'!O193</f>
        <v>0</v>
      </c>
      <c r="O140" s="129">
        <f>'дод. 3'!P25+'дод. 3'!P193</f>
        <v>0</v>
      </c>
      <c r="P140" s="129">
        <f>E140+J140</f>
        <v>4039890</v>
      </c>
      <c r="Q140" s="242"/>
      <c r="Y140" s="151"/>
      <c r="Z140" s="151"/>
    </row>
    <row r="141" spans="1:26" s="58" customFormat="1" ht="48.75" customHeight="1">
      <c r="A141" s="56"/>
      <c r="B141" s="55" t="s">
        <v>409</v>
      </c>
      <c r="C141" s="55" t="s">
        <v>264</v>
      </c>
      <c r="D141" s="72" t="s">
        <v>425</v>
      </c>
      <c r="E141" s="129">
        <f>'дод. 3'!F26+'дод. 3'!F194</f>
        <v>3797504</v>
      </c>
      <c r="F141" s="129">
        <f>'дод. 3'!G26+'дод. 3'!G194</f>
        <v>3797504</v>
      </c>
      <c r="G141" s="129">
        <f>'дод. 3'!H26+'дод. 3'!H194</f>
        <v>0</v>
      </c>
      <c r="H141" s="129">
        <f>'дод. 3'!I26+'дод. 3'!I194</f>
        <v>0</v>
      </c>
      <c r="I141" s="129">
        <f>'дод. 3'!J26+'дод. 3'!J194</f>
        <v>0</v>
      </c>
      <c r="J141" s="129">
        <f>'дод. 3'!K26+'дод. 3'!K194</f>
        <v>0</v>
      </c>
      <c r="K141" s="129">
        <f>'дод. 3'!L26+'дод. 3'!L194</f>
        <v>0</v>
      </c>
      <c r="L141" s="129">
        <f>'дод. 3'!M26+'дод. 3'!M194</f>
        <v>0</v>
      </c>
      <c r="M141" s="129">
        <f>'дод. 3'!N26+'дод. 3'!N194</f>
        <v>0</v>
      </c>
      <c r="N141" s="129">
        <f>'дод. 3'!O26+'дод. 3'!O194</f>
        <v>0</v>
      </c>
      <c r="O141" s="129">
        <f>'дод. 3'!P26+'дод. 3'!P194</f>
        <v>0</v>
      </c>
      <c r="P141" s="129">
        <f>E141+J141</f>
        <v>3797504</v>
      </c>
      <c r="Q141" s="242"/>
      <c r="Y141" s="151"/>
      <c r="Z141" s="151"/>
    </row>
    <row r="142" spans="1:26" s="58" customFormat="1" ht="30" customHeight="1">
      <c r="A142" s="56"/>
      <c r="B142" s="55" t="s">
        <v>409</v>
      </c>
      <c r="C142" s="55" t="s">
        <v>264</v>
      </c>
      <c r="D142" s="72" t="s">
        <v>495</v>
      </c>
      <c r="E142" s="129">
        <f>'дод. 3'!F195</f>
        <v>323000</v>
      </c>
      <c r="F142" s="129">
        <f>'дод. 3'!G195</f>
        <v>323000</v>
      </c>
      <c r="G142" s="129">
        <f>'дод. 3'!H195</f>
        <v>0</v>
      </c>
      <c r="H142" s="129">
        <f>'дод. 3'!I195</f>
        <v>0</v>
      </c>
      <c r="I142" s="129">
        <f>'дод. 3'!J195</f>
        <v>0</v>
      </c>
      <c r="J142" s="129">
        <f>'дод. 3'!K195</f>
        <v>0</v>
      </c>
      <c r="K142" s="129">
        <f>'дод. 3'!L195</f>
        <v>0</v>
      </c>
      <c r="L142" s="129">
        <f>'дод. 3'!M195</f>
        <v>0</v>
      </c>
      <c r="M142" s="129">
        <f>'дод. 3'!N195</f>
        <v>0</v>
      </c>
      <c r="N142" s="129">
        <f>'дод. 3'!O195</f>
        <v>0</v>
      </c>
      <c r="O142" s="129">
        <f>'дод. 3'!P195</f>
        <v>0</v>
      </c>
      <c r="P142" s="129">
        <f>'дод. 3'!Q195</f>
        <v>323000</v>
      </c>
      <c r="Q142" s="242"/>
      <c r="Y142" s="151"/>
      <c r="Z142" s="151"/>
    </row>
    <row r="143" spans="2:26" ht="20.25" customHeight="1">
      <c r="B143" s="51" t="s">
        <v>414</v>
      </c>
      <c r="C143" s="51" t="s">
        <v>394</v>
      </c>
      <c r="D143" s="71" t="s">
        <v>12</v>
      </c>
      <c r="E143" s="128">
        <f>E144</f>
        <v>711500</v>
      </c>
      <c r="F143" s="128">
        <f aca="true" t="shared" si="22" ref="F143:O143">F144</f>
        <v>711500</v>
      </c>
      <c r="G143" s="128">
        <f t="shared" si="22"/>
        <v>469400</v>
      </c>
      <c r="H143" s="128">
        <f t="shared" si="22"/>
        <v>109900</v>
      </c>
      <c r="I143" s="128">
        <f t="shared" si="22"/>
        <v>0</v>
      </c>
      <c r="J143" s="128">
        <f t="shared" si="22"/>
        <v>10000</v>
      </c>
      <c r="K143" s="128">
        <f t="shared" si="22"/>
        <v>0</v>
      </c>
      <c r="L143" s="128">
        <f t="shared" si="22"/>
        <v>0</v>
      </c>
      <c r="M143" s="128">
        <f t="shared" si="22"/>
        <v>0</v>
      </c>
      <c r="N143" s="128">
        <f t="shared" si="22"/>
        <v>10000</v>
      </c>
      <c r="O143" s="128">
        <f t="shared" si="22"/>
        <v>10000</v>
      </c>
      <c r="P143" s="128">
        <f>E143+J143</f>
        <v>721500</v>
      </c>
      <c r="Q143" s="242"/>
      <c r="Y143" s="89"/>
      <c r="Z143" s="89"/>
    </row>
    <row r="144" spans="2:26" ht="35.25" customHeight="1">
      <c r="B144" s="55" t="s">
        <v>414</v>
      </c>
      <c r="C144" s="55" t="s">
        <v>394</v>
      </c>
      <c r="D144" s="72" t="s">
        <v>517</v>
      </c>
      <c r="E144" s="128">
        <f>'дод. 3'!F28</f>
        <v>711500</v>
      </c>
      <c r="F144" s="128">
        <f>'дод. 3'!G28</f>
        <v>711500</v>
      </c>
      <c r="G144" s="128">
        <f>'дод. 3'!H28</f>
        <v>469400</v>
      </c>
      <c r="H144" s="128">
        <f>'дод. 3'!I28</f>
        <v>109900</v>
      </c>
      <c r="I144" s="128">
        <f>'дод. 3'!J28</f>
        <v>0</v>
      </c>
      <c r="J144" s="128">
        <f>'дод. 3'!K28</f>
        <v>10000</v>
      </c>
      <c r="K144" s="128">
        <f>'дод. 3'!L28</f>
        <v>0</v>
      </c>
      <c r="L144" s="128">
        <f>'дод. 3'!M28</f>
        <v>0</v>
      </c>
      <c r="M144" s="128">
        <f>'дод. 3'!N28</f>
        <v>0</v>
      </c>
      <c r="N144" s="128">
        <f>'дод. 3'!O28</f>
        <v>10000</v>
      </c>
      <c r="O144" s="128">
        <f>'дод. 3'!P28</f>
        <v>10000</v>
      </c>
      <c r="P144" s="128">
        <f aca="true" t="shared" si="23" ref="P144:P203">E144+J144</f>
        <v>721500</v>
      </c>
      <c r="Q144" s="242"/>
      <c r="Y144" s="89"/>
      <c r="Z144" s="89"/>
    </row>
    <row r="145" spans="1:26" s="97" customFormat="1" ht="19.5" customHeight="1">
      <c r="A145" s="96"/>
      <c r="B145" s="98" t="s">
        <v>305</v>
      </c>
      <c r="C145" s="62"/>
      <c r="D145" s="101" t="s">
        <v>306</v>
      </c>
      <c r="E145" s="127">
        <f>E146+E147+E148+E149</f>
        <v>45321508</v>
      </c>
      <c r="F145" s="127">
        <f>F146+F147+F148+F149</f>
        <v>45321508</v>
      </c>
      <c r="G145" s="127">
        <f>G146+G147+G148+G149</f>
        <v>32275300</v>
      </c>
      <c r="H145" s="127">
        <f>H146+H147+H148+H149</f>
        <v>2358530</v>
      </c>
      <c r="I145" s="127">
        <f aca="true" t="shared" si="24" ref="I145:P145">I146+I147+I148+I149</f>
        <v>0</v>
      </c>
      <c r="J145" s="127">
        <f t="shared" si="24"/>
        <v>3305507</v>
      </c>
      <c r="K145" s="127">
        <f t="shared" si="24"/>
        <v>1411980</v>
      </c>
      <c r="L145" s="127">
        <f t="shared" si="24"/>
        <v>1136786</v>
      </c>
      <c r="M145" s="127">
        <f t="shared" si="24"/>
        <v>0</v>
      </c>
      <c r="N145" s="127">
        <f t="shared" si="24"/>
        <v>1893527</v>
      </c>
      <c r="O145" s="127">
        <f t="shared" si="24"/>
        <v>1888927</v>
      </c>
      <c r="P145" s="127">
        <f t="shared" si="24"/>
        <v>48627015</v>
      </c>
      <c r="Q145" s="242"/>
      <c r="R145" s="94"/>
      <c r="Y145" s="94"/>
      <c r="Z145" s="94"/>
    </row>
    <row r="146" spans="2:26" ht="31.5">
      <c r="B146" s="51" t="s">
        <v>307</v>
      </c>
      <c r="C146" s="51" t="s">
        <v>308</v>
      </c>
      <c r="D146" s="65" t="s">
        <v>130</v>
      </c>
      <c r="E146" s="128">
        <f>'дод. 3'!F205</f>
        <v>1493500</v>
      </c>
      <c r="F146" s="128">
        <f>'дод. 3'!G205</f>
        <v>1493500</v>
      </c>
      <c r="G146" s="128">
        <f>'дод. 3'!H205</f>
        <v>0</v>
      </c>
      <c r="H146" s="128">
        <f>'дод. 3'!I205</f>
        <v>0</v>
      </c>
      <c r="I146" s="128">
        <f>'дод. 3'!J205</f>
        <v>0</v>
      </c>
      <c r="J146" s="128">
        <f>'дод. 3'!K205</f>
        <v>0</v>
      </c>
      <c r="K146" s="128">
        <f>'дод. 3'!L205</f>
        <v>0</v>
      </c>
      <c r="L146" s="128">
        <f>'дод. 3'!M205</f>
        <v>0</v>
      </c>
      <c r="M146" s="128">
        <f>'дод. 3'!N205</f>
        <v>0</v>
      </c>
      <c r="N146" s="128">
        <f>'дод. 3'!O205</f>
        <v>0</v>
      </c>
      <c r="O146" s="128">
        <f>'дод. 3'!P205</f>
        <v>0</v>
      </c>
      <c r="P146" s="128">
        <f t="shared" si="23"/>
        <v>1493500</v>
      </c>
      <c r="Q146" s="242"/>
      <c r="Y146" s="89"/>
      <c r="Z146" s="89"/>
    </row>
    <row r="147" spans="2:26" ht="16.5">
      <c r="B147" s="51" t="s">
        <v>309</v>
      </c>
      <c r="C147" s="51" t="s">
        <v>310</v>
      </c>
      <c r="D147" s="65" t="s">
        <v>132</v>
      </c>
      <c r="E147" s="128">
        <f>'дод. 3'!F206</f>
        <v>14639830</v>
      </c>
      <c r="F147" s="128">
        <f>'дод. 3'!G206</f>
        <v>14639830</v>
      </c>
      <c r="G147" s="128">
        <f>'дод. 3'!H206</f>
        <v>10249200</v>
      </c>
      <c r="H147" s="128">
        <f>'дод. 3'!I206</f>
        <v>1307040</v>
      </c>
      <c r="I147" s="128">
        <f>'дод. 3'!J206</f>
        <v>0</v>
      </c>
      <c r="J147" s="128">
        <f>'дод. 3'!K206</f>
        <v>1075000</v>
      </c>
      <c r="K147" s="128">
        <f>'дод. 3'!L206</f>
        <v>25000</v>
      </c>
      <c r="L147" s="128">
        <f>'дод. 3'!M206</f>
        <v>5000</v>
      </c>
      <c r="M147" s="128">
        <f>'дод. 3'!N206</f>
        <v>0</v>
      </c>
      <c r="N147" s="128">
        <f>'дод. 3'!O206</f>
        <v>1050000</v>
      </c>
      <c r="O147" s="128">
        <f>'дод. 3'!P206</f>
        <v>1050000</v>
      </c>
      <c r="P147" s="128">
        <f t="shared" si="23"/>
        <v>15714830</v>
      </c>
      <c r="Q147" s="242"/>
      <c r="Y147" s="89"/>
      <c r="Z147" s="89"/>
    </row>
    <row r="148" spans="2:26" ht="16.5">
      <c r="B148" s="51" t="s">
        <v>311</v>
      </c>
      <c r="C148" s="51" t="s">
        <v>265</v>
      </c>
      <c r="D148" s="65" t="s">
        <v>134</v>
      </c>
      <c r="E148" s="128">
        <f>'дод. 3'!F207</f>
        <v>25472853</v>
      </c>
      <c r="F148" s="128">
        <f>'дод. 3'!G207</f>
        <v>25472853</v>
      </c>
      <c r="G148" s="128">
        <f>'дод. 3'!H207</f>
        <v>19808900</v>
      </c>
      <c r="H148" s="128">
        <f>'дод. 3'!I207</f>
        <v>891310</v>
      </c>
      <c r="I148" s="128">
        <f>'дод. 3'!J207</f>
        <v>0</v>
      </c>
      <c r="J148" s="128">
        <f>'дод. 3'!K207</f>
        <v>1799007</v>
      </c>
      <c r="K148" s="128">
        <f>'дод. 3'!L207</f>
        <v>1386980</v>
      </c>
      <c r="L148" s="128">
        <f>'дод. 3'!M207</f>
        <v>1131786</v>
      </c>
      <c r="M148" s="128">
        <f>'дод. 3'!N207</f>
        <v>0</v>
      </c>
      <c r="N148" s="128">
        <f>'дод. 3'!O207</f>
        <v>412027</v>
      </c>
      <c r="O148" s="128">
        <f>'дод. 3'!P207</f>
        <v>407427</v>
      </c>
      <c r="P148" s="128">
        <f t="shared" si="23"/>
        <v>27271860</v>
      </c>
      <c r="Q148" s="242"/>
      <c r="Y148" s="89"/>
      <c r="Z148" s="89"/>
    </row>
    <row r="149" spans="2:26" ht="16.5">
      <c r="B149" s="51" t="s">
        <v>312</v>
      </c>
      <c r="C149" s="51" t="s">
        <v>313</v>
      </c>
      <c r="D149" s="65" t="s">
        <v>42</v>
      </c>
      <c r="E149" s="128">
        <f>E150+E151+E152</f>
        <v>3715325</v>
      </c>
      <c r="F149" s="128">
        <f aca="true" t="shared" si="25" ref="F149:O149">F150+F151+F152</f>
        <v>3715325</v>
      </c>
      <c r="G149" s="128">
        <f t="shared" si="25"/>
        <v>2217200</v>
      </c>
      <c r="H149" s="128">
        <f t="shared" si="25"/>
        <v>160180</v>
      </c>
      <c r="I149" s="128">
        <f t="shared" si="25"/>
        <v>0</v>
      </c>
      <c r="J149" s="128">
        <f t="shared" si="25"/>
        <v>431500</v>
      </c>
      <c r="K149" s="128">
        <f t="shared" si="25"/>
        <v>0</v>
      </c>
      <c r="L149" s="128">
        <f t="shared" si="25"/>
        <v>0</v>
      </c>
      <c r="M149" s="128">
        <f t="shared" si="25"/>
        <v>0</v>
      </c>
      <c r="N149" s="128">
        <f t="shared" si="25"/>
        <v>431500</v>
      </c>
      <c r="O149" s="128">
        <f t="shared" si="25"/>
        <v>431500</v>
      </c>
      <c r="P149" s="128">
        <f t="shared" si="23"/>
        <v>4146825</v>
      </c>
      <c r="Q149" s="242"/>
      <c r="Y149" s="89"/>
      <c r="Z149" s="89"/>
    </row>
    <row r="150" spans="2:26" ht="31.5">
      <c r="B150" s="55" t="s">
        <v>312</v>
      </c>
      <c r="C150" s="60" t="s">
        <v>313</v>
      </c>
      <c r="D150" s="66" t="s">
        <v>137</v>
      </c>
      <c r="E150" s="129">
        <f>'дод. 3'!F209</f>
        <v>1026210</v>
      </c>
      <c r="F150" s="129">
        <f>'дод. 3'!G209</f>
        <v>1026210</v>
      </c>
      <c r="G150" s="129">
        <f>'дод. 3'!H209</f>
        <v>760300</v>
      </c>
      <c r="H150" s="129">
        <f>'дод. 3'!I209</f>
        <v>22870</v>
      </c>
      <c r="I150" s="129">
        <f>'дод. 3'!J209</f>
        <v>0</v>
      </c>
      <c r="J150" s="129">
        <f>'дод. 3'!K209</f>
        <v>309500</v>
      </c>
      <c r="K150" s="129">
        <f>'дод. 3'!L209</f>
        <v>0</v>
      </c>
      <c r="L150" s="129">
        <f>'дод. 3'!M209</f>
        <v>0</v>
      </c>
      <c r="M150" s="129">
        <f>'дод. 3'!N209</f>
        <v>0</v>
      </c>
      <c r="N150" s="129">
        <f>'дод. 3'!O209</f>
        <v>309500</v>
      </c>
      <c r="O150" s="129">
        <f>'дод. 3'!P209</f>
        <v>309500</v>
      </c>
      <c r="P150" s="129">
        <f t="shared" si="23"/>
        <v>1335710</v>
      </c>
      <c r="Q150" s="242"/>
      <c r="Y150" s="89"/>
      <c r="Z150" s="89"/>
    </row>
    <row r="151" spans="2:26" ht="16.5">
      <c r="B151" s="55" t="s">
        <v>312</v>
      </c>
      <c r="C151" s="60" t="s">
        <v>313</v>
      </c>
      <c r="D151" s="66" t="s">
        <v>314</v>
      </c>
      <c r="E151" s="129">
        <f>'дод. 3'!F30</f>
        <v>1198295</v>
      </c>
      <c r="F151" s="129">
        <f>'дод. 3'!G30</f>
        <v>1198295</v>
      </c>
      <c r="G151" s="129">
        <f>'дод. 3'!H30</f>
        <v>580400</v>
      </c>
      <c r="H151" s="129">
        <f>'дод. 3'!I30</f>
        <v>44940</v>
      </c>
      <c r="I151" s="129">
        <f>'дод. 3'!J30</f>
        <v>0</v>
      </c>
      <c r="J151" s="129">
        <f>'дод. 3'!K30</f>
        <v>102000</v>
      </c>
      <c r="K151" s="129">
        <f>'дод. 3'!L30</f>
        <v>0</v>
      </c>
      <c r="L151" s="129">
        <f>'дод. 3'!M30</f>
        <v>0</v>
      </c>
      <c r="M151" s="129">
        <f>'дод. 3'!N30</f>
        <v>0</v>
      </c>
      <c r="N151" s="129">
        <f>'дод. 3'!O30</f>
        <v>102000</v>
      </c>
      <c r="O151" s="129">
        <f>'дод. 3'!P30</f>
        <v>102000</v>
      </c>
      <c r="P151" s="129">
        <f t="shared" si="23"/>
        <v>1300295</v>
      </c>
      <c r="Q151" s="242"/>
      <c r="Y151" s="89"/>
      <c r="Z151" s="89"/>
    </row>
    <row r="152" spans="2:26" ht="16.5">
      <c r="B152" s="55" t="s">
        <v>312</v>
      </c>
      <c r="C152" s="60" t="s">
        <v>313</v>
      </c>
      <c r="D152" s="66" t="s">
        <v>439</v>
      </c>
      <c r="E152" s="129">
        <f>'дод. 3'!F31</f>
        <v>1490820</v>
      </c>
      <c r="F152" s="129">
        <f>'дод. 3'!G31</f>
        <v>1490820</v>
      </c>
      <c r="G152" s="129">
        <f>'дод. 3'!H31</f>
        <v>876500</v>
      </c>
      <c r="H152" s="129">
        <f>'дод. 3'!I31</f>
        <v>92370</v>
      </c>
      <c r="I152" s="129">
        <f>'дод. 3'!J31</f>
        <v>0</v>
      </c>
      <c r="J152" s="129">
        <f>'дод. 3'!K31</f>
        <v>20000</v>
      </c>
      <c r="K152" s="129">
        <f>'дод. 3'!L31</f>
        <v>0</v>
      </c>
      <c r="L152" s="129">
        <f>'дод. 3'!M31</f>
        <v>0</v>
      </c>
      <c r="M152" s="129">
        <f>'дод. 3'!N31</f>
        <v>0</v>
      </c>
      <c r="N152" s="129">
        <f>'дод. 3'!O31</f>
        <v>20000</v>
      </c>
      <c r="O152" s="129">
        <f>'дод. 3'!P31</f>
        <v>20000</v>
      </c>
      <c r="P152" s="129">
        <f t="shared" si="23"/>
        <v>1510820</v>
      </c>
      <c r="Q152" s="242"/>
      <c r="Y152" s="89"/>
      <c r="Z152" s="89"/>
    </row>
    <row r="153" spans="1:26" s="97" customFormat="1" ht="16.5">
      <c r="A153" s="96"/>
      <c r="B153" s="98" t="s">
        <v>320</v>
      </c>
      <c r="C153" s="62"/>
      <c r="D153" s="101" t="s">
        <v>321</v>
      </c>
      <c r="E153" s="127">
        <f>E154+E157+E160</f>
        <v>24177961</v>
      </c>
      <c r="F153" s="127">
        <f aca="true" t="shared" si="26" ref="F153:P153">F154+F157+F160</f>
        <v>24177961</v>
      </c>
      <c r="G153" s="127">
        <f t="shared" si="26"/>
        <v>9071830</v>
      </c>
      <c r="H153" s="127">
        <f t="shared" si="26"/>
        <v>1372150</v>
      </c>
      <c r="I153" s="127">
        <f t="shared" si="26"/>
        <v>0</v>
      </c>
      <c r="J153" s="127">
        <f t="shared" si="26"/>
        <v>703700</v>
      </c>
      <c r="K153" s="127">
        <f t="shared" si="26"/>
        <v>415700</v>
      </c>
      <c r="L153" s="127">
        <f t="shared" si="26"/>
        <v>242690</v>
      </c>
      <c r="M153" s="127">
        <f t="shared" si="26"/>
        <v>99128</v>
      </c>
      <c r="N153" s="127">
        <f t="shared" si="26"/>
        <v>288000</v>
      </c>
      <c r="O153" s="127">
        <f t="shared" si="26"/>
        <v>288000</v>
      </c>
      <c r="P153" s="127">
        <f t="shared" si="26"/>
        <v>24881661</v>
      </c>
      <c r="Q153" s="242"/>
      <c r="R153" s="94"/>
      <c r="Y153" s="94"/>
      <c r="Z153" s="94"/>
    </row>
    <row r="154" spans="2:26" ht="16.5">
      <c r="B154" s="51" t="s">
        <v>322</v>
      </c>
      <c r="C154" s="63"/>
      <c r="D154" s="67" t="s">
        <v>45</v>
      </c>
      <c r="E154" s="128">
        <f>E155+E156</f>
        <v>1700000</v>
      </c>
      <c r="F154" s="128">
        <f aca="true" t="shared" si="27" ref="F154:O154">F155+F156</f>
        <v>1700000</v>
      </c>
      <c r="G154" s="128">
        <f t="shared" si="27"/>
        <v>0</v>
      </c>
      <c r="H154" s="128">
        <f t="shared" si="27"/>
        <v>0</v>
      </c>
      <c r="I154" s="128">
        <f t="shared" si="27"/>
        <v>0</v>
      </c>
      <c r="J154" s="128">
        <f t="shared" si="27"/>
        <v>0</v>
      </c>
      <c r="K154" s="128">
        <f t="shared" si="27"/>
        <v>0</v>
      </c>
      <c r="L154" s="128">
        <f t="shared" si="27"/>
        <v>0</v>
      </c>
      <c r="M154" s="128">
        <f t="shared" si="27"/>
        <v>0</v>
      </c>
      <c r="N154" s="128">
        <f t="shared" si="27"/>
        <v>0</v>
      </c>
      <c r="O154" s="128">
        <f t="shared" si="27"/>
        <v>0</v>
      </c>
      <c r="P154" s="128">
        <f t="shared" si="23"/>
        <v>1700000</v>
      </c>
      <c r="Q154" s="242"/>
      <c r="Y154" s="89"/>
      <c r="Z154" s="89"/>
    </row>
    <row r="155" spans="1:26" s="58" customFormat="1" ht="31.5">
      <c r="A155" s="56"/>
      <c r="B155" s="55" t="s">
        <v>323</v>
      </c>
      <c r="C155" s="55" t="s">
        <v>324</v>
      </c>
      <c r="D155" s="57" t="s">
        <v>48</v>
      </c>
      <c r="E155" s="129">
        <f>'дод. 3'!F33</f>
        <v>900000</v>
      </c>
      <c r="F155" s="129">
        <f>'дод. 3'!G33</f>
        <v>900000</v>
      </c>
      <c r="G155" s="129">
        <f>'дод. 3'!H33</f>
        <v>0</v>
      </c>
      <c r="H155" s="129">
        <f>'дод. 3'!I33</f>
        <v>0</v>
      </c>
      <c r="I155" s="129">
        <f>'дод. 3'!J33</f>
        <v>0</v>
      </c>
      <c r="J155" s="129">
        <f>'дод. 3'!K33</f>
        <v>0</v>
      </c>
      <c r="K155" s="129">
        <f>'дод. 3'!L33</f>
        <v>0</v>
      </c>
      <c r="L155" s="129">
        <f>'дод. 3'!M33</f>
        <v>0</v>
      </c>
      <c r="M155" s="129">
        <f>'дод. 3'!N33</f>
        <v>0</v>
      </c>
      <c r="N155" s="129">
        <f>'дод. 3'!O33</f>
        <v>0</v>
      </c>
      <c r="O155" s="129">
        <f>'дод. 3'!P33</f>
        <v>0</v>
      </c>
      <c r="P155" s="129">
        <f t="shared" si="23"/>
        <v>900000</v>
      </c>
      <c r="Q155" s="242"/>
      <c r="Y155" s="151"/>
      <c r="Z155" s="151"/>
    </row>
    <row r="156" spans="1:26" s="58" customFormat="1" ht="31.5">
      <c r="A156" s="56"/>
      <c r="B156" s="55" t="s">
        <v>325</v>
      </c>
      <c r="C156" s="55" t="s">
        <v>324</v>
      </c>
      <c r="D156" s="66" t="s">
        <v>14</v>
      </c>
      <c r="E156" s="129">
        <f>'дод. 3'!F34</f>
        <v>800000</v>
      </c>
      <c r="F156" s="129">
        <f>'дод. 3'!G34</f>
        <v>800000</v>
      </c>
      <c r="G156" s="129">
        <f>'дод. 3'!H34</f>
        <v>0</v>
      </c>
      <c r="H156" s="129">
        <f>'дод. 3'!I34</f>
        <v>0</v>
      </c>
      <c r="I156" s="129">
        <f>'дод. 3'!J34</f>
        <v>0</v>
      </c>
      <c r="J156" s="129">
        <f>'дод. 3'!K34</f>
        <v>0</v>
      </c>
      <c r="K156" s="129">
        <f>'дод. 3'!L34</f>
        <v>0</v>
      </c>
      <c r="L156" s="129">
        <f>'дод. 3'!M34</f>
        <v>0</v>
      </c>
      <c r="M156" s="129">
        <f>'дод. 3'!N34</f>
        <v>0</v>
      </c>
      <c r="N156" s="129">
        <f>'дод. 3'!O34</f>
        <v>0</v>
      </c>
      <c r="O156" s="129">
        <f>'дод. 3'!P34</f>
        <v>0</v>
      </c>
      <c r="P156" s="129">
        <f t="shared" si="23"/>
        <v>800000</v>
      </c>
      <c r="Q156" s="242"/>
      <c r="Y156" s="151"/>
      <c r="Z156" s="151"/>
    </row>
    <row r="157" spans="2:26" ht="26.25" customHeight="1">
      <c r="B157" s="51" t="s">
        <v>504</v>
      </c>
      <c r="C157" s="51"/>
      <c r="D157" s="67" t="s">
        <v>512</v>
      </c>
      <c r="E157" s="128">
        <f>E158+E159</f>
        <v>16686224</v>
      </c>
      <c r="F157" s="128">
        <f aca="true" t="shared" si="28" ref="F157:O157">F158+F159</f>
        <v>16686224</v>
      </c>
      <c r="G157" s="128">
        <f t="shared" si="28"/>
        <v>7694871</v>
      </c>
      <c r="H157" s="128">
        <f t="shared" si="28"/>
        <v>859660</v>
      </c>
      <c r="I157" s="128">
        <f t="shared" si="28"/>
        <v>0</v>
      </c>
      <c r="J157" s="128">
        <f t="shared" si="28"/>
        <v>249000</v>
      </c>
      <c r="K157" s="128">
        <f t="shared" si="28"/>
        <v>0</v>
      </c>
      <c r="L157" s="128">
        <f t="shared" si="28"/>
        <v>0</v>
      </c>
      <c r="M157" s="128">
        <f t="shared" si="28"/>
        <v>0</v>
      </c>
      <c r="N157" s="128">
        <f t="shared" si="28"/>
        <v>249000</v>
      </c>
      <c r="O157" s="128">
        <f t="shared" si="28"/>
        <v>249000</v>
      </c>
      <c r="P157" s="128">
        <f t="shared" si="23"/>
        <v>16935224</v>
      </c>
      <c r="Q157" s="242">
        <v>40</v>
      </c>
      <c r="Y157" s="89"/>
      <c r="Z157" s="89"/>
    </row>
    <row r="158" spans="1:26" s="58" customFormat="1" ht="38.25" customHeight="1">
      <c r="A158" s="56"/>
      <c r="B158" s="55" t="s">
        <v>506</v>
      </c>
      <c r="C158" s="55" t="s">
        <v>324</v>
      </c>
      <c r="D158" s="57" t="s">
        <v>49</v>
      </c>
      <c r="E158" s="129">
        <f>'дод. 3'!F36+'дод. 3'!F87</f>
        <v>10842924</v>
      </c>
      <c r="F158" s="129">
        <f>'дод. 3'!G36+'дод. 3'!G87</f>
        <v>10842924</v>
      </c>
      <c r="G158" s="129">
        <f>'дод. 3'!H36+'дод. 3'!H87</f>
        <v>7694871</v>
      </c>
      <c r="H158" s="129">
        <f>'дод. 3'!I36+'дод. 3'!I87</f>
        <v>859660</v>
      </c>
      <c r="I158" s="129">
        <f>'дод. 3'!J36+'дод. 3'!J87</f>
        <v>0</v>
      </c>
      <c r="J158" s="129">
        <f>'дод. 3'!K36+'дод. 3'!K87</f>
        <v>249000</v>
      </c>
      <c r="K158" s="129">
        <f>'дод. 3'!L36+'дод. 3'!L87</f>
        <v>0</v>
      </c>
      <c r="L158" s="129">
        <f>'дод. 3'!M36+'дод. 3'!M87</f>
        <v>0</v>
      </c>
      <c r="M158" s="129">
        <f>'дод. 3'!N36+'дод. 3'!N87</f>
        <v>0</v>
      </c>
      <c r="N158" s="129">
        <f>'дод. 3'!O36+'дод. 3'!O87</f>
        <v>249000</v>
      </c>
      <c r="O158" s="129">
        <f>'дод. 3'!P36+'дод. 3'!P87</f>
        <v>249000</v>
      </c>
      <c r="P158" s="129">
        <f t="shared" si="23"/>
        <v>11091924</v>
      </c>
      <c r="Q158" s="242"/>
      <c r="Y158" s="151"/>
      <c r="Z158" s="151"/>
    </row>
    <row r="159" spans="1:26" s="58" customFormat="1" ht="39.75" customHeight="1">
      <c r="A159" s="56"/>
      <c r="B159" s="55" t="s">
        <v>507</v>
      </c>
      <c r="C159" s="55" t="s">
        <v>324</v>
      </c>
      <c r="D159" s="66" t="s">
        <v>50</v>
      </c>
      <c r="E159" s="129">
        <f>'дод. 3'!F37</f>
        <v>5843300</v>
      </c>
      <c r="F159" s="129">
        <f>'дод. 3'!G37</f>
        <v>5843300</v>
      </c>
      <c r="G159" s="129">
        <f>'дод. 3'!H37</f>
        <v>0</v>
      </c>
      <c r="H159" s="129">
        <f>'дод. 3'!I37</f>
        <v>0</v>
      </c>
      <c r="I159" s="129">
        <f>'дод. 3'!J37</f>
        <v>0</v>
      </c>
      <c r="J159" s="129">
        <f>'дод. 3'!K37</f>
        <v>0</v>
      </c>
      <c r="K159" s="129">
        <f>'дод. 3'!L37</f>
        <v>0</v>
      </c>
      <c r="L159" s="129">
        <f>'дод. 3'!M37</f>
        <v>0</v>
      </c>
      <c r="M159" s="129">
        <f>'дод. 3'!N37</f>
        <v>0</v>
      </c>
      <c r="N159" s="129">
        <f>'дод. 3'!O37</f>
        <v>0</v>
      </c>
      <c r="O159" s="129">
        <f>'дод. 3'!P37</f>
        <v>0</v>
      </c>
      <c r="P159" s="129">
        <f t="shared" si="23"/>
        <v>5843300</v>
      </c>
      <c r="Q159" s="242"/>
      <c r="Y159" s="151"/>
      <c r="Z159" s="151"/>
    </row>
    <row r="160" spans="2:26" ht="31.5" customHeight="1">
      <c r="B160" s="164" t="s">
        <v>326</v>
      </c>
      <c r="C160" s="164" t="s">
        <v>324</v>
      </c>
      <c r="D160" s="67" t="s">
        <v>498</v>
      </c>
      <c r="E160" s="128">
        <f>E161+E162</f>
        <v>5791737</v>
      </c>
      <c r="F160" s="128">
        <f aca="true" t="shared" si="29" ref="F160:P160">F161+F162</f>
        <v>5791737</v>
      </c>
      <c r="G160" s="128">
        <f t="shared" si="29"/>
        <v>1376959</v>
      </c>
      <c r="H160" s="128">
        <f t="shared" si="29"/>
        <v>512490</v>
      </c>
      <c r="I160" s="128">
        <f t="shared" si="29"/>
        <v>0</v>
      </c>
      <c r="J160" s="128">
        <f t="shared" si="29"/>
        <v>454700</v>
      </c>
      <c r="K160" s="128">
        <f t="shared" si="29"/>
        <v>415700</v>
      </c>
      <c r="L160" s="128">
        <f t="shared" si="29"/>
        <v>242690</v>
      </c>
      <c r="M160" s="128">
        <f t="shared" si="29"/>
        <v>99128</v>
      </c>
      <c r="N160" s="128">
        <f t="shared" si="29"/>
        <v>39000</v>
      </c>
      <c r="O160" s="128">
        <f t="shared" si="29"/>
        <v>39000</v>
      </c>
      <c r="P160" s="128">
        <f t="shared" si="29"/>
        <v>6246437</v>
      </c>
      <c r="Q160" s="242"/>
      <c r="Y160" s="89"/>
      <c r="Z160" s="89"/>
    </row>
    <row r="161" spans="1:26" s="58" customFormat="1" ht="48.75" customHeight="1">
      <c r="A161" s="56"/>
      <c r="B161" s="176" t="s">
        <v>500</v>
      </c>
      <c r="C161" s="176" t="s">
        <v>324</v>
      </c>
      <c r="D161" s="57" t="s">
        <v>501</v>
      </c>
      <c r="E161" s="129">
        <f>'дод. 3'!F39</f>
        <v>2691590</v>
      </c>
      <c r="F161" s="129">
        <f>'дод. 3'!G39</f>
        <v>2691590</v>
      </c>
      <c r="G161" s="129">
        <f>'дод. 3'!H39</f>
        <v>1376959</v>
      </c>
      <c r="H161" s="129">
        <f>'дод. 3'!I39</f>
        <v>512490</v>
      </c>
      <c r="I161" s="129">
        <f>'дод. 3'!J39</f>
        <v>0</v>
      </c>
      <c r="J161" s="129">
        <f>'дод. 3'!K39</f>
        <v>454700</v>
      </c>
      <c r="K161" s="129">
        <f>'дод. 3'!L39</f>
        <v>415700</v>
      </c>
      <c r="L161" s="129">
        <f>'дод. 3'!M39</f>
        <v>242690</v>
      </c>
      <c r="M161" s="129">
        <f>'дод. 3'!N39</f>
        <v>99128</v>
      </c>
      <c r="N161" s="129">
        <f>'дод. 3'!O39</f>
        <v>39000</v>
      </c>
      <c r="O161" s="129">
        <f>'дод. 3'!P39</f>
        <v>39000</v>
      </c>
      <c r="P161" s="129">
        <f>'дод. 3'!Q39</f>
        <v>3146290</v>
      </c>
      <c r="Q161" s="242"/>
      <c r="Y161" s="151"/>
      <c r="Z161" s="151"/>
    </row>
    <row r="162" spans="1:26" s="58" customFormat="1" ht="52.5" customHeight="1">
      <c r="A162" s="56"/>
      <c r="B162" s="55" t="s">
        <v>503</v>
      </c>
      <c r="C162" s="55" t="s">
        <v>324</v>
      </c>
      <c r="D162" s="66" t="s">
        <v>502</v>
      </c>
      <c r="E162" s="129">
        <f>'дод. 3'!F40</f>
        <v>3100147</v>
      </c>
      <c r="F162" s="129">
        <f>'дод. 3'!G40</f>
        <v>3100147</v>
      </c>
      <c r="G162" s="129">
        <f>'дод. 3'!H40</f>
        <v>0</v>
      </c>
      <c r="H162" s="129">
        <f>'дод. 3'!I40</f>
        <v>0</v>
      </c>
      <c r="I162" s="129">
        <f>'дод. 3'!J40</f>
        <v>0</v>
      </c>
      <c r="J162" s="129">
        <f>'дод. 3'!K40</f>
        <v>0</v>
      </c>
      <c r="K162" s="129">
        <f>'дод. 3'!L40</f>
        <v>0</v>
      </c>
      <c r="L162" s="129">
        <f>'дод. 3'!M40</f>
        <v>0</v>
      </c>
      <c r="M162" s="129">
        <f>'дод. 3'!N40</f>
        <v>0</v>
      </c>
      <c r="N162" s="129">
        <f>'дод. 3'!O40</f>
        <v>0</v>
      </c>
      <c r="O162" s="129">
        <f>'дод. 3'!P40</f>
        <v>0</v>
      </c>
      <c r="P162" s="129">
        <f t="shared" si="23"/>
        <v>3100147</v>
      </c>
      <c r="Q162" s="242"/>
      <c r="Y162" s="151"/>
      <c r="Z162" s="151"/>
    </row>
    <row r="163" spans="1:26" s="97" customFormat="1" ht="20.25" customHeight="1">
      <c r="A163" s="96"/>
      <c r="B163" s="98" t="s">
        <v>292</v>
      </c>
      <c r="C163" s="62"/>
      <c r="D163" s="101" t="s">
        <v>294</v>
      </c>
      <c r="E163" s="127">
        <f>E164+E165+E168+E170+E171</f>
        <v>128602549</v>
      </c>
      <c r="F163" s="127">
        <f aca="true" t="shared" si="30" ref="F163:P163">F164+F165+F168+F170+F171</f>
        <v>96030498</v>
      </c>
      <c r="G163" s="127">
        <f t="shared" si="30"/>
        <v>0</v>
      </c>
      <c r="H163" s="127">
        <f t="shared" si="30"/>
        <v>18521500</v>
      </c>
      <c r="I163" s="127">
        <f t="shared" si="30"/>
        <v>32572051</v>
      </c>
      <c r="J163" s="127">
        <f t="shared" si="30"/>
        <v>230206890</v>
      </c>
      <c r="K163" s="127">
        <f t="shared" si="30"/>
        <v>0</v>
      </c>
      <c r="L163" s="127">
        <f t="shared" si="30"/>
        <v>0</v>
      </c>
      <c r="M163" s="127">
        <f t="shared" si="30"/>
        <v>0</v>
      </c>
      <c r="N163" s="127">
        <f t="shared" si="30"/>
        <v>230206890</v>
      </c>
      <c r="O163" s="127">
        <f t="shared" si="30"/>
        <v>230206890</v>
      </c>
      <c r="P163" s="127">
        <f t="shared" si="30"/>
        <v>358809439</v>
      </c>
      <c r="Q163" s="242"/>
      <c r="R163" s="94"/>
      <c r="Y163" s="94"/>
      <c r="Z163" s="94"/>
    </row>
    <row r="164" spans="2:26" ht="32.25" customHeight="1">
      <c r="B164" s="51" t="s">
        <v>295</v>
      </c>
      <c r="C164" s="51" t="s">
        <v>296</v>
      </c>
      <c r="D164" s="65" t="s">
        <v>211</v>
      </c>
      <c r="E164" s="128">
        <f>'дод. 3'!F215</f>
        <v>1572000</v>
      </c>
      <c r="F164" s="128">
        <f>'дод. 3'!G215</f>
        <v>1572000</v>
      </c>
      <c r="G164" s="128">
        <f>'дод. 3'!H215</f>
        <v>0</v>
      </c>
      <c r="H164" s="128">
        <f>'дод. 3'!I215</f>
        <v>0</v>
      </c>
      <c r="I164" s="128">
        <f>'дод. 3'!J215</f>
        <v>0</v>
      </c>
      <c r="J164" s="128">
        <f>'дод. 3'!K215</f>
        <v>0</v>
      </c>
      <c r="K164" s="128">
        <f>'дод. 3'!L215</f>
        <v>0</v>
      </c>
      <c r="L164" s="128">
        <f>'дод. 3'!M215</f>
        <v>0</v>
      </c>
      <c r="M164" s="128">
        <f>'дод. 3'!N215</f>
        <v>0</v>
      </c>
      <c r="N164" s="128">
        <f>'дод. 3'!O215</f>
        <v>0</v>
      </c>
      <c r="O164" s="128">
        <f>'дод. 3'!P215</f>
        <v>0</v>
      </c>
      <c r="P164" s="128">
        <f t="shared" si="23"/>
        <v>1572000</v>
      </c>
      <c r="Q164" s="242"/>
      <c r="Y164" s="89"/>
      <c r="Z164" s="89"/>
    </row>
    <row r="165" spans="2:26" ht="16.5">
      <c r="B165" s="51" t="s">
        <v>297</v>
      </c>
      <c r="C165" s="51"/>
      <c r="D165" s="65" t="s">
        <v>142</v>
      </c>
      <c r="E165" s="128">
        <f>E166+E167</f>
        <v>480000</v>
      </c>
      <c r="F165" s="128">
        <f aca="true" t="shared" si="31" ref="F165:O165">F166+F167</f>
        <v>480000</v>
      </c>
      <c r="G165" s="128">
        <f t="shared" si="31"/>
        <v>0</v>
      </c>
      <c r="H165" s="128">
        <f t="shared" si="31"/>
        <v>0</v>
      </c>
      <c r="I165" s="128">
        <f t="shared" si="31"/>
        <v>0</v>
      </c>
      <c r="J165" s="128">
        <f t="shared" si="31"/>
        <v>71307427</v>
      </c>
      <c r="K165" s="128">
        <f t="shared" si="31"/>
        <v>0</v>
      </c>
      <c r="L165" s="128">
        <f t="shared" si="31"/>
        <v>0</v>
      </c>
      <c r="M165" s="128">
        <f t="shared" si="31"/>
        <v>0</v>
      </c>
      <c r="N165" s="128">
        <f t="shared" si="31"/>
        <v>71307427</v>
      </c>
      <c r="O165" s="128">
        <f t="shared" si="31"/>
        <v>71307427</v>
      </c>
      <c r="P165" s="128">
        <f t="shared" si="23"/>
        <v>71787427</v>
      </c>
      <c r="Q165" s="242"/>
      <c r="Y165" s="89"/>
      <c r="Z165" s="89"/>
    </row>
    <row r="166" spans="1:26" s="58" customFormat="1" ht="22.5" customHeight="1">
      <c r="A166" s="56"/>
      <c r="B166" s="51" t="s">
        <v>298</v>
      </c>
      <c r="C166" s="55" t="s">
        <v>296</v>
      </c>
      <c r="D166" s="66" t="s">
        <v>144</v>
      </c>
      <c r="E166" s="129">
        <f>'дод. 3'!F217</f>
        <v>480000</v>
      </c>
      <c r="F166" s="129">
        <f>'дод. 3'!G217</f>
        <v>480000</v>
      </c>
      <c r="G166" s="129">
        <f>'дод. 3'!H217</f>
        <v>0</v>
      </c>
      <c r="H166" s="129">
        <f>'дод. 3'!I217</f>
        <v>0</v>
      </c>
      <c r="I166" s="129">
        <f>'дод. 3'!J217</f>
        <v>0</v>
      </c>
      <c r="J166" s="129">
        <f>'дод. 3'!K217</f>
        <v>54807427</v>
      </c>
      <c r="K166" s="129">
        <f>'дод. 3'!L217</f>
        <v>0</v>
      </c>
      <c r="L166" s="129">
        <f>'дод. 3'!M217</f>
        <v>0</v>
      </c>
      <c r="M166" s="129">
        <f>'дод. 3'!N217</f>
        <v>0</v>
      </c>
      <c r="N166" s="129">
        <f>'дод. 3'!O217</f>
        <v>54807427</v>
      </c>
      <c r="O166" s="129">
        <f>'дод. 3'!P217</f>
        <v>54807427</v>
      </c>
      <c r="P166" s="129">
        <f t="shared" si="23"/>
        <v>55287427</v>
      </c>
      <c r="Q166" s="242"/>
      <c r="Y166" s="89"/>
      <c r="Z166" s="89"/>
    </row>
    <row r="167" spans="1:26" s="58" customFormat="1" ht="31.5">
      <c r="A167" s="56"/>
      <c r="B167" s="51" t="s">
        <v>299</v>
      </c>
      <c r="C167" s="55" t="s">
        <v>296</v>
      </c>
      <c r="D167" s="66" t="s">
        <v>146</v>
      </c>
      <c r="E167" s="129">
        <f>'дод. 3'!F218</f>
        <v>0</v>
      </c>
      <c r="F167" s="129">
        <f>'дод. 3'!G218</f>
        <v>0</v>
      </c>
      <c r="G167" s="129">
        <f>'дод. 3'!H218</f>
        <v>0</v>
      </c>
      <c r="H167" s="129">
        <f>'дод. 3'!I218</f>
        <v>0</v>
      </c>
      <c r="I167" s="129">
        <f>'дод. 3'!J218</f>
        <v>0</v>
      </c>
      <c r="J167" s="129">
        <f>'дод. 3'!K218</f>
        <v>16500000</v>
      </c>
      <c r="K167" s="129">
        <f>'дод. 3'!L218</f>
        <v>0</v>
      </c>
      <c r="L167" s="129">
        <f>'дод. 3'!M218</f>
        <v>0</v>
      </c>
      <c r="M167" s="129">
        <f>'дод. 3'!N218</f>
        <v>0</v>
      </c>
      <c r="N167" s="129">
        <f>'дод. 3'!O218</f>
        <v>16500000</v>
      </c>
      <c r="O167" s="129">
        <f>'дод. 3'!P218</f>
        <v>16500000</v>
      </c>
      <c r="P167" s="129">
        <f t="shared" si="23"/>
        <v>16500000</v>
      </c>
      <c r="Q167" s="242"/>
      <c r="Y167" s="89"/>
      <c r="Z167" s="89"/>
    </row>
    <row r="168" spans="1:26" s="58" customFormat="1" ht="27" customHeight="1">
      <c r="A168" s="56"/>
      <c r="B168" s="51" t="s">
        <v>300</v>
      </c>
      <c r="C168" s="55"/>
      <c r="D168" s="65" t="s">
        <v>149</v>
      </c>
      <c r="E168" s="129">
        <f>E169</f>
        <v>3417000</v>
      </c>
      <c r="F168" s="129">
        <f aca="true" t="shared" si="32" ref="F168:O168">F169</f>
        <v>0</v>
      </c>
      <c r="G168" s="129">
        <f t="shared" si="32"/>
        <v>0</v>
      </c>
      <c r="H168" s="129">
        <f t="shared" si="32"/>
        <v>0</v>
      </c>
      <c r="I168" s="129">
        <f t="shared" si="32"/>
        <v>3417000</v>
      </c>
      <c r="J168" s="129">
        <f t="shared" si="32"/>
        <v>0</v>
      </c>
      <c r="K168" s="129">
        <f t="shared" si="32"/>
        <v>0</v>
      </c>
      <c r="L168" s="129">
        <f t="shared" si="32"/>
        <v>0</v>
      </c>
      <c r="M168" s="129">
        <f t="shared" si="32"/>
        <v>0</v>
      </c>
      <c r="N168" s="129">
        <f t="shared" si="32"/>
        <v>0</v>
      </c>
      <c r="O168" s="129">
        <f t="shared" si="32"/>
        <v>0</v>
      </c>
      <c r="P168" s="129">
        <f t="shared" si="23"/>
        <v>3417000</v>
      </c>
      <c r="Q168" s="242"/>
      <c r="Y168" s="89"/>
      <c r="Z168" s="89"/>
    </row>
    <row r="169" spans="1:26" s="58" customFormat="1" ht="43.5" customHeight="1">
      <c r="A169" s="56"/>
      <c r="B169" s="51" t="s">
        <v>301</v>
      </c>
      <c r="C169" s="55" t="s">
        <v>302</v>
      </c>
      <c r="D169" s="66" t="s">
        <v>148</v>
      </c>
      <c r="E169" s="129">
        <f>'дод. 3'!F220</f>
        <v>3417000</v>
      </c>
      <c r="F169" s="129">
        <f>'дод. 3'!G220</f>
        <v>0</v>
      </c>
      <c r="G169" s="129">
        <f>'дод. 3'!H220</f>
        <v>0</v>
      </c>
      <c r="H169" s="129">
        <f>'дод. 3'!I220</f>
        <v>0</v>
      </c>
      <c r="I169" s="129">
        <f>'дод. 3'!J220</f>
        <v>3417000</v>
      </c>
      <c r="J169" s="129">
        <f>'дод. 3'!K220</f>
        <v>0</v>
      </c>
      <c r="K169" s="129">
        <f>'дод. 3'!L220</f>
        <v>0</v>
      </c>
      <c r="L169" s="129">
        <f>'дод. 3'!M220</f>
        <v>0</v>
      </c>
      <c r="M169" s="129">
        <f>'дод. 3'!N220</f>
        <v>0</v>
      </c>
      <c r="N169" s="129">
        <f>'дод. 3'!O220</f>
        <v>0</v>
      </c>
      <c r="O169" s="129">
        <f>'дод. 3'!P220</f>
        <v>0</v>
      </c>
      <c r="P169" s="129">
        <f t="shared" si="23"/>
        <v>3417000</v>
      </c>
      <c r="Q169" s="242"/>
      <c r="Y169" s="89"/>
      <c r="Z169" s="89"/>
    </row>
    <row r="170" spans="2:26" ht="28.5" customHeight="1">
      <c r="B170" s="51" t="s">
        <v>303</v>
      </c>
      <c r="C170" s="51" t="s">
        <v>302</v>
      </c>
      <c r="D170" s="65" t="s">
        <v>52</v>
      </c>
      <c r="E170" s="128">
        <f>'дод. 3'!F221+'дод. 3'!F280+'дод. 3'!F253</f>
        <v>123133549</v>
      </c>
      <c r="F170" s="128">
        <f>'дод. 3'!G221+'дод. 3'!G280+'дод. 3'!G253</f>
        <v>93978498</v>
      </c>
      <c r="G170" s="128">
        <f>'дод. 3'!H221+'дод. 3'!H280+'дод. 3'!H253</f>
        <v>0</v>
      </c>
      <c r="H170" s="128">
        <f>'дод. 3'!I221+'дод. 3'!I280+'дод. 3'!I253</f>
        <v>18521500</v>
      </c>
      <c r="I170" s="128">
        <f>'дод. 3'!J221+'дод. 3'!J280+'дод. 3'!J253</f>
        <v>29155051</v>
      </c>
      <c r="J170" s="128">
        <f>'дод. 3'!K221+'дод. 3'!K280+'дод. 3'!K253</f>
        <v>157899463</v>
      </c>
      <c r="K170" s="128">
        <f>'дод. 3'!L221+'дод. 3'!L280+'дод. 3'!L253</f>
        <v>0</v>
      </c>
      <c r="L170" s="128">
        <f>'дод. 3'!M221+'дод. 3'!M280+'дод. 3'!M253</f>
        <v>0</v>
      </c>
      <c r="M170" s="128">
        <f>'дод. 3'!N221+'дод. 3'!N280+'дод. 3'!N253</f>
        <v>0</v>
      </c>
      <c r="N170" s="128">
        <f>'дод. 3'!O221+'дод. 3'!O280+'дод. 3'!O253</f>
        <v>157899463</v>
      </c>
      <c r="O170" s="128">
        <f>'дод. 3'!P221+'дод. 3'!P280+'дод. 3'!P253</f>
        <v>157899463</v>
      </c>
      <c r="P170" s="128">
        <f>'дод. 3'!Q221+'дод. 3'!Q280+'дод. 3'!Q253</f>
        <v>281033012</v>
      </c>
      <c r="Q170" s="242"/>
      <c r="Y170" s="89"/>
      <c r="Z170" s="89"/>
    </row>
    <row r="171" spans="2:26" ht="31.5">
      <c r="B171" s="51" t="s">
        <v>304</v>
      </c>
      <c r="C171" s="51" t="s">
        <v>302</v>
      </c>
      <c r="D171" s="65" t="s">
        <v>221</v>
      </c>
      <c r="E171" s="128">
        <f>'дод. 3'!F222</f>
        <v>0</v>
      </c>
      <c r="F171" s="128">
        <f>'дод. 3'!G222</f>
        <v>0</v>
      </c>
      <c r="G171" s="128">
        <f>'дод. 3'!H222</f>
        <v>0</v>
      </c>
      <c r="H171" s="128">
        <f>'дод. 3'!I222</f>
        <v>0</v>
      </c>
      <c r="I171" s="128">
        <f>'дод. 3'!J222</f>
        <v>0</v>
      </c>
      <c r="J171" s="128">
        <f>'дод. 3'!K222</f>
        <v>1000000</v>
      </c>
      <c r="K171" s="128">
        <f>'дод. 3'!L222</f>
        <v>0</v>
      </c>
      <c r="L171" s="128">
        <f>'дод. 3'!M222</f>
        <v>0</v>
      </c>
      <c r="M171" s="128">
        <f>'дод. 3'!N222</f>
        <v>0</v>
      </c>
      <c r="N171" s="128">
        <f>'дод. 3'!O222</f>
        <v>1000000</v>
      </c>
      <c r="O171" s="128">
        <f>'дод. 3'!P222</f>
        <v>1000000</v>
      </c>
      <c r="P171" s="128">
        <f t="shared" si="23"/>
        <v>1000000</v>
      </c>
      <c r="Q171" s="242"/>
      <c r="Y171" s="89"/>
      <c r="Z171" s="89"/>
    </row>
    <row r="172" spans="1:26" s="97" customFormat="1" ht="20.25" customHeight="1">
      <c r="A172" s="96"/>
      <c r="B172" s="98" t="s">
        <v>327</v>
      </c>
      <c r="C172" s="62"/>
      <c r="D172" s="101" t="s">
        <v>328</v>
      </c>
      <c r="E172" s="127">
        <f>E173+E174</f>
        <v>0</v>
      </c>
      <c r="F172" s="127">
        <f aca="true" t="shared" si="33" ref="F172:P172">F173+F174</f>
        <v>0</v>
      </c>
      <c r="G172" s="127">
        <f t="shared" si="33"/>
        <v>0</v>
      </c>
      <c r="H172" s="127">
        <f t="shared" si="33"/>
        <v>0</v>
      </c>
      <c r="I172" s="127">
        <f t="shared" si="33"/>
        <v>0</v>
      </c>
      <c r="J172" s="127">
        <f>J173+J174</f>
        <v>151975714</v>
      </c>
      <c r="K172" s="127">
        <f t="shared" si="33"/>
        <v>0</v>
      </c>
      <c r="L172" s="127">
        <f t="shared" si="33"/>
        <v>0</v>
      </c>
      <c r="M172" s="127">
        <f t="shared" si="33"/>
        <v>0</v>
      </c>
      <c r="N172" s="127">
        <f t="shared" si="33"/>
        <v>151975714</v>
      </c>
      <c r="O172" s="127">
        <f t="shared" si="33"/>
        <v>151975714</v>
      </c>
      <c r="P172" s="127">
        <f t="shared" si="33"/>
        <v>151975714</v>
      </c>
      <c r="Q172" s="242"/>
      <c r="R172" s="94"/>
      <c r="Y172" s="94"/>
      <c r="Z172" s="94"/>
    </row>
    <row r="173" spans="2:26" ht="16.5">
      <c r="B173" s="51" t="s">
        <v>329</v>
      </c>
      <c r="C173" s="51" t="s">
        <v>330</v>
      </c>
      <c r="D173" s="65" t="s">
        <v>163</v>
      </c>
      <c r="E173" s="128">
        <f>'дод. 3'!F254+'дод. 3'!F223</f>
        <v>0</v>
      </c>
      <c r="F173" s="128">
        <f>'дод. 3'!G254+'дод. 3'!G223</f>
        <v>0</v>
      </c>
      <c r="G173" s="128">
        <f>'дод. 3'!H254+'дод. 3'!H223</f>
        <v>0</v>
      </c>
      <c r="H173" s="128">
        <f>'дод. 3'!I254+'дод. 3'!I223</f>
        <v>0</v>
      </c>
      <c r="I173" s="128">
        <f>'дод. 3'!J254+'дод. 3'!J223</f>
        <v>0</v>
      </c>
      <c r="J173" s="128">
        <f>'дод. 3'!K254+'дод. 3'!K223</f>
        <v>130975714</v>
      </c>
      <c r="K173" s="128">
        <f>'дод. 3'!L254+'дод. 3'!L223</f>
        <v>0</v>
      </c>
      <c r="L173" s="128">
        <f>'дод. 3'!M254+'дод. 3'!M223</f>
        <v>0</v>
      </c>
      <c r="M173" s="128">
        <f>'дод. 3'!N254+'дод. 3'!N223</f>
        <v>0</v>
      </c>
      <c r="N173" s="128">
        <f>'дод. 3'!O254+'дод. 3'!O223</f>
        <v>130975714</v>
      </c>
      <c r="O173" s="128">
        <f>'дод. 3'!P254+'дод. 3'!P223</f>
        <v>130975714</v>
      </c>
      <c r="P173" s="128">
        <f>'дод. 3'!Q254+'дод. 3'!Q223</f>
        <v>130975714</v>
      </c>
      <c r="Q173" s="242"/>
      <c r="Y173" s="89"/>
      <c r="Z173" s="89"/>
    </row>
    <row r="174" spans="2:26" ht="20.25" customHeight="1">
      <c r="B174" s="51" t="s">
        <v>418</v>
      </c>
      <c r="C174" s="51"/>
      <c r="D174" s="65" t="s">
        <v>419</v>
      </c>
      <c r="E174" s="128">
        <f>E175</f>
        <v>0</v>
      </c>
      <c r="F174" s="128">
        <f aca="true" t="shared" si="34" ref="F174:O174">F175</f>
        <v>0</v>
      </c>
      <c r="G174" s="128">
        <f t="shared" si="34"/>
        <v>0</v>
      </c>
      <c r="H174" s="128">
        <f t="shared" si="34"/>
        <v>0</v>
      </c>
      <c r="I174" s="128">
        <f t="shared" si="34"/>
        <v>0</v>
      </c>
      <c r="J174" s="128">
        <f t="shared" si="34"/>
        <v>21000000</v>
      </c>
      <c r="K174" s="128">
        <f t="shared" si="34"/>
        <v>0</v>
      </c>
      <c r="L174" s="128">
        <f t="shared" si="34"/>
        <v>0</v>
      </c>
      <c r="M174" s="128">
        <f t="shared" si="34"/>
        <v>0</v>
      </c>
      <c r="N174" s="128">
        <f t="shared" si="34"/>
        <v>21000000</v>
      </c>
      <c r="O174" s="128">
        <f t="shared" si="34"/>
        <v>21000000</v>
      </c>
      <c r="P174" s="128">
        <f t="shared" si="23"/>
        <v>21000000</v>
      </c>
      <c r="Q174" s="242"/>
      <c r="Y174" s="89"/>
      <c r="Z174" s="89"/>
    </row>
    <row r="175" spans="1:26" s="58" customFormat="1" ht="31.5">
      <c r="A175" s="56"/>
      <c r="B175" s="55" t="s">
        <v>385</v>
      </c>
      <c r="C175" s="55" t="s">
        <v>261</v>
      </c>
      <c r="D175" s="66" t="s">
        <v>247</v>
      </c>
      <c r="E175" s="129">
        <f>'дод. 3'!F256</f>
        <v>0</v>
      </c>
      <c r="F175" s="129">
        <f>'дод. 3'!G256</f>
        <v>0</v>
      </c>
      <c r="G175" s="129">
        <f>'дод. 3'!H256</f>
        <v>0</v>
      </c>
      <c r="H175" s="129">
        <f>'дод. 3'!I256</f>
        <v>0</v>
      </c>
      <c r="I175" s="129">
        <f>'дод. 3'!J256</f>
        <v>0</v>
      </c>
      <c r="J175" s="129">
        <f>'дод. 3'!K256</f>
        <v>21000000</v>
      </c>
      <c r="K175" s="129">
        <f>'дод. 3'!L256</f>
        <v>0</v>
      </c>
      <c r="L175" s="129">
        <f>'дод. 3'!M256</f>
        <v>0</v>
      </c>
      <c r="M175" s="129">
        <f>'дод. 3'!N256</f>
        <v>0</v>
      </c>
      <c r="N175" s="129">
        <f>'дод. 3'!O256</f>
        <v>21000000</v>
      </c>
      <c r="O175" s="129">
        <f>'дод. 3'!P256</f>
        <v>21000000</v>
      </c>
      <c r="P175" s="129">
        <f t="shared" si="23"/>
        <v>21000000</v>
      </c>
      <c r="Q175" s="242"/>
      <c r="Y175" s="151"/>
      <c r="Z175" s="151"/>
    </row>
    <row r="176" spans="1:26" s="97" customFormat="1" ht="21" customHeight="1">
      <c r="A176" s="96"/>
      <c r="B176" s="98" t="s">
        <v>331</v>
      </c>
      <c r="C176" s="98"/>
      <c r="D176" s="101" t="s">
        <v>232</v>
      </c>
      <c r="E176" s="127">
        <f>E177</f>
        <v>0</v>
      </c>
      <c r="F176" s="127">
        <f aca="true" t="shared" si="35" ref="F176:P176">F177</f>
        <v>0</v>
      </c>
      <c r="G176" s="127">
        <f t="shared" si="35"/>
        <v>0</v>
      </c>
      <c r="H176" s="127">
        <f t="shared" si="35"/>
        <v>0</v>
      </c>
      <c r="I176" s="127">
        <f t="shared" si="35"/>
        <v>0</v>
      </c>
      <c r="J176" s="127">
        <f t="shared" si="35"/>
        <v>3243100</v>
      </c>
      <c r="K176" s="127">
        <f t="shared" si="35"/>
        <v>0</v>
      </c>
      <c r="L176" s="127">
        <f t="shared" si="35"/>
        <v>0</v>
      </c>
      <c r="M176" s="127">
        <f t="shared" si="35"/>
        <v>0</v>
      </c>
      <c r="N176" s="127">
        <f t="shared" si="35"/>
        <v>3243100</v>
      </c>
      <c r="O176" s="127">
        <f t="shared" si="35"/>
        <v>3243100</v>
      </c>
      <c r="P176" s="127">
        <f t="shared" si="35"/>
        <v>3243100</v>
      </c>
      <c r="Q176" s="242"/>
      <c r="Y176" s="94"/>
      <c r="Z176" s="94"/>
    </row>
    <row r="177" spans="2:26" ht="24" customHeight="1">
      <c r="B177" s="51" t="s">
        <v>331</v>
      </c>
      <c r="C177" s="51"/>
      <c r="D177" s="65" t="s">
        <v>232</v>
      </c>
      <c r="E177" s="128">
        <f>E178</f>
        <v>0</v>
      </c>
      <c r="F177" s="128">
        <f aca="true" t="shared" si="36" ref="F177:P177">F178</f>
        <v>0</v>
      </c>
      <c r="G177" s="128">
        <f t="shared" si="36"/>
        <v>0</v>
      </c>
      <c r="H177" s="128">
        <f t="shared" si="36"/>
        <v>0</v>
      </c>
      <c r="I177" s="128">
        <f t="shared" si="36"/>
        <v>0</v>
      </c>
      <c r="J177" s="128">
        <f t="shared" si="36"/>
        <v>3243100</v>
      </c>
      <c r="K177" s="128">
        <f t="shared" si="36"/>
        <v>0</v>
      </c>
      <c r="L177" s="128">
        <f t="shared" si="36"/>
        <v>0</v>
      </c>
      <c r="M177" s="128">
        <f t="shared" si="36"/>
        <v>0</v>
      </c>
      <c r="N177" s="128">
        <f t="shared" si="36"/>
        <v>3243100</v>
      </c>
      <c r="O177" s="128">
        <f t="shared" si="36"/>
        <v>3243100</v>
      </c>
      <c r="P177" s="128">
        <f t="shared" si="36"/>
        <v>3243100</v>
      </c>
      <c r="Q177" s="242"/>
      <c r="Y177" s="89"/>
      <c r="Z177" s="89"/>
    </row>
    <row r="178" spans="1:26" s="58" customFormat="1" ht="34.5" customHeight="1">
      <c r="A178" s="56"/>
      <c r="B178" s="55" t="s">
        <v>332</v>
      </c>
      <c r="C178" s="55" t="s">
        <v>313</v>
      </c>
      <c r="D178" s="66" t="s">
        <v>236</v>
      </c>
      <c r="E178" s="129">
        <f>'дод. 3'!F258+'дод. 3'!F225</f>
        <v>0</v>
      </c>
      <c r="F178" s="129">
        <f>'дод. 3'!G258+'дод. 3'!G225</f>
        <v>0</v>
      </c>
      <c r="G178" s="129">
        <f>'дод. 3'!H258+'дод. 3'!H225</f>
        <v>0</v>
      </c>
      <c r="H178" s="129">
        <f>'дод. 3'!I258+'дод. 3'!I225</f>
        <v>0</v>
      </c>
      <c r="I178" s="129">
        <f>'дод. 3'!J258+'дод. 3'!J225</f>
        <v>0</v>
      </c>
      <c r="J178" s="129">
        <f>'дод. 3'!K258+'дод. 3'!K225</f>
        <v>3243100</v>
      </c>
      <c r="K178" s="129">
        <f>'дод. 3'!L258+'дод. 3'!L225</f>
        <v>0</v>
      </c>
      <c r="L178" s="129">
        <f>'дод. 3'!M258+'дод. 3'!M225</f>
        <v>0</v>
      </c>
      <c r="M178" s="129">
        <f>'дод. 3'!N258+'дод. 3'!N225</f>
        <v>0</v>
      </c>
      <c r="N178" s="129">
        <f>'дод. 3'!O258+'дод. 3'!O225</f>
        <v>3243100</v>
      </c>
      <c r="O178" s="129">
        <f>'дод. 3'!P258+'дод. 3'!P225</f>
        <v>3243100</v>
      </c>
      <c r="P178" s="129">
        <f>'дод. 3'!Q258+'дод. 3'!Q225</f>
        <v>3243100</v>
      </c>
      <c r="Q178" s="242"/>
      <c r="Y178" s="89"/>
      <c r="Z178" s="89"/>
    </row>
    <row r="179" spans="1:26" s="97" customFormat="1" ht="34.5" customHeight="1">
      <c r="A179" s="96"/>
      <c r="B179" s="98" t="s">
        <v>444</v>
      </c>
      <c r="C179" s="98"/>
      <c r="D179" s="101" t="s">
        <v>445</v>
      </c>
      <c r="E179" s="127">
        <f>E180</f>
        <v>650000</v>
      </c>
      <c r="F179" s="127">
        <f aca="true" t="shared" si="37" ref="F179:O179">F180</f>
        <v>0</v>
      </c>
      <c r="G179" s="127">
        <f t="shared" si="37"/>
        <v>0</v>
      </c>
      <c r="H179" s="127">
        <f t="shared" si="37"/>
        <v>0</v>
      </c>
      <c r="I179" s="127">
        <f t="shared" si="37"/>
        <v>650000</v>
      </c>
      <c r="J179" s="127">
        <f t="shared" si="37"/>
        <v>130000</v>
      </c>
      <c r="K179" s="127">
        <f t="shared" si="37"/>
        <v>0</v>
      </c>
      <c r="L179" s="127">
        <f t="shared" si="37"/>
        <v>0</v>
      </c>
      <c r="M179" s="127">
        <f t="shared" si="37"/>
        <v>0</v>
      </c>
      <c r="N179" s="127">
        <f t="shared" si="37"/>
        <v>130000</v>
      </c>
      <c r="O179" s="127">
        <f t="shared" si="37"/>
        <v>130000</v>
      </c>
      <c r="P179" s="127">
        <f>E179+J179</f>
        <v>780000</v>
      </c>
      <c r="Q179" s="242"/>
      <c r="Y179" s="94"/>
      <c r="Z179" s="94"/>
    </row>
    <row r="180" spans="2:26" ht="34.5" customHeight="1">
      <c r="B180" s="51" t="s">
        <v>444</v>
      </c>
      <c r="C180" s="51" t="s">
        <v>443</v>
      </c>
      <c r="D180" s="65" t="s">
        <v>445</v>
      </c>
      <c r="E180" s="128">
        <f>'дод. 3'!F226</f>
        <v>650000</v>
      </c>
      <c r="F180" s="128">
        <f>'дод. 3'!G226</f>
        <v>0</v>
      </c>
      <c r="G180" s="128">
        <f>'дод. 3'!H226</f>
        <v>0</v>
      </c>
      <c r="H180" s="128">
        <f>'дод. 3'!I226</f>
        <v>0</v>
      </c>
      <c r="I180" s="128">
        <f>'дод. 3'!J226</f>
        <v>650000</v>
      </c>
      <c r="J180" s="128">
        <f>'дод. 3'!K226</f>
        <v>130000</v>
      </c>
      <c r="K180" s="128">
        <f>'дод. 3'!L226</f>
        <v>0</v>
      </c>
      <c r="L180" s="128">
        <f>'дод. 3'!M226</f>
        <v>0</v>
      </c>
      <c r="M180" s="128">
        <f>'дод. 3'!N226</f>
        <v>0</v>
      </c>
      <c r="N180" s="128">
        <f>'дод. 3'!O226</f>
        <v>130000</v>
      </c>
      <c r="O180" s="128">
        <f>'дод. 3'!P226</f>
        <v>130000</v>
      </c>
      <c r="P180" s="129">
        <f>E180+J180</f>
        <v>780000</v>
      </c>
      <c r="Q180" s="242"/>
      <c r="Y180" s="89"/>
      <c r="Z180" s="89"/>
    </row>
    <row r="181" spans="1:26" s="97" customFormat="1" ht="39.75" customHeight="1">
      <c r="A181" s="96"/>
      <c r="B181" s="98" t="s">
        <v>335</v>
      </c>
      <c r="C181" s="62"/>
      <c r="D181" s="101" t="s">
        <v>336</v>
      </c>
      <c r="E181" s="127">
        <f>E182+E185+E183+E186</f>
        <v>9002500</v>
      </c>
      <c r="F181" s="127">
        <f aca="true" t="shared" si="38" ref="F181:P181">F182+F185+F183+F186</f>
        <v>0</v>
      </c>
      <c r="G181" s="127">
        <f t="shared" si="38"/>
        <v>0</v>
      </c>
      <c r="H181" s="127">
        <f t="shared" si="38"/>
        <v>0</v>
      </c>
      <c r="I181" s="127">
        <f t="shared" si="38"/>
        <v>9002500</v>
      </c>
      <c r="J181" s="127">
        <f t="shared" si="38"/>
        <v>2069811.6</v>
      </c>
      <c r="K181" s="127">
        <f t="shared" si="38"/>
        <v>0</v>
      </c>
      <c r="L181" s="127">
        <f t="shared" si="38"/>
        <v>0</v>
      </c>
      <c r="M181" s="127">
        <f t="shared" si="38"/>
        <v>0</v>
      </c>
      <c r="N181" s="127">
        <f t="shared" si="38"/>
        <v>2069811.6</v>
      </c>
      <c r="O181" s="127">
        <f t="shared" si="38"/>
        <v>2000000</v>
      </c>
      <c r="P181" s="127">
        <f t="shared" si="38"/>
        <v>11072311.6</v>
      </c>
      <c r="Q181" s="242"/>
      <c r="R181" s="94"/>
      <c r="Y181" s="94"/>
      <c r="Z181" s="94"/>
    </row>
    <row r="182" spans="2:26" ht="16.5">
      <c r="B182" s="51" t="s">
        <v>337</v>
      </c>
      <c r="C182" s="51" t="s">
        <v>338</v>
      </c>
      <c r="D182" s="65" t="s">
        <v>194</v>
      </c>
      <c r="E182" s="128">
        <f>'дод. 3'!F41</f>
        <v>1604000</v>
      </c>
      <c r="F182" s="128">
        <f>'дод. 3'!G41</f>
        <v>0</v>
      </c>
      <c r="G182" s="128">
        <f>'дод. 3'!H41</f>
        <v>0</v>
      </c>
      <c r="H182" s="128">
        <f>'дод. 3'!I41</f>
        <v>0</v>
      </c>
      <c r="I182" s="128">
        <f>'дод. 3'!J41</f>
        <v>1604000</v>
      </c>
      <c r="J182" s="128">
        <f>'дод. 3'!K41</f>
        <v>0</v>
      </c>
      <c r="K182" s="128">
        <f>'дод. 3'!L41</f>
        <v>0</v>
      </c>
      <c r="L182" s="128">
        <f>'дод. 3'!M41</f>
        <v>0</v>
      </c>
      <c r="M182" s="128">
        <f>'дод. 3'!N41</f>
        <v>0</v>
      </c>
      <c r="N182" s="128">
        <f>'дод. 3'!O41</f>
        <v>0</v>
      </c>
      <c r="O182" s="128">
        <f>'дод. 3'!P41</f>
        <v>0</v>
      </c>
      <c r="P182" s="128">
        <f t="shared" si="23"/>
        <v>1604000</v>
      </c>
      <c r="Q182" s="242"/>
      <c r="Y182" s="89"/>
      <c r="Z182" s="89"/>
    </row>
    <row r="183" spans="2:26" ht="31.5">
      <c r="B183" s="51" t="s">
        <v>422</v>
      </c>
      <c r="C183" s="55"/>
      <c r="D183" s="65" t="s">
        <v>196</v>
      </c>
      <c r="E183" s="128">
        <f>E184</f>
        <v>4820000</v>
      </c>
      <c r="F183" s="128">
        <f aca="true" t="shared" si="39" ref="F183:O183">F184</f>
        <v>0</v>
      </c>
      <c r="G183" s="128">
        <f t="shared" si="39"/>
        <v>0</v>
      </c>
      <c r="H183" s="128">
        <f t="shared" si="39"/>
        <v>0</v>
      </c>
      <c r="I183" s="128">
        <f t="shared" si="39"/>
        <v>4820000</v>
      </c>
      <c r="J183" s="128">
        <f t="shared" si="39"/>
        <v>0</v>
      </c>
      <c r="K183" s="128">
        <f t="shared" si="39"/>
        <v>0</v>
      </c>
      <c r="L183" s="128">
        <f t="shared" si="39"/>
        <v>0</v>
      </c>
      <c r="M183" s="128">
        <f t="shared" si="39"/>
        <v>0</v>
      </c>
      <c r="N183" s="128">
        <f t="shared" si="39"/>
        <v>0</v>
      </c>
      <c r="O183" s="128">
        <f t="shared" si="39"/>
        <v>0</v>
      </c>
      <c r="P183" s="128">
        <f t="shared" si="23"/>
        <v>4820000</v>
      </c>
      <c r="Q183" s="242"/>
      <c r="Y183" s="89"/>
      <c r="Z183" s="89"/>
    </row>
    <row r="184" spans="1:26" s="58" customFormat="1" ht="16.5">
      <c r="A184" s="56"/>
      <c r="B184" s="55" t="s">
        <v>340</v>
      </c>
      <c r="C184" s="55" t="s">
        <v>341</v>
      </c>
      <c r="D184" s="66" t="s">
        <v>199</v>
      </c>
      <c r="E184" s="129">
        <f>'дод. 3'!F43</f>
        <v>4820000</v>
      </c>
      <c r="F184" s="129">
        <f>'дод. 3'!G43</f>
        <v>0</v>
      </c>
      <c r="G184" s="129">
        <f>'дод. 3'!H43</f>
        <v>0</v>
      </c>
      <c r="H184" s="129">
        <f>'дод. 3'!I43</f>
        <v>0</v>
      </c>
      <c r="I184" s="129">
        <f>'дод. 3'!J43</f>
        <v>4820000</v>
      </c>
      <c r="J184" s="129">
        <f>'дод. 3'!K43</f>
        <v>0</v>
      </c>
      <c r="K184" s="129">
        <f>'дод. 3'!L43</f>
        <v>0</v>
      </c>
      <c r="L184" s="129">
        <f>'дод. 3'!M43</f>
        <v>0</v>
      </c>
      <c r="M184" s="129">
        <f>'дод. 3'!N43</f>
        <v>0</v>
      </c>
      <c r="N184" s="129">
        <f>'дод. 3'!O43</f>
        <v>0</v>
      </c>
      <c r="O184" s="129">
        <f>'дод. 3'!P43</f>
        <v>0</v>
      </c>
      <c r="P184" s="129">
        <f t="shared" si="23"/>
        <v>4820000</v>
      </c>
      <c r="Q184" s="242"/>
      <c r="Y184" s="151"/>
      <c r="Z184" s="151"/>
    </row>
    <row r="185" spans="2:26" ht="16.5">
      <c r="B185" s="51" t="s">
        <v>343</v>
      </c>
      <c r="C185" s="51" t="s">
        <v>344</v>
      </c>
      <c r="D185" s="65" t="s">
        <v>15</v>
      </c>
      <c r="E185" s="128">
        <f>'дод. 3'!F44</f>
        <v>2578500</v>
      </c>
      <c r="F185" s="128">
        <f>'дод. 3'!G44</f>
        <v>0</v>
      </c>
      <c r="G185" s="128">
        <f>'дод. 3'!H44</f>
        <v>0</v>
      </c>
      <c r="H185" s="128">
        <f>'дод. 3'!I44</f>
        <v>0</v>
      </c>
      <c r="I185" s="128">
        <f>'дод. 3'!J44</f>
        <v>2578500</v>
      </c>
      <c r="J185" s="128">
        <f>'дод. 3'!K44</f>
        <v>2000000</v>
      </c>
      <c r="K185" s="128">
        <f>'дод. 3'!L44</f>
        <v>0</v>
      </c>
      <c r="L185" s="128">
        <f>'дод. 3'!M44</f>
        <v>0</v>
      </c>
      <c r="M185" s="128">
        <f>'дод. 3'!N44</f>
        <v>0</v>
      </c>
      <c r="N185" s="128">
        <f>'дод. 3'!O44</f>
        <v>2000000</v>
      </c>
      <c r="O185" s="128">
        <f>'дод. 3'!P44</f>
        <v>2000000</v>
      </c>
      <c r="P185" s="128">
        <f t="shared" si="23"/>
        <v>4578500</v>
      </c>
      <c r="Q185" s="242"/>
      <c r="Y185" s="89"/>
      <c r="Z185" s="89"/>
    </row>
    <row r="186" spans="2:26" ht="16.5">
      <c r="B186" s="147" t="s">
        <v>564</v>
      </c>
      <c r="C186" s="147" t="s">
        <v>566</v>
      </c>
      <c r="D186" s="218" t="s">
        <v>565</v>
      </c>
      <c r="E186" s="128">
        <f>'дод. 3'!F259</f>
        <v>0</v>
      </c>
      <c r="F186" s="128">
        <f>'дод. 3'!G259</f>
        <v>0</v>
      </c>
      <c r="G186" s="128">
        <f>'дод. 3'!H259</f>
        <v>0</v>
      </c>
      <c r="H186" s="128">
        <f>'дод. 3'!I259</f>
        <v>0</v>
      </c>
      <c r="I186" s="128">
        <f>'дод. 3'!J259</f>
        <v>0</v>
      </c>
      <c r="J186" s="128">
        <f>'дод. 3'!K259</f>
        <v>69811.6</v>
      </c>
      <c r="K186" s="128">
        <f>'дод. 3'!L259</f>
        <v>0</v>
      </c>
      <c r="L186" s="128">
        <f>'дод. 3'!M259</f>
        <v>0</v>
      </c>
      <c r="M186" s="128">
        <f>'дод. 3'!N259</f>
        <v>0</v>
      </c>
      <c r="N186" s="128">
        <f>'дод. 3'!O259</f>
        <v>69811.6</v>
      </c>
      <c r="O186" s="128">
        <f>'дод. 3'!P259</f>
        <v>0</v>
      </c>
      <c r="P186" s="128">
        <f>'дод. 3'!Q259</f>
        <v>69811.6</v>
      </c>
      <c r="Q186" s="242"/>
      <c r="Y186" s="89"/>
      <c r="Z186" s="89"/>
    </row>
    <row r="187" spans="1:26" s="97" customFormat="1" ht="16.5">
      <c r="A187" s="96"/>
      <c r="B187" s="98" t="s">
        <v>315</v>
      </c>
      <c r="C187" s="62"/>
      <c r="D187" s="101" t="s">
        <v>316</v>
      </c>
      <c r="E187" s="127">
        <f>E188</f>
        <v>198000</v>
      </c>
      <c r="F187" s="127">
        <f aca="true" t="shared" si="40" ref="F187:P188">F188</f>
        <v>198000</v>
      </c>
      <c r="G187" s="127">
        <f t="shared" si="40"/>
        <v>0</v>
      </c>
      <c r="H187" s="127">
        <f t="shared" si="40"/>
        <v>0</v>
      </c>
      <c r="I187" s="127">
        <f t="shared" si="40"/>
        <v>0</v>
      </c>
      <c r="J187" s="127">
        <f t="shared" si="40"/>
        <v>0</v>
      </c>
      <c r="K187" s="127">
        <f t="shared" si="40"/>
        <v>0</v>
      </c>
      <c r="L187" s="127">
        <f t="shared" si="40"/>
        <v>0</v>
      </c>
      <c r="M187" s="127">
        <f t="shared" si="40"/>
        <v>0</v>
      </c>
      <c r="N187" s="127">
        <f t="shared" si="40"/>
        <v>0</v>
      </c>
      <c r="O187" s="127">
        <f t="shared" si="40"/>
        <v>0</v>
      </c>
      <c r="P187" s="127">
        <f t="shared" si="40"/>
        <v>198000</v>
      </c>
      <c r="Q187" s="242"/>
      <c r="R187" s="94"/>
      <c r="Y187" s="94"/>
      <c r="Z187" s="94"/>
    </row>
    <row r="188" spans="2:26" ht="16.5">
      <c r="B188" s="51" t="s">
        <v>317</v>
      </c>
      <c r="C188" s="62"/>
      <c r="D188" s="65" t="s">
        <v>188</v>
      </c>
      <c r="E188" s="128">
        <f>E189</f>
        <v>198000</v>
      </c>
      <c r="F188" s="128">
        <f t="shared" si="40"/>
        <v>198000</v>
      </c>
      <c r="G188" s="128">
        <f t="shared" si="40"/>
        <v>0</v>
      </c>
      <c r="H188" s="128">
        <f t="shared" si="40"/>
        <v>0</v>
      </c>
      <c r="I188" s="128">
        <f t="shared" si="40"/>
        <v>0</v>
      </c>
      <c r="J188" s="128">
        <f t="shared" si="40"/>
        <v>0</v>
      </c>
      <c r="K188" s="128">
        <f t="shared" si="40"/>
        <v>0</v>
      </c>
      <c r="L188" s="128">
        <f t="shared" si="40"/>
        <v>0</v>
      </c>
      <c r="M188" s="128">
        <f t="shared" si="40"/>
        <v>0</v>
      </c>
      <c r="N188" s="128">
        <f t="shared" si="40"/>
        <v>0</v>
      </c>
      <c r="O188" s="128">
        <f t="shared" si="40"/>
        <v>0</v>
      </c>
      <c r="P188" s="128">
        <f t="shared" si="23"/>
        <v>198000</v>
      </c>
      <c r="Q188" s="242"/>
      <c r="Y188" s="89"/>
      <c r="Z188" s="89"/>
    </row>
    <row r="189" spans="1:26" s="58" customFormat="1" ht="21.75" customHeight="1">
      <c r="A189" s="56"/>
      <c r="B189" s="55" t="s">
        <v>318</v>
      </c>
      <c r="C189" s="55" t="s">
        <v>319</v>
      </c>
      <c r="D189" s="66" t="s">
        <v>190</v>
      </c>
      <c r="E189" s="129">
        <f>'дод. 3'!F46</f>
        <v>198000</v>
      </c>
      <c r="F189" s="129">
        <f>'дод. 3'!G46</f>
        <v>198000</v>
      </c>
      <c r="G189" s="129">
        <f>'дод. 3'!H46</f>
        <v>0</v>
      </c>
      <c r="H189" s="129">
        <f>'дод. 3'!I46</f>
        <v>0</v>
      </c>
      <c r="I189" s="129">
        <f>'дод. 3'!J46</f>
        <v>0</v>
      </c>
      <c r="J189" s="129">
        <f>'дод. 3'!K46</f>
        <v>0</v>
      </c>
      <c r="K189" s="129">
        <f>'дод. 3'!L46</f>
        <v>0</v>
      </c>
      <c r="L189" s="129">
        <f>'дод. 3'!M46</f>
        <v>0</v>
      </c>
      <c r="M189" s="129">
        <f>'дод. 3'!N46</f>
        <v>0</v>
      </c>
      <c r="N189" s="129">
        <f>'дод. 3'!O46</f>
        <v>0</v>
      </c>
      <c r="O189" s="129">
        <f>'дод. 3'!P46</f>
        <v>0</v>
      </c>
      <c r="P189" s="129">
        <f t="shared" si="23"/>
        <v>198000</v>
      </c>
      <c r="Q189" s="242"/>
      <c r="Y189" s="151"/>
      <c r="Z189" s="151"/>
    </row>
    <row r="190" spans="1:26" s="97" customFormat="1" ht="31.5">
      <c r="A190" s="96"/>
      <c r="B190" s="98" t="s">
        <v>386</v>
      </c>
      <c r="C190" s="62"/>
      <c r="D190" s="101" t="s">
        <v>333</v>
      </c>
      <c r="E190" s="127">
        <f>E191</f>
        <v>1894656.67</v>
      </c>
      <c r="F190" s="127">
        <f aca="true" t="shared" si="41" ref="F190:P190">F191</f>
        <v>1894656.67</v>
      </c>
      <c r="G190" s="127">
        <f t="shared" si="41"/>
        <v>0</v>
      </c>
      <c r="H190" s="127">
        <f t="shared" si="41"/>
        <v>0</v>
      </c>
      <c r="I190" s="127">
        <f t="shared" si="41"/>
        <v>0</v>
      </c>
      <c r="J190" s="127">
        <f t="shared" si="41"/>
        <v>64343.33</v>
      </c>
      <c r="K190" s="127">
        <f t="shared" si="41"/>
        <v>14343.33</v>
      </c>
      <c r="L190" s="127">
        <f t="shared" si="41"/>
        <v>0</v>
      </c>
      <c r="M190" s="127">
        <f t="shared" si="41"/>
        <v>0</v>
      </c>
      <c r="N190" s="127">
        <f t="shared" si="41"/>
        <v>50000</v>
      </c>
      <c r="O190" s="127">
        <f t="shared" si="41"/>
        <v>50000</v>
      </c>
      <c r="P190" s="127">
        <f t="shared" si="41"/>
        <v>1959000</v>
      </c>
      <c r="Q190" s="242"/>
      <c r="R190" s="94"/>
      <c r="Y190" s="94"/>
      <c r="Z190" s="94"/>
    </row>
    <row r="191" spans="2:26" ht="16.5">
      <c r="B191" s="51" t="s">
        <v>421</v>
      </c>
      <c r="C191" s="51" t="s">
        <v>334</v>
      </c>
      <c r="D191" s="65" t="s">
        <v>153</v>
      </c>
      <c r="E191" s="128">
        <f>'дод. 3'!F227+'дод. 3'!F242</f>
        <v>1894656.67</v>
      </c>
      <c r="F191" s="128">
        <f>'дод. 3'!G227+'дод. 3'!G242</f>
        <v>1894656.67</v>
      </c>
      <c r="G191" s="128">
        <f>'дод. 3'!H227+'дод. 3'!H242</f>
        <v>0</v>
      </c>
      <c r="H191" s="128">
        <f>'дод. 3'!I227+'дод. 3'!I242</f>
        <v>0</v>
      </c>
      <c r="I191" s="128">
        <f>'дод. 3'!J227+'дод. 3'!J242</f>
        <v>0</v>
      </c>
      <c r="J191" s="128">
        <f>'дод. 3'!K227+'дод. 3'!K242</f>
        <v>64343.33</v>
      </c>
      <c r="K191" s="128">
        <f>'дод. 3'!L227+'дод. 3'!L242</f>
        <v>14343.33</v>
      </c>
      <c r="L191" s="128">
        <f>'дод. 3'!M227+'дод. 3'!M242</f>
        <v>0</v>
      </c>
      <c r="M191" s="128">
        <f>'дод. 3'!N227+'дод. 3'!N242</f>
        <v>0</v>
      </c>
      <c r="N191" s="128">
        <f>'дод. 3'!O227+'дод. 3'!O242</f>
        <v>50000</v>
      </c>
      <c r="O191" s="128">
        <f>'дод. 3'!P227+'дод. 3'!P242</f>
        <v>50000</v>
      </c>
      <c r="P191" s="128">
        <f>'дод. 3'!Q227+'дод. 3'!Q242</f>
        <v>1959000</v>
      </c>
      <c r="Q191" s="242"/>
      <c r="Y191" s="89"/>
      <c r="Z191" s="89"/>
    </row>
    <row r="192" spans="1:26" s="97" customFormat="1" ht="24" customHeight="1">
      <c r="A192" s="96"/>
      <c r="B192" s="98" t="s">
        <v>345</v>
      </c>
      <c r="C192" s="62"/>
      <c r="D192" s="101" t="s">
        <v>346</v>
      </c>
      <c r="E192" s="127">
        <f aca="true" t="shared" si="42" ref="E192:P192">E193+E194+E195</f>
        <v>3087520</v>
      </c>
      <c r="F192" s="127">
        <f t="shared" si="42"/>
        <v>1887520</v>
      </c>
      <c r="G192" s="127">
        <f t="shared" si="42"/>
        <v>0</v>
      </c>
      <c r="H192" s="127">
        <f t="shared" si="42"/>
        <v>0</v>
      </c>
      <c r="I192" s="127">
        <f t="shared" si="42"/>
        <v>1200000</v>
      </c>
      <c r="J192" s="127">
        <f t="shared" si="42"/>
        <v>116001333</v>
      </c>
      <c r="K192" s="127">
        <f t="shared" si="42"/>
        <v>0</v>
      </c>
      <c r="L192" s="127">
        <f t="shared" si="42"/>
        <v>0</v>
      </c>
      <c r="M192" s="127">
        <f t="shared" si="42"/>
        <v>0</v>
      </c>
      <c r="N192" s="127">
        <f t="shared" si="42"/>
        <v>116001333</v>
      </c>
      <c r="O192" s="127">
        <f t="shared" si="42"/>
        <v>116001333</v>
      </c>
      <c r="P192" s="127">
        <f t="shared" si="42"/>
        <v>119088853</v>
      </c>
      <c r="Q192" s="242"/>
      <c r="R192" s="94"/>
      <c r="Y192" s="94"/>
      <c r="Z192" s="94"/>
    </row>
    <row r="193" spans="2:26" ht="16.5">
      <c r="B193" s="51" t="s">
        <v>347</v>
      </c>
      <c r="C193" s="51" t="s">
        <v>348</v>
      </c>
      <c r="D193" s="65" t="s">
        <v>154</v>
      </c>
      <c r="E193" s="128">
        <f>'дод. 3'!F88+'дод. 3'!F196+'дод. 3'!F116+'дод. 3'!F210+'дод. 3'!F228+'дод. 3'!F260</f>
        <v>1778320</v>
      </c>
      <c r="F193" s="128">
        <f>'дод. 3'!G88+'дод. 3'!G196+'дод. 3'!G116+'дод. 3'!G210+'дод. 3'!G228+'дод. 3'!G260</f>
        <v>1578320</v>
      </c>
      <c r="G193" s="128">
        <f>'дод. 3'!H88+'дод. 3'!H196+'дод. 3'!H116+'дод. 3'!H210+'дод. 3'!H228+'дод. 3'!H260</f>
        <v>0</v>
      </c>
      <c r="H193" s="128">
        <f>'дод. 3'!I88+'дод. 3'!I196+'дод. 3'!I116+'дод. 3'!I210+'дод. 3'!I228+'дод. 3'!I260</f>
        <v>0</v>
      </c>
      <c r="I193" s="128">
        <f>'дод. 3'!J88+'дод. 3'!J196+'дод. 3'!J116+'дод. 3'!J210+'дод. 3'!J228+'дод. 3'!J260</f>
        <v>200000</v>
      </c>
      <c r="J193" s="128">
        <f>'дод. 3'!K88+'дод. 3'!K196+'дод. 3'!K116+'дод. 3'!K210+'дод. 3'!K228+'дод. 3'!K260</f>
        <v>23620460</v>
      </c>
      <c r="K193" s="128">
        <f>'дод. 3'!L88+'дод. 3'!L196+'дод. 3'!L116+'дод. 3'!L210+'дод. 3'!L228+'дод. 3'!L260</f>
        <v>0</v>
      </c>
      <c r="L193" s="128">
        <f>'дод. 3'!M88+'дод. 3'!M196+'дод. 3'!M116+'дод. 3'!M210+'дод. 3'!M228+'дод. 3'!M260</f>
        <v>0</v>
      </c>
      <c r="M193" s="128">
        <f>'дод. 3'!N88+'дод. 3'!N196+'дод. 3'!N116+'дод. 3'!N210+'дод. 3'!N228+'дод. 3'!N260</f>
        <v>0</v>
      </c>
      <c r="N193" s="128">
        <f>'дод. 3'!O88+'дод. 3'!O196+'дод. 3'!O116+'дод. 3'!O210+'дод. 3'!O228+'дод. 3'!O260</f>
        <v>23620460</v>
      </c>
      <c r="O193" s="128">
        <f>'дод. 3'!P88+'дод. 3'!P196+'дод. 3'!P116+'дод. 3'!P210+'дод. 3'!P228+'дод. 3'!P260</f>
        <v>23620460</v>
      </c>
      <c r="P193" s="128">
        <f>E193+J193</f>
        <v>25398780</v>
      </c>
      <c r="Q193" s="242"/>
      <c r="Y193" s="89"/>
      <c r="Z193" s="89"/>
    </row>
    <row r="194" spans="2:26" ht="18" customHeight="1">
      <c r="B194" s="51" t="s">
        <v>349</v>
      </c>
      <c r="C194" s="51" t="s">
        <v>350</v>
      </c>
      <c r="D194" s="65" t="s">
        <v>54</v>
      </c>
      <c r="E194" s="128">
        <f>'дод. 3'!F47+'дод. 3'!F243</f>
        <v>1309200</v>
      </c>
      <c r="F194" s="128">
        <f>'дод. 3'!G47+'дод. 3'!G243</f>
        <v>309200</v>
      </c>
      <c r="G194" s="128">
        <f>'дод. 3'!H47+'дод. 3'!H243</f>
        <v>0</v>
      </c>
      <c r="H194" s="128">
        <f>'дод. 3'!I47+'дод. 3'!I243</f>
        <v>0</v>
      </c>
      <c r="I194" s="128">
        <f>'дод. 3'!J47+'дод. 3'!J243</f>
        <v>1000000</v>
      </c>
      <c r="J194" s="128">
        <f>'дод. 3'!K47+'дод. 3'!K243</f>
        <v>32000</v>
      </c>
      <c r="K194" s="128">
        <f>'дод. 3'!L47+'дод. 3'!L243</f>
        <v>0</v>
      </c>
      <c r="L194" s="128">
        <f>'дод. 3'!M47+'дод. 3'!M243</f>
        <v>0</v>
      </c>
      <c r="M194" s="128">
        <f>'дод. 3'!N47+'дод. 3'!N243</f>
        <v>0</v>
      </c>
      <c r="N194" s="128">
        <f>'дод. 3'!O47+'дод. 3'!O243</f>
        <v>32000</v>
      </c>
      <c r="O194" s="128">
        <f>'дод. 3'!P47+'дод. 3'!P243</f>
        <v>32000</v>
      </c>
      <c r="P194" s="128">
        <f t="shared" si="23"/>
        <v>1341200</v>
      </c>
      <c r="Q194" s="242"/>
      <c r="Y194" s="89"/>
      <c r="Z194" s="89"/>
    </row>
    <row r="195" spans="2:26" ht="18" customHeight="1">
      <c r="B195" s="51" t="s">
        <v>351</v>
      </c>
      <c r="C195" s="51" t="s">
        <v>330</v>
      </c>
      <c r="D195" s="65" t="s">
        <v>56</v>
      </c>
      <c r="E195" s="128">
        <f>'дод. 3'!F261+'дод. 3'!F229+'дод. 3'!F48+'дод. 3'!F273</f>
        <v>0</v>
      </c>
      <c r="F195" s="128">
        <f>'дод. 3'!G261+'дод. 3'!G229+'дод. 3'!G48+'дод. 3'!G273</f>
        <v>0</v>
      </c>
      <c r="G195" s="128">
        <f>'дод. 3'!H261+'дод. 3'!H229+'дод. 3'!H48+'дод. 3'!H273</f>
        <v>0</v>
      </c>
      <c r="H195" s="128">
        <f>'дод. 3'!I261+'дод. 3'!I229+'дод. 3'!I48+'дод. 3'!I273</f>
        <v>0</v>
      </c>
      <c r="I195" s="128">
        <f>'дод. 3'!J261+'дод. 3'!J229+'дод. 3'!J48+'дод. 3'!J273</f>
        <v>0</v>
      </c>
      <c r="J195" s="128">
        <f>'дод. 3'!K261+'дод. 3'!K229+'дод. 3'!K48+'дод. 3'!K273</f>
        <v>92348873</v>
      </c>
      <c r="K195" s="128">
        <f>'дод. 3'!L261+'дод. 3'!L229+'дод. 3'!L48+'дод. 3'!L273</f>
        <v>0</v>
      </c>
      <c r="L195" s="128">
        <f>'дод. 3'!M261+'дод. 3'!M229+'дод. 3'!M48+'дод. 3'!M273</f>
        <v>0</v>
      </c>
      <c r="M195" s="128">
        <f>'дод. 3'!N261+'дод. 3'!N229+'дод. 3'!N48+'дод. 3'!N273</f>
        <v>0</v>
      </c>
      <c r="N195" s="128">
        <f>'дод. 3'!O261+'дод. 3'!O229+'дод. 3'!O48+'дод. 3'!O273</f>
        <v>92348873</v>
      </c>
      <c r="O195" s="128">
        <f>'дод. 3'!P261+'дод. 3'!P229+'дод. 3'!P48+'дод. 3'!P273</f>
        <v>92348873</v>
      </c>
      <c r="P195" s="128">
        <f>'дод. 3'!Q261+'дод. 3'!Q229+'дод. 3'!Q48+'дод. 3'!Q273</f>
        <v>92348873</v>
      </c>
      <c r="Q195" s="242"/>
      <c r="Y195" s="89"/>
      <c r="Z195" s="89"/>
    </row>
    <row r="196" spans="1:26" s="97" customFormat="1" ht="32.25" customHeight="1">
      <c r="A196" s="96"/>
      <c r="B196" s="98" t="s">
        <v>352</v>
      </c>
      <c r="C196" s="98"/>
      <c r="D196" s="101" t="s">
        <v>16</v>
      </c>
      <c r="E196" s="127">
        <f>E197</f>
        <v>639800</v>
      </c>
      <c r="F196" s="127">
        <f aca="true" t="shared" si="43" ref="F196:P196">F197</f>
        <v>639800</v>
      </c>
      <c r="G196" s="127">
        <f t="shared" si="43"/>
        <v>0</v>
      </c>
      <c r="H196" s="127">
        <f t="shared" si="43"/>
        <v>0</v>
      </c>
      <c r="I196" s="127">
        <f t="shared" si="43"/>
        <v>0</v>
      </c>
      <c r="J196" s="127">
        <f t="shared" si="43"/>
        <v>0</v>
      </c>
      <c r="K196" s="127">
        <f t="shared" si="43"/>
        <v>0</v>
      </c>
      <c r="L196" s="127">
        <f t="shared" si="43"/>
        <v>0</v>
      </c>
      <c r="M196" s="127">
        <f t="shared" si="43"/>
        <v>0</v>
      </c>
      <c r="N196" s="127">
        <f t="shared" si="43"/>
        <v>0</v>
      </c>
      <c r="O196" s="127">
        <f t="shared" si="43"/>
        <v>0</v>
      </c>
      <c r="P196" s="127">
        <f t="shared" si="43"/>
        <v>639800</v>
      </c>
      <c r="Q196" s="242">
        <v>41</v>
      </c>
      <c r="Y196" s="94"/>
      <c r="Z196" s="94"/>
    </row>
    <row r="197" spans="2:26" ht="32.25" customHeight="1">
      <c r="B197" s="51" t="s">
        <v>352</v>
      </c>
      <c r="C197" s="51" t="s">
        <v>350</v>
      </c>
      <c r="D197" s="65" t="s">
        <v>16</v>
      </c>
      <c r="E197" s="128">
        <f>E198</f>
        <v>639800</v>
      </c>
      <c r="F197" s="128">
        <f aca="true" t="shared" si="44" ref="F197:P197">F198</f>
        <v>639800</v>
      </c>
      <c r="G197" s="128">
        <f t="shared" si="44"/>
        <v>0</v>
      </c>
      <c r="H197" s="128">
        <f t="shared" si="44"/>
        <v>0</v>
      </c>
      <c r="I197" s="128">
        <f t="shared" si="44"/>
        <v>0</v>
      </c>
      <c r="J197" s="128">
        <f t="shared" si="44"/>
        <v>0</v>
      </c>
      <c r="K197" s="128">
        <f t="shared" si="44"/>
        <v>0</v>
      </c>
      <c r="L197" s="128">
        <f t="shared" si="44"/>
        <v>0</v>
      </c>
      <c r="M197" s="128">
        <f t="shared" si="44"/>
        <v>0</v>
      </c>
      <c r="N197" s="128">
        <f t="shared" si="44"/>
        <v>0</v>
      </c>
      <c r="O197" s="128">
        <f t="shared" si="44"/>
        <v>0</v>
      </c>
      <c r="P197" s="128">
        <f t="shared" si="44"/>
        <v>639800</v>
      </c>
      <c r="Q197" s="242"/>
      <c r="Y197" s="89"/>
      <c r="Z197" s="89"/>
    </row>
    <row r="198" spans="1:26" s="58" customFormat="1" ht="38.25" customHeight="1">
      <c r="A198" s="56"/>
      <c r="B198" s="55" t="s">
        <v>352</v>
      </c>
      <c r="C198" s="55" t="s">
        <v>350</v>
      </c>
      <c r="D198" s="66" t="s">
        <v>202</v>
      </c>
      <c r="E198" s="129">
        <f>'дод. 3'!F50</f>
        <v>639800</v>
      </c>
      <c r="F198" s="129">
        <f>'дод. 3'!G50</f>
        <v>639800</v>
      </c>
      <c r="G198" s="129">
        <f>'дод. 3'!H50</f>
        <v>0</v>
      </c>
      <c r="H198" s="129">
        <f>'дод. 3'!I50</f>
        <v>0</v>
      </c>
      <c r="I198" s="129">
        <f>'дод. 3'!J50</f>
        <v>0</v>
      </c>
      <c r="J198" s="129">
        <f>'дод. 3'!K50</f>
        <v>0</v>
      </c>
      <c r="K198" s="129">
        <f>'дод. 3'!L50</f>
        <v>0</v>
      </c>
      <c r="L198" s="129">
        <f>'дод. 3'!M50</f>
        <v>0</v>
      </c>
      <c r="M198" s="129">
        <f>'дод. 3'!N50</f>
        <v>0</v>
      </c>
      <c r="N198" s="129">
        <f>'дод. 3'!O50</f>
        <v>0</v>
      </c>
      <c r="O198" s="129">
        <f>'дод. 3'!P50</f>
        <v>0</v>
      </c>
      <c r="P198" s="129">
        <f t="shared" si="23"/>
        <v>639800</v>
      </c>
      <c r="Q198" s="242"/>
      <c r="Y198" s="89"/>
      <c r="Z198" s="89"/>
    </row>
    <row r="199" spans="1:26" s="97" customFormat="1" ht="31.5">
      <c r="A199" s="96"/>
      <c r="B199" s="98" t="s">
        <v>353</v>
      </c>
      <c r="C199" s="98"/>
      <c r="D199" s="101" t="s">
        <v>354</v>
      </c>
      <c r="E199" s="127">
        <f>E200</f>
        <v>199733</v>
      </c>
      <c r="F199" s="127">
        <f aca="true" t="shared" si="45" ref="F199:P199">F200</f>
        <v>199733</v>
      </c>
      <c r="G199" s="127">
        <f t="shared" si="45"/>
        <v>0</v>
      </c>
      <c r="H199" s="127">
        <f t="shared" si="45"/>
        <v>0</v>
      </c>
      <c r="I199" s="127">
        <f t="shared" si="45"/>
        <v>0</v>
      </c>
      <c r="J199" s="127">
        <f t="shared" si="45"/>
        <v>0</v>
      </c>
      <c r="K199" s="127">
        <f t="shared" si="45"/>
        <v>0</v>
      </c>
      <c r="L199" s="127">
        <f t="shared" si="45"/>
        <v>0</v>
      </c>
      <c r="M199" s="127">
        <f t="shared" si="45"/>
        <v>0</v>
      </c>
      <c r="N199" s="127">
        <f t="shared" si="45"/>
        <v>0</v>
      </c>
      <c r="O199" s="127">
        <f t="shared" si="45"/>
        <v>0</v>
      </c>
      <c r="P199" s="127">
        <f t="shared" si="45"/>
        <v>199733</v>
      </c>
      <c r="Q199" s="242"/>
      <c r="R199" s="94"/>
      <c r="Y199" s="94"/>
      <c r="Z199" s="94"/>
    </row>
    <row r="200" spans="2:26" ht="29.25" customHeight="1">
      <c r="B200" s="51" t="s">
        <v>355</v>
      </c>
      <c r="C200" s="51" t="s">
        <v>356</v>
      </c>
      <c r="D200" s="65" t="s">
        <v>19</v>
      </c>
      <c r="E200" s="128">
        <f>'дод. 3'!F230</f>
        <v>199733</v>
      </c>
      <c r="F200" s="128">
        <f>'дод. 3'!G230</f>
        <v>199733</v>
      </c>
      <c r="G200" s="128">
        <f>'дод. 3'!H230</f>
        <v>0</v>
      </c>
      <c r="H200" s="128">
        <f>'дод. 3'!I230</f>
        <v>0</v>
      </c>
      <c r="I200" s="128">
        <f>'дод. 3'!J230</f>
        <v>0</v>
      </c>
      <c r="J200" s="128">
        <f>'дод. 3'!K230</f>
        <v>0</v>
      </c>
      <c r="K200" s="128">
        <f>'дод. 3'!L230</f>
        <v>0</v>
      </c>
      <c r="L200" s="128">
        <f>'дод. 3'!M230</f>
        <v>0</v>
      </c>
      <c r="M200" s="128">
        <f>'дод. 3'!N230</f>
        <v>0</v>
      </c>
      <c r="N200" s="128">
        <f>'дод. 3'!O230</f>
        <v>0</v>
      </c>
      <c r="O200" s="128">
        <f>'дод. 3'!P230</f>
        <v>0</v>
      </c>
      <c r="P200" s="128">
        <f t="shared" si="23"/>
        <v>199733</v>
      </c>
      <c r="Q200" s="242"/>
      <c r="Y200" s="89"/>
      <c r="Z200" s="89"/>
    </row>
    <row r="201" spans="1:26" s="97" customFormat="1" ht="31.5">
      <c r="A201" s="96"/>
      <c r="B201" s="98" t="s">
        <v>357</v>
      </c>
      <c r="C201" s="62"/>
      <c r="D201" s="101" t="s">
        <v>358</v>
      </c>
      <c r="E201" s="127">
        <f>E202+E203</f>
        <v>1617270</v>
      </c>
      <c r="F201" s="127">
        <f aca="true" t="shared" si="46" ref="F201:P201">F202+F203</f>
        <v>1617270</v>
      </c>
      <c r="G201" s="127">
        <f t="shared" si="46"/>
        <v>965400</v>
      </c>
      <c r="H201" s="127">
        <f t="shared" si="46"/>
        <v>53898</v>
      </c>
      <c r="I201" s="127">
        <f t="shared" si="46"/>
        <v>0</v>
      </c>
      <c r="J201" s="127">
        <f t="shared" si="46"/>
        <v>389900</v>
      </c>
      <c r="K201" s="127">
        <f t="shared" si="46"/>
        <v>4900</v>
      </c>
      <c r="L201" s="127">
        <f t="shared" si="46"/>
        <v>0</v>
      </c>
      <c r="M201" s="127">
        <f t="shared" si="46"/>
        <v>1000</v>
      </c>
      <c r="N201" s="127">
        <f t="shared" si="46"/>
        <v>385000</v>
      </c>
      <c r="O201" s="127">
        <f t="shared" si="46"/>
        <v>385000</v>
      </c>
      <c r="P201" s="127">
        <f t="shared" si="46"/>
        <v>2007170</v>
      </c>
      <c r="Q201" s="242"/>
      <c r="R201" s="94"/>
      <c r="Y201" s="94"/>
      <c r="Z201" s="94"/>
    </row>
    <row r="202" spans="2:26" ht="31.5">
      <c r="B202" s="51" t="s">
        <v>359</v>
      </c>
      <c r="C202" s="51" t="s">
        <v>360</v>
      </c>
      <c r="D202" s="65" t="s">
        <v>61</v>
      </c>
      <c r="E202" s="128">
        <f>'дод. 3'!F51</f>
        <v>345692</v>
      </c>
      <c r="F202" s="128">
        <f>'дод. 3'!G51</f>
        <v>345692</v>
      </c>
      <c r="G202" s="128">
        <f>'дод. 3'!H51</f>
        <v>0</v>
      </c>
      <c r="H202" s="128">
        <f>'дод. 3'!I51</f>
        <v>5300</v>
      </c>
      <c r="I202" s="128">
        <f>'дод. 3'!J51</f>
        <v>0</v>
      </c>
      <c r="J202" s="128">
        <f>'дод. 3'!K51</f>
        <v>385000</v>
      </c>
      <c r="K202" s="128">
        <f>'дод. 3'!L51</f>
        <v>0</v>
      </c>
      <c r="L202" s="128">
        <f>'дод. 3'!M51</f>
        <v>0</v>
      </c>
      <c r="M202" s="128">
        <f>'дод. 3'!N51</f>
        <v>0</v>
      </c>
      <c r="N202" s="128">
        <f>'дод. 3'!O51</f>
        <v>385000</v>
      </c>
      <c r="O202" s="128">
        <f>'дод. 3'!P51</f>
        <v>385000</v>
      </c>
      <c r="P202" s="128">
        <f t="shared" si="23"/>
        <v>730692</v>
      </c>
      <c r="Q202" s="242"/>
      <c r="Y202" s="89"/>
      <c r="Z202" s="89"/>
    </row>
    <row r="203" spans="2:26" ht="21.75" customHeight="1">
      <c r="B203" s="51" t="s">
        <v>361</v>
      </c>
      <c r="C203" s="64" t="s">
        <v>362</v>
      </c>
      <c r="D203" s="65" t="s">
        <v>59</v>
      </c>
      <c r="E203" s="128">
        <f>'дод. 3'!F52</f>
        <v>1271578</v>
      </c>
      <c r="F203" s="128">
        <f>'дод. 3'!G52</f>
        <v>1271578</v>
      </c>
      <c r="G203" s="128">
        <f>'дод. 3'!H52</f>
        <v>965400</v>
      </c>
      <c r="H203" s="128">
        <f>'дод. 3'!I52</f>
        <v>48598</v>
      </c>
      <c r="I203" s="128">
        <f>'дод. 3'!J52</f>
        <v>0</v>
      </c>
      <c r="J203" s="128">
        <f>'дод. 3'!K52</f>
        <v>4900</v>
      </c>
      <c r="K203" s="128">
        <f>'дод. 3'!L52</f>
        <v>4900</v>
      </c>
      <c r="L203" s="128">
        <f>'дод. 3'!M52</f>
        <v>0</v>
      </c>
      <c r="M203" s="128">
        <f>'дод. 3'!N52</f>
        <v>1000</v>
      </c>
      <c r="N203" s="128">
        <f>'дод. 3'!O52</f>
        <v>0</v>
      </c>
      <c r="O203" s="128">
        <f>'дод. 3'!P52</f>
        <v>0</v>
      </c>
      <c r="P203" s="128">
        <f t="shared" si="23"/>
        <v>1276478</v>
      </c>
      <c r="Q203" s="242"/>
      <c r="Y203" s="89"/>
      <c r="Z203" s="89"/>
    </row>
    <row r="204" spans="1:26" s="97" customFormat="1" ht="26.25" customHeight="1">
      <c r="A204" s="96"/>
      <c r="B204" s="98" t="s">
        <v>376</v>
      </c>
      <c r="C204" s="61"/>
      <c r="D204" s="101" t="s">
        <v>377</v>
      </c>
      <c r="E204" s="127">
        <f aca="true" t="shared" si="47" ref="E204:P204">E205+E206+E209+E208</f>
        <v>23704901</v>
      </c>
      <c r="F204" s="127">
        <f t="shared" si="47"/>
        <v>7557487</v>
      </c>
      <c r="G204" s="127">
        <f t="shared" si="47"/>
        <v>0</v>
      </c>
      <c r="H204" s="127">
        <f t="shared" si="47"/>
        <v>314530</v>
      </c>
      <c r="I204" s="127">
        <f t="shared" si="47"/>
        <v>0</v>
      </c>
      <c r="J204" s="127">
        <f t="shared" si="47"/>
        <v>4485810.46</v>
      </c>
      <c r="K204" s="127">
        <f t="shared" si="47"/>
        <v>52810.46</v>
      </c>
      <c r="L204" s="127">
        <f t="shared" si="47"/>
        <v>0</v>
      </c>
      <c r="M204" s="127">
        <f t="shared" si="47"/>
        <v>0</v>
      </c>
      <c r="N204" s="127">
        <f t="shared" si="47"/>
        <v>4433000</v>
      </c>
      <c r="O204" s="127">
        <f t="shared" si="47"/>
        <v>4433000</v>
      </c>
      <c r="P204" s="127">
        <f t="shared" si="47"/>
        <v>28190711.46</v>
      </c>
      <c r="Q204" s="242"/>
      <c r="R204" s="94"/>
      <c r="Y204" s="94"/>
      <c r="Z204" s="94"/>
    </row>
    <row r="205" spans="2:26" ht="30.75" customHeight="1">
      <c r="B205" s="51" t="s">
        <v>378</v>
      </c>
      <c r="C205" s="51" t="s">
        <v>375</v>
      </c>
      <c r="D205" s="65" t="s">
        <v>25</v>
      </c>
      <c r="E205" s="130">
        <f>'дод. 3'!F290</f>
        <v>16147414</v>
      </c>
      <c r="F205" s="130">
        <f>'дод. 3'!G290</f>
        <v>0</v>
      </c>
      <c r="G205" s="130">
        <f>'дод. 3'!H290</f>
        <v>0</v>
      </c>
      <c r="H205" s="130">
        <f>'дод. 3'!I290</f>
        <v>0</v>
      </c>
      <c r="I205" s="130">
        <f>'дод. 3'!J290</f>
        <v>0</v>
      </c>
      <c r="J205" s="130">
        <f>'дод. 3'!K290</f>
        <v>0</v>
      </c>
      <c r="K205" s="130">
        <f>'дод. 3'!L290</f>
        <v>0</v>
      </c>
      <c r="L205" s="130">
        <f>'дод. 3'!M290</f>
        <v>0</v>
      </c>
      <c r="M205" s="130">
        <f>'дод. 3'!N290</f>
        <v>0</v>
      </c>
      <c r="N205" s="130">
        <f>'дод. 3'!O290</f>
        <v>0</v>
      </c>
      <c r="O205" s="130">
        <f>'дод. 3'!P290</f>
        <v>0</v>
      </c>
      <c r="P205" s="130">
        <f aca="true" t="shared" si="48" ref="P205:P226">E205+J205</f>
        <v>16147414</v>
      </c>
      <c r="Q205" s="242"/>
      <c r="U205" s="89"/>
      <c r="Y205" s="89"/>
      <c r="Z205" s="89"/>
    </row>
    <row r="206" spans="2:26" ht="51" customHeight="1">
      <c r="B206" s="51" t="s">
        <v>380</v>
      </c>
      <c r="C206" s="60"/>
      <c r="D206" s="65" t="s">
        <v>175</v>
      </c>
      <c r="E206" s="128">
        <f>E207</f>
        <v>84900</v>
      </c>
      <c r="F206" s="128">
        <f aca="true" t="shared" si="49" ref="F206:P206">F207</f>
        <v>84900</v>
      </c>
      <c r="G206" s="128">
        <f t="shared" si="49"/>
        <v>0</v>
      </c>
      <c r="H206" s="128">
        <f t="shared" si="49"/>
        <v>0</v>
      </c>
      <c r="I206" s="128">
        <f t="shared" si="49"/>
        <v>0</v>
      </c>
      <c r="J206" s="128">
        <f t="shared" si="49"/>
        <v>52810.46</v>
      </c>
      <c r="K206" s="128">
        <f t="shared" si="49"/>
        <v>52810.46</v>
      </c>
      <c r="L206" s="128">
        <f t="shared" si="49"/>
        <v>0</v>
      </c>
      <c r="M206" s="128">
        <f t="shared" si="49"/>
        <v>0</v>
      </c>
      <c r="N206" s="128">
        <f t="shared" si="49"/>
        <v>0</v>
      </c>
      <c r="O206" s="128">
        <f t="shared" si="49"/>
        <v>0</v>
      </c>
      <c r="P206" s="128">
        <f t="shared" si="49"/>
        <v>137710.46</v>
      </c>
      <c r="Q206" s="242"/>
      <c r="Y206" s="89"/>
      <c r="Z206" s="89"/>
    </row>
    <row r="207" spans="2:26" ht="62.25" customHeight="1">
      <c r="B207" s="51" t="s">
        <v>381</v>
      </c>
      <c r="C207" s="59" t="s">
        <v>261</v>
      </c>
      <c r="D207" s="66" t="s">
        <v>173</v>
      </c>
      <c r="E207" s="129">
        <f>'дод. 3'!F263</f>
        <v>84900</v>
      </c>
      <c r="F207" s="129">
        <f>'дод. 3'!G263</f>
        <v>84900</v>
      </c>
      <c r="G207" s="129">
        <f>'дод. 3'!H263</f>
        <v>0</v>
      </c>
      <c r="H207" s="129">
        <f>'дод. 3'!I263</f>
        <v>0</v>
      </c>
      <c r="I207" s="129">
        <f>'дод. 3'!J263</f>
        <v>0</v>
      </c>
      <c r="J207" s="129">
        <f>'дод. 3'!K263</f>
        <v>52810.46</v>
      </c>
      <c r="K207" s="129">
        <f>'дод. 3'!L263</f>
        <v>52810.46</v>
      </c>
      <c r="L207" s="129">
        <f>'дод. 3'!M263</f>
        <v>0</v>
      </c>
      <c r="M207" s="129">
        <f>'дод. 3'!N263</f>
        <v>0</v>
      </c>
      <c r="N207" s="129">
        <f>'дод. 3'!O263</f>
        <v>0</v>
      </c>
      <c r="O207" s="129">
        <f>'дод. 3'!P263</f>
        <v>0</v>
      </c>
      <c r="P207" s="129">
        <f t="shared" si="48"/>
        <v>137710.46</v>
      </c>
      <c r="Q207" s="242"/>
      <c r="Y207" s="89"/>
      <c r="Z207" s="89"/>
    </row>
    <row r="208" spans="2:26" ht="62.25" customHeight="1">
      <c r="B208" s="51" t="s">
        <v>562</v>
      </c>
      <c r="C208" s="164" t="s">
        <v>251</v>
      </c>
      <c r="D208" s="71" t="s">
        <v>561</v>
      </c>
      <c r="E208" s="129">
        <f>'дод. 3'!F53</f>
        <v>0</v>
      </c>
      <c r="F208" s="129">
        <f>'дод. 3'!G53</f>
        <v>0</v>
      </c>
      <c r="G208" s="129">
        <f>'дод. 3'!H53</f>
        <v>0</v>
      </c>
      <c r="H208" s="129">
        <f>'дод. 3'!I53</f>
        <v>0</v>
      </c>
      <c r="I208" s="129">
        <f>'дод. 3'!J53</f>
        <v>0</v>
      </c>
      <c r="J208" s="129">
        <f>'дод. 3'!K53</f>
        <v>1320000</v>
      </c>
      <c r="K208" s="129">
        <f>'дод. 3'!L53</f>
        <v>0</v>
      </c>
      <c r="L208" s="129">
        <f>'дод. 3'!M53</f>
        <v>0</v>
      </c>
      <c r="M208" s="129">
        <f>'дод. 3'!N53</f>
        <v>0</v>
      </c>
      <c r="N208" s="129">
        <f>'дод. 3'!O53</f>
        <v>1320000</v>
      </c>
      <c r="O208" s="129">
        <f>'дод. 3'!P53</f>
        <v>1320000</v>
      </c>
      <c r="P208" s="129">
        <f>'дод. 3'!Q53</f>
        <v>1320000</v>
      </c>
      <c r="Q208" s="242"/>
      <c r="Y208" s="89"/>
      <c r="Z208" s="89"/>
    </row>
    <row r="209" spans="2:26" ht="29.25" customHeight="1">
      <c r="B209" s="51" t="s">
        <v>379</v>
      </c>
      <c r="C209" s="51" t="s">
        <v>375</v>
      </c>
      <c r="D209" s="65" t="s">
        <v>12</v>
      </c>
      <c r="E209" s="128">
        <f>E210+E211+E212+E213+E214+E215+E216+E217+E218+E219+E220</f>
        <v>7472587</v>
      </c>
      <c r="F209" s="128">
        <f aca="true" t="shared" si="50" ref="F209:P209">F210+F211+F212+F213+F214+F215+F216+F217+F218+F219+F220</f>
        <v>7472587</v>
      </c>
      <c r="G209" s="128">
        <f t="shared" si="50"/>
        <v>0</v>
      </c>
      <c r="H209" s="128">
        <f t="shared" si="50"/>
        <v>314530</v>
      </c>
      <c r="I209" s="128">
        <f t="shared" si="50"/>
        <v>0</v>
      </c>
      <c r="J209" s="128">
        <f t="shared" si="50"/>
        <v>3113000</v>
      </c>
      <c r="K209" s="128">
        <f t="shared" si="50"/>
        <v>0</v>
      </c>
      <c r="L209" s="128">
        <f t="shared" si="50"/>
        <v>0</v>
      </c>
      <c r="M209" s="128">
        <f t="shared" si="50"/>
        <v>0</v>
      </c>
      <c r="N209" s="128">
        <f t="shared" si="50"/>
        <v>3113000</v>
      </c>
      <c r="O209" s="128">
        <f t="shared" si="50"/>
        <v>3113000</v>
      </c>
      <c r="P209" s="128">
        <f t="shared" si="50"/>
        <v>10585587</v>
      </c>
      <c r="Q209" s="242"/>
      <c r="Y209" s="89"/>
      <c r="Z209" s="89"/>
    </row>
    <row r="210" spans="1:26" s="58" customFormat="1" ht="44.25" customHeight="1">
      <c r="A210" s="56"/>
      <c r="B210" s="55" t="s">
        <v>379</v>
      </c>
      <c r="C210" s="60" t="s">
        <v>375</v>
      </c>
      <c r="D210" s="66" t="s">
        <v>245</v>
      </c>
      <c r="E210" s="129">
        <f>'дод. 3'!F55</f>
        <v>648028</v>
      </c>
      <c r="F210" s="129">
        <f>'дод. 3'!G55</f>
        <v>648028</v>
      </c>
      <c r="G210" s="129">
        <f>'дод. 3'!H55</f>
        <v>0</v>
      </c>
      <c r="H210" s="129">
        <f>'дод. 3'!I55</f>
        <v>261530</v>
      </c>
      <c r="I210" s="129">
        <f>'дод. 3'!J55</f>
        <v>0</v>
      </c>
      <c r="J210" s="129">
        <f>'дод. 3'!K55</f>
        <v>0</v>
      </c>
      <c r="K210" s="129">
        <f>'дод. 3'!L55</f>
        <v>0</v>
      </c>
      <c r="L210" s="129">
        <f>'дод. 3'!M55</f>
        <v>0</v>
      </c>
      <c r="M210" s="129">
        <f>'дод. 3'!N55</f>
        <v>0</v>
      </c>
      <c r="N210" s="129">
        <f>'дод. 3'!O55</f>
        <v>0</v>
      </c>
      <c r="O210" s="129">
        <f>'дод. 3'!P55</f>
        <v>0</v>
      </c>
      <c r="P210" s="129">
        <f t="shared" si="48"/>
        <v>648028</v>
      </c>
      <c r="Q210" s="242"/>
      <c r="Y210" s="151"/>
      <c r="Z210" s="151"/>
    </row>
    <row r="211" spans="1:26" s="58" customFormat="1" ht="42.75" customHeight="1">
      <c r="A211" s="56"/>
      <c r="B211" s="55" t="s">
        <v>379</v>
      </c>
      <c r="C211" s="60" t="s">
        <v>375</v>
      </c>
      <c r="D211" s="66" t="s">
        <v>432</v>
      </c>
      <c r="E211" s="129">
        <f>'дод. 3'!F56</f>
        <v>160580</v>
      </c>
      <c r="F211" s="129">
        <f>'дод. 3'!G56</f>
        <v>160580</v>
      </c>
      <c r="G211" s="129">
        <f>'дод. 3'!H56</f>
        <v>0</v>
      </c>
      <c r="H211" s="129">
        <f>'дод. 3'!I56</f>
        <v>0</v>
      </c>
      <c r="I211" s="129">
        <f>'дод. 3'!J56</f>
        <v>0</v>
      </c>
      <c r="J211" s="129">
        <f>'дод. 3'!K56</f>
        <v>0</v>
      </c>
      <c r="K211" s="129">
        <f>'дод. 3'!L56</f>
        <v>0</v>
      </c>
      <c r="L211" s="129">
        <f>'дод. 3'!M56</f>
        <v>0</v>
      </c>
      <c r="M211" s="129">
        <f>'дод. 3'!N56</f>
        <v>0</v>
      </c>
      <c r="N211" s="129">
        <f>'дод. 3'!O56</f>
        <v>0</v>
      </c>
      <c r="O211" s="129">
        <f>'дод. 3'!P56</f>
        <v>0</v>
      </c>
      <c r="P211" s="129">
        <f>'дод. 3'!Q56</f>
        <v>160580</v>
      </c>
      <c r="Q211" s="242"/>
      <c r="Y211" s="151"/>
      <c r="Z211" s="151"/>
    </row>
    <row r="212" spans="1:26" s="58" customFormat="1" ht="47.25" customHeight="1">
      <c r="A212" s="56"/>
      <c r="B212" s="55" t="s">
        <v>379</v>
      </c>
      <c r="C212" s="60" t="s">
        <v>375</v>
      </c>
      <c r="D212" s="66" t="s">
        <v>519</v>
      </c>
      <c r="E212" s="129">
        <f>'дод. 3'!F57</f>
        <v>843700</v>
      </c>
      <c r="F212" s="129">
        <f>'дод. 3'!G57</f>
        <v>843700</v>
      </c>
      <c r="G212" s="129">
        <f>'дод. 3'!H57</f>
        <v>0</v>
      </c>
      <c r="H212" s="129">
        <f>'дод. 3'!I57</f>
        <v>0</v>
      </c>
      <c r="I212" s="129">
        <f>'дод. 3'!J57</f>
        <v>0</v>
      </c>
      <c r="J212" s="129">
        <f>'дод. 3'!K57</f>
        <v>3087000</v>
      </c>
      <c r="K212" s="129">
        <f>'дод. 3'!L57</f>
        <v>0</v>
      </c>
      <c r="L212" s="129">
        <f>'дод. 3'!M57</f>
        <v>0</v>
      </c>
      <c r="M212" s="129">
        <f>'дод. 3'!N57</f>
        <v>0</v>
      </c>
      <c r="N212" s="129">
        <f>'дод. 3'!O57</f>
        <v>3087000</v>
      </c>
      <c r="O212" s="129">
        <f>'дод. 3'!P57</f>
        <v>3087000</v>
      </c>
      <c r="P212" s="129">
        <f t="shared" si="48"/>
        <v>3930700</v>
      </c>
      <c r="Q212" s="242"/>
      <c r="Y212" s="151"/>
      <c r="Z212" s="151"/>
    </row>
    <row r="213" spans="1:26" s="58" customFormat="1" ht="33" customHeight="1">
      <c r="A213" s="56"/>
      <c r="B213" s="55" t="s">
        <v>379</v>
      </c>
      <c r="C213" s="60" t="s">
        <v>375</v>
      </c>
      <c r="D213" s="66" t="s">
        <v>202</v>
      </c>
      <c r="E213" s="129">
        <f>'дод. 3'!F58</f>
        <v>1012400</v>
      </c>
      <c r="F213" s="129">
        <f>'дод. 3'!G58</f>
        <v>1012400</v>
      </c>
      <c r="G213" s="129">
        <f>'дод. 3'!H58</f>
        <v>0</v>
      </c>
      <c r="H213" s="129">
        <f>'дод. 3'!I58</f>
        <v>0</v>
      </c>
      <c r="I213" s="129">
        <f>'дод. 3'!J58</f>
        <v>0</v>
      </c>
      <c r="J213" s="129">
        <f>'дод. 3'!K58</f>
        <v>26000</v>
      </c>
      <c r="K213" s="129">
        <f>'дод. 3'!L58</f>
        <v>0</v>
      </c>
      <c r="L213" s="129">
        <f>'дод. 3'!M58</f>
        <v>0</v>
      </c>
      <c r="M213" s="129">
        <f>'дод. 3'!N58</f>
        <v>0</v>
      </c>
      <c r="N213" s="129">
        <f>'дод. 3'!O58</f>
        <v>26000</v>
      </c>
      <c r="O213" s="129">
        <f>'дод. 3'!P58</f>
        <v>26000</v>
      </c>
      <c r="P213" s="129">
        <f t="shared" si="48"/>
        <v>1038400</v>
      </c>
      <c r="Q213" s="242"/>
      <c r="Y213" s="151"/>
      <c r="Z213" s="151"/>
    </row>
    <row r="214" spans="1:26" s="58" customFormat="1" ht="41.25" customHeight="1">
      <c r="A214" s="56"/>
      <c r="B214" s="55" t="s">
        <v>379</v>
      </c>
      <c r="C214" s="60" t="s">
        <v>375</v>
      </c>
      <c r="D214" s="66" t="s">
        <v>203</v>
      </c>
      <c r="E214" s="129">
        <f>'дод. 3'!F59</f>
        <v>1279179</v>
      </c>
      <c r="F214" s="129">
        <f>'дод. 3'!G59</f>
        <v>1279179</v>
      </c>
      <c r="G214" s="129">
        <f>'дод. 3'!H59</f>
        <v>0</v>
      </c>
      <c r="H214" s="129">
        <f>'дод. 3'!I59</f>
        <v>0</v>
      </c>
      <c r="I214" s="129">
        <f>'дод. 3'!J59</f>
        <v>0</v>
      </c>
      <c r="J214" s="129">
        <f>'дод. 3'!K59</f>
        <v>0</v>
      </c>
      <c r="K214" s="129">
        <f>'дод. 3'!L59</f>
        <v>0</v>
      </c>
      <c r="L214" s="129">
        <f>'дод. 3'!M59</f>
        <v>0</v>
      </c>
      <c r="M214" s="129">
        <f>'дод. 3'!N59</f>
        <v>0</v>
      </c>
      <c r="N214" s="129">
        <f>'дод. 3'!O59</f>
        <v>0</v>
      </c>
      <c r="O214" s="129">
        <f>'дод. 3'!P59</f>
        <v>0</v>
      </c>
      <c r="P214" s="129">
        <f t="shared" si="48"/>
        <v>1279179</v>
      </c>
      <c r="Q214" s="242"/>
      <c r="Y214" s="151"/>
      <c r="Z214" s="151"/>
    </row>
    <row r="215" spans="1:26" s="58" customFormat="1" ht="49.5" customHeight="1">
      <c r="A215" s="56"/>
      <c r="B215" s="55" t="s">
        <v>379</v>
      </c>
      <c r="C215" s="60" t="s">
        <v>375</v>
      </c>
      <c r="D215" s="66" t="s">
        <v>522</v>
      </c>
      <c r="E215" s="129">
        <f>'дод. 3'!F60</f>
        <v>125000</v>
      </c>
      <c r="F215" s="129">
        <f>'дод. 3'!G60</f>
        <v>125000</v>
      </c>
      <c r="G215" s="129">
        <f>'дод. 3'!H60</f>
        <v>0</v>
      </c>
      <c r="H215" s="129">
        <f>'дод. 3'!I60</f>
        <v>0</v>
      </c>
      <c r="I215" s="129">
        <f>'дод. 3'!J60</f>
        <v>0</v>
      </c>
      <c r="J215" s="129">
        <f>'дод. 3'!K60</f>
        <v>0</v>
      </c>
      <c r="K215" s="129">
        <f>'дод. 3'!L60</f>
        <v>0</v>
      </c>
      <c r="L215" s="129">
        <f>'дод. 3'!M60</f>
        <v>0</v>
      </c>
      <c r="M215" s="129">
        <f>'дод. 3'!N60</f>
        <v>0</v>
      </c>
      <c r="N215" s="129">
        <f>'дод. 3'!O60</f>
        <v>0</v>
      </c>
      <c r="O215" s="129">
        <f>'дод. 3'!P60</f>
        <v>0</v>
      </c>
      <c r="P215" s="129">
        <f>'дод. 3'!Q60</f>
        <v>125000</v>
      </c>
      <c r="Q215" s="242"/>
      <c r="Y215" s="151"/>
      <c r="Z215" s="151"/>
    </row>
    <row r="216" spans="1:26" s="58" customFormat="1" ht="46.5" customHeight="1">
      <c r="A216" s="56"/>
      <c r="B216" s="55" t="s">
        <v>379</v>
      </c>
      <c r="C216" s="60" t="s">
        <v>375</v>
      </c>
      <c r="D216" s="66" t="s">
        <v>521</v>
      </c>
      <c r="E216" s="129">
        <f>'дод. 3'!F282</f>
        <v>416500</v>
      </c>
      <c r="F216" s="129">
        <f>'дод. 3'!G282</f>
        <v>416500</v>
      </c>
      <c r="G216" s="129">
        <f>'дод. 3'!H282</f>
        <v>0</v>
      </c>
      <c r="H216" s="129">
        <f>'дод. 3'!I282</f>
        <v>0</v>
      </c>
      <c r="I216" s="129">
        <f>'дод. 3'!J282</f>
        <v>0</v>
      </c>
      <c r="J216" s="129">
        <f>'дод. 3'!K282</f>
        <v>0</v>
      </c>
      <c r="K216" s="129">
        <f>'дод. 3'!L282</f>
        <v>0</v>
      </c>
      <c r="L216" s="129">
        <f>'дод. 3'!M282</f>
        <v>0</v>
      </c>
      <c r="M216" s="129">
        <f>'дод. 3'!N282</f>
        <v>0</v>
      </c>
      <c r="N216" s="129">
        <f>'дод. 3'!O282</f>
        <v>0</v>
      </c>
      <c r="O216" s="129">
        <f>'дод. 3'!P282</f>
        <v>0</v>
      </c>
      <c r="P216" s="129">
        <f t="shared" si="48"/>
        <v>416500</v>
      </c>
      <c r="Q216" s="242"/>
      <c r="Y216" s="151"/>
      <c r="Z216" s="151"/>
    </row>
    <row r="217" spans="1:26" s="58" customFormat="1" ht="66" customHeight="1">
      <c r="A217" s="56"/>
      <c r="B217" s="55" t="s">
        <v>379</v>
      </c>
      <c r="C217" s="60" t="s">
        <v>375</v>
      </c>
      <c r="D217" s="66" t="s">
        <v>436</v>
      </c>
      <c r="E217" s="129">
        <f>'дод. 3'!F232</f>
        <v>285000</v>
      </c>
      <c r="F217" s="129">
        <f>'дод. 3'!G232</f>
        <v>285000</v>
      </c>
      <c r="G217" s="129">
        <f>'дод. 3'!H232</f>
        <v>0</v>
      </c>
      <c r="H217" s="129">
        <f>'дод. 3'!I232</f>
        <v>0</v>
      </c>
      <c r="I217" s="129">
        <f>'дод. 3'!J232</f>
        <v>0</v>
      </c>
      <c r="J217" s="129">
        <f>'дод. 3'!K232</f>
        <v>0</v>
      </c>
      <c r="K217" s="129">
        <f>'дод. 3'!L232</f>
        <v>0</v>
      </c>
      <c r="L217" s="129">
        <f>'дод. 3'!M232</f>
        <v>0</v>
      </c>
      <c r="M217" s="129">
        <f>'дод. 3'!N232</f>
        <v>0</v>
      </c>
      <c r="N217" s="129">
        <f>'дод. 3'!O232</f>
        <v>0</v>
      </c>
      <c r="O217" s="129">
        <f>'дод. 3'!P232</f>
        <v>0</v>
      </c>
      <c r="P217" s="129">
        <f t="shared" si="48"/>
        <v>285000</v>
      </c>
      <c r="Q217" s="242"/>
      <c r="Y217" s="151"/>
      <c r="Z217" s="151"/>
    </row>
    <row r="218" spans="1:26" s="58" customFormat="1" ht="57" customHeight="1">
      <c r="A218" s="56"/>
      <c r="B218" s="55" t="s">
        <v>379</v>
      </c>
      <c r="C218" s="60" t="s">
        <v>375</v>
      </c>
      <c r="D218" s="66" t="s">
        <v>569</v>
      </c>
      <c r="E218" s="129">
        <f>'дод. 3'!F233+'дод. 3'!F275</f>
        <v>1972200</v>
      </c>
      <c r="F218" s="129">
        <f>'дод. 3'!G233+'дод. 3'!G275</f>
        <v>1972200</v>
      </c>
      <c r="G218" s="129">
        <f>'дод. 3'!H233+'дод. 3'!H275</f>
        <v>0</v>
      </c>
      <c r="H218" s="129">
        <f>'дод. 3'!I233+'дод. 3'!I275</f>
        <v>53000</v>
      </c>
      <c r="I218" s="129">
        <f>'дод. 3'!J233+'дод. 3'!J275</f>
        <v>0</v>
      </c>
      <c r="J218" s="129">
        <f>'дод. 3'!K233+'дод. 3'!K275</f>
        <v>0</v>
      </c>
      <c r="K218" s="129">
        <f>'дод. 3'!L233+'дод. 3'!L275</f>
        <v>0</v>
      </c>
      <c r="L218" s="129">
        <f>'дод. 3'!M233+'дод. 3'!M275</f>
        <v>0</v>
      </c>
      <c r="M218" s="129">
        <f>'дод. 3'!N233+'дод. 3'!N275</f>
        <v>0</v>
      </c>
      <c r="N218" s="129">
        <f>'дод. 3'!O233+'дод. 3'!O275</f>
        <v>0</v>
      </c>
      <c r="O218" s="129">
        <f>'дод. 3'!P233+'дод. 3'!P275</f>
        <v>0</v>
      </c>
      <c r="P218" s="129">
        <f t="shared" si="48"/>
        <v>1972200</v>
      </c>
      <c r="Q218" s="242"/>
      <c r="Y218" s="151"/>
      <c r="Z218" s="151"/>
    </row>
    <row r="219" spans="1:26" s="58" customFormat="1" ht="66.75" customHeight="1">
      <c r="A219" s="56"/>
      <c r="B219" s="55" t="s">
        <v>379</v>
      </c>
      <c r="C219" s="60" t="s">
        <v>375</v>
      </c>
      <c r="D219" s="66" t="s">
        <v>235</v>
      </c>
      <c r="E219" s="129">
        <f>'дод. 3'!F245</f>
        <v>630000</v>
      </c>
      <c r="F219" s="129">
        <f>'дод. 3'!G245</f>
        <v>630000</v>
      </c>
      <c r="G219" s="129">
        <f>'дод. 3'!H245</f>
        <v>0</v>
      </c>
      <c r="H219" s="129">
        <f>'дод. 3'!I245</f>
        <v>0</v>
      </c>
      <c r="I219" s="129">
        <f>'дод. 3'!J245</f>
        <v>0</v>
      </c>
      <c r="J219" s="129">
        <f>'дод. 3'!K245</f>
        <v>0</v>
      </c>
      <c r="K219" s="129">
        <f>'дод. 3'!L245</f>
        <v>0</v>
      </c>
      <c r="L219" s="129">
        <f>'дод. 3'!M245</f>
        <v>0</v>
      </c>
      <c r="M219" s="129">
        <f>'дод. 3'!N245</f>
        <v>0</v>
      </c>
      <c r="N219" s="129">
        <f>'дод. 3'!O245</f>
        <v>0</v>
      </c>
      <c r="O219" s="129">
        <f>'дод. 3'!P245</f>
        <v>0</v>
      </c>
      <c r="P219" s="129">
        <f t="shared" si="48"/>
        <v>630000</v>
      </c>
      <c r="Q219" s="249">
        <v>42</v>
      </c>
      <c r="Y219" s="151"/>
      <c r="Z219" s="151"/>
    </row>
    <row r="220" spans="1:26" s="58" customFormat="1" ht="61.5" customHeight="1">
      <c r="A220" s="56"/>
      <c r="B220" s="55" t="s">
        <v>379</v>
      </c>
      <c r="C220" s="60" t="s">
        <v>375</v>
      </c>
      <c r="D220" s="66" t="s">
        <v>533</v>
      </c>
      <c r="E220" s="129">
        <f>'дод. 3'!F61</f>
        <v>100000</v>
      </c>
      <c r="F220" s="129">
        <f>'дод. 3'!G61</f>
        <v>100000</v>
      </c>
      <c r="G220" s="129">
        <f>'дод. 3'!H61</f>
        <v>0</v>
      </c>
      <c r="H220" s="129">
        <f>'дод. 3'!I61</f>
        <v>0</v>
      </c>
      <c r="I220" s="129">
        <f>'дод. 3'!J61</f>
        <v>0</v>
      </c>
      <c r="J220" s="129">
        <f>'дод. 3'!K61</f>
        <v>0</v>
      </c>
      <c r="K220" s="129">
        <f>'дод. 3'!L61</f>
        <v>0</v>
      </c>
      <c r="L220" s="129">
        <f>'дод. 3'!M61</f>
        <v>0</v>
      </c>
      <c r="M220" s="129">
        <f>'дод. 3'!N61</f>
        <v>0</v>
      </c>
      <c r="N220" s="129">
        <f>'дод. 3'!O61</f>
        <v>0</v>
      </c>
      <c r="O220" s="129">
        <f>'дод. 3'!P61</f>
        <v>0</v>
      </c>
      <c r="P220" s="129">
        <f>'дод. 3'!Q61</f>
        <v>100000</v>
      </c>
      <c r="Q220" s="249"/>
      <c r="Y220" s="151"/>
      <c r="Z220" s="151"/>
    </row>
    <row r="221" spans="1:26" s="97" customFormat="1" ht="21.75" customHeight="1">
      <c r="A221" s="96"/>
      <c r="B221" s="98" t="s">
        <v>363</v>
      </c>
      <c r="C221" s="98"/>
      <c r="D221" s="101" t="s">
        <v>205</v>
      </c>
      <c r="E221" s="127">
        <f>E222</f>
        <v>227100</v>
      </c>
      <c r="F221" s="127">
        <f aca="true" t="shared" si="51" ref="F221:P221">F222</f>
        <v>227100</v>
      </c>
      <c r="G221" s="127">
        <f t="shared" si="51"/>
        <v>0</v>
      </c>
      <c r="H221" s="127">
        <f t="shared" si="51"/>
        <v>0</v>
      </c>
      <c r="I221" s="127">
        <f t="shared" si="51"/>
        <v>0</v>
      </c>
      <c r="J221" s="127">
        <f t="shared" si="51"/>
        <v>0</v>
      </c>
      <c r="K221" s="127">
        <f t="shared" si="51"/>
        <v>0</v>
      </c>
      <c r="L221" s="127">
        <f t="shared" si="51"/>
        <v>0</v>
      </c>
      <c r="M221" s="127">
        <f t="shared" si="51"/>
        <v>0</v>
      </c>
      <c r="N221" s="127">
        <f t="shared" si="51"/>
        <v>0</v>
      </c>
      <c r="O221" s="127">
        <f t="shared" si="51"/>
        <v>0</v>
      </c>
      <c r="P221" s="127">
        <f t="shared" si="51"/>
        <v>227100</v>
      </c>
      <c r="Q221" s="249"/>
      <c r="R221" s="94"/>
      <c r="Y221" s="94"/>
      <c r="Z221" s="94"/>
    </row>
    <row r="222" spans="2:26" ht="24" customHeight="1">
      <c r="B222" s="51" t="s">
        <v>363</v>
      </c>
      <c r="C222" s="51" t="s">
        <v>364</v>
      </c>
      <c r="D222" s="65" t="s">
        <v>205</v>
      </c>
      <c r="E222" s="128">
        <f>'дод. 3'!F286</f>
        <v>227100</v>
      </c>
      <c r="F222" s="128">
        <f>'дод. 3'!G286</f>
        <v>227100</v>
      </c>
      <c r="G222" s="128">
        <f>'дод. 3'!H286</f>
        <v>0</v>
      </c>
      <c r="H222" s="128">
        <f>'дод. 3'!I286</f>
        <v>0</v>
      </c>
      <c r="I222" s="128">
        <f>'дод. 3'!J286</f>
        <v>0</v>
      </c>
      <c r="J222" s="128">
        <f>'дод. 3'!K286</f>
        <v>0</v>
      </c>
      <c r="K222" s="128">
        <f>'дод. 3'!L286</f>
        <v>0</v>
      </c>
      <c r="L222" s="128">
        <f>'дод. 3'!M286</f>
        <v>0</v>
      </c>
      <c r="M222" s="128">
        <f>'дод. 3'!N286</f>
        <v>0</v>
      </c>
      <c r="N222" s="128">
        <f>'дод. 3'!O286</f>
        <v>0</v>
      </c>
      <c r="O222" s="128">
        <f>'дод. 3'!P286</f>
        <v>0</v>
      </c>
      <c r="P222" s="128">
        <f t="shared" si="48"/>
        <v>227100</v>
      </c>
      <c r="Q222" s="249"/>
      <c r="Y222" s="89"/>
      <c r="Z222" s="89"/>
    </row>
    <row r="223" spans="1:26" s="97" customFormat="1" ht="22.5" customHeight="1">
      <c r="A223" s="96"/>
      <c r="B223" s="98" t="s">
        <v>365</v>
      </c>
      <c r="C223" s="62"/>
      <c r="D223" s="101" t="s">
        <v>366</v>
      </c>
      <c r="E223" s="127">
        <f>E224+E225+E226+E227+E228</f>
        <v>0</v>
      </c>
      <c r="F223" s="127">
        <f aca="true" t="shared" si="52" ref="F223:P223">F224+F225+F226+F227+F228</f>
        <v>0</v>
      </c>
      <c r="G223" s="127">
        <f t="shared" si="52"/>
        <v>0</v>
      </c>
      <c r="H223" s="127">
        <f t="shared" si="52"/>
        <v>0</v>
      </c>
      <c r="I223" s="127">
        <f t="shared" si="52"/>
        <v>0</v>
      </c>
      <c r="J223" s="127">
        <f t="shared" si="52"/>
        <v>17968639.3</v>
      </c>
      <c r="K223" s="127">
        <f t="shared" si="52"/>
        <v>2872877.1799999997</v>
      </c>
      <c r="L223" s="127">
        <f t="shared" si="52"/>
        <v>0</v>
      </c>
      <c r="M223" s="127">
        <f t="shared" si="52"/>
        <v>0</v>
      </c>
      <c r="N223" s="127">
        <f t="shared" si="52"/>
        <v>15095762.120000001</v>
      </c>
      <c r="O223" s="127">
        <f t="shared" si="52"/>
        <v>0</v>
      </c>
      <c r="P223" s="127">
        <f t="shared" si="52"/>
        <v>17968639.3</v>
      </c>
      <c r="Q223" s="249"/>
      <c r="R223" s="94"/>
      <c r="S223" s="94"/>
      <c r="T223" s="94"/>
      <c r="Y223" s="94"/>
      <c r="Z223" s="94"/>
    </row>
    <row r="224" spans="2:26" ht="16.5">
      <c r="B224" s="51" t="s">
        <v>367</v>
      </c>
      <c r="C224" s="51" t="s">
        <v>368</v>
      </c>
      <c r="D224" s="65" t="s">
        <v>24</v>
      </c>
      <c r="E224" s="128">
        <f>'дод. 3'!F236+'дод. 3'!F264</f>
        <v>0</v>
      </c>
      <c r="F224" s="128">
        <f>'дод. 3'!G236+'дод. 3'!G264</f>
        <v>0</v>
      </c>
      <c r="G224" s="128">
        <f>'дод. 3'!H236+'дод. 3'!H264</f>
        <v>0</v>
      </c>
      <c r="H224" s="128">
        <f>'дод. 3'!I236+'дод. 3'!I264</f>
        <v>0</v>
      </c>
      <c r="I224" s="128">
        <f>'дод. 3'!J236+'дод. 3'!J264</f>
        <v>0</v>
      </c>
      <c r="J224" s="128">
        <f>'дод. 3'!K236+'дод. 3'!K264</f>
        <v>6216130</v>
      </c>
      <c r="K224" s="128">
        <f>'дод. 3'!L236+'дод. 3'!L264</f>
        <v>1280000</v>
      </c>
      <c r="L224" s="128">
        <f>'дод. 3'!M236+'дод. 3'!M264</f>
        <v>0</v>
      </c>
      <c r="M224" s="128">
        <f>'дод. 3'!N236+'дод. 3'!N264</f>
        <v>0</v>
      </c>
      <c r="N224" s="128">
        <f>'дод. 3'!O236+'дод. 3'!O264</f>
        <v>4936130</v>
      </c>
      <c r="O224" s="128">
        <f>'дод. 3'!P236+'дод. 3'!P264</f>
        <v>0</v>
      </c>
      <c r="P224" s="128">
        <f>'дод. 3'!Q236+'дод. 3'!Q264</f>
        <v>6216130</v>
      </c>
      <c r="Q224" s="249"/>
      <c r="Y224" s="89"/>
      <c r="Z224" s="89"/>
    </row>
    <row r="225" spans="2:26" ht="31.5">
      <c r="B225" s="51" t="s">
        <v>369</v>
      </c>
      <c r="C225" s="51" t="s">
        <v>370</v>
      </c>
      <c r="D225" s="65" t="s">
        <v>223</v>
      </c>
      <c r="E225" s="128">
        <f>'дод. 3'!F265</f>
        <v>0</v>
      </c>
      <c r="F225" s="128">
        <f>'дод. 3'!G265</f>
        <v>0</v>
      </c>
      <c r="G225" s="128">
        <f>'дод. 3'!H265</f>
        <v>0</v>
      </c>
      <c r="H225" s="128">
        <f>'дод. 3'!I265</f>
        <v>0</v>
      </c>
      <c r="I225" s="128">
        <f>'дод. 3'!J265</f>
        <v>0</v>
      </c>
      <c r="J225" s="128">
        <f>'дод. 3'!K265</f>
        <v>2903520</v>
      </c>
      <c r="K225" s="128">
        <f>'дод. 3'!L265</f>
        <v>0</v>
      </c>
      <c r="L225" s="128">
        <f>'дод. 3'!M265</f>
        <v>0</v>
      </c>
      <c r="M225" s="128">
        <f>'дод. 3'!N265</f>
        <v>0</v>
      </c>
      <c r="N225" s="128">
        <f>'дод. 3'!O265</f>
        <v>2903520</v>
      </c>
      <c r="O225" s="128">
        <f>'дод. 3'!P265</f>
        <v>0</v>
      </c>
      <c r="P225" s="128">
        <f t="shared" si="48"/>
        <v>2903520</v>
      </c>
      <c r="Q225" s="249"/>
      <c r="Y225" s="89"/>
      <c r="Z225" s="89"/>
    </row>
    <row r="226" spans="2:26" ht="45" customHeight="1">
      <c r="B226" s="51" t="s">
        <v>371</v>
      </c>
      <c r="C226" s="51" t="s">
        <v>372</v>
      </c>
      <c r="D226" s="65" t="s">
        <v>216</v>
      </c>
      <c r="E226" s="128">
        <f>'дод. 3'!F62+'дод. 3'!F89+'дод. 3'!F287</f>
        <v>0</v>
      </c>
      <c r="F226" s="128">
        <f>'дод. 3'!G62+'дод. 3'!G89+'дод. 3'!G287</f>
        <v>0</v>
      </c>
      <c r="G226" s="128">
        <f>'дод. 3'!H62+'дод. 3'!H89+'дод. 3'!H287</f>
        <v>0</v>
      </c>
      <c r="H226" s="128">
        <f>'дод. 3'!I62+'дод. 3'!I89+'дод. 3'!I287</f>
        <v>0</v>
      </c>
      <c r="I226" s="128">
        <f>'дод. 3'!J62+'дод. 3'!J89+'дод. 3'!J287</f>
        <v>0</v>
      </c>
      <c r="J226" s="128">
        <f>'дод. 3'!K62+'дод. 3'!K89+'дод. 3'!K287</f>
        <v>122163</v>
      </c>
      <c r="K226" s="128">
        <f>'дод. 3'!L62+'дод. 3'!L89+'дод. 3'!L287</f>
        <v>122163</v>
      </c>
      <c r="L226" s="128">
        <f>'дод. 3'!M62+'дод. 3'!M89+'дод. 3'!M287</f>
        <v>0</v>
      </c>
      <c r="M226" s="128">
        <f>'дод. 3'!N62+'дод. 3'!N89+'дод. 3'!N287</f>
        <v>0</v>
      </c>
      <c r="N226" s="128">
        <f>'дод. 3'!O62+'дод. 3'!O89+'дод. 3'!O287</f>
        <v>0</v>
      </c>
      <c r="O226" s="128">
        <f>'дод. 3'!P62+'дод. 3'!P89+'дод. 3'!P287</f>
        <v>0</v>
      </c>
      <c r="P226" s="128">
        <f t="shared" si="48"/>
        <v>122163</v>
      </c>
      <c r="Q226" s="249"/>
      <c r="Y226" s="89"/>
      <c r="Z226" s="89"/>
    </row>
    <row r="227" spans="2:26" ht="31.5" customHeight="1">
      <c r="B227" s="51" t="s">
        <v>373</v>
      </c>
      <c r="C227" s="51" t="s">
        <v>356</v>
      </c>
      <c r="D227" s="65" t="s">
        <v>19</v>
      </c>
      <c r="E227" s="128">
        <f>'дод. 3'!F90+'дод. 3'!F237</f>
        <v>0</v>
      </c>
      <c r="F227" s="128">
        <f>'дод. 3'!G90+'дод. 3'!G237</f>
        <v>0</v>
      </c>
      <c r="G227" s="128">
        <f>'дод. 3'!H90+'дод. 3'!H237</f>
        <v>0</v>
      </c>
      <c r="H227" s="128">
        <f>'дод. 3'!I90+'дод. 3'!I237</f>
        <v>0</v>
      </c>
      <c r="I227" s="128">
        <f>'дод. 3'!J90+'дод. 3'!J237</f>
        <v>0</v>
      </c>
      <c r="J227" s="128">
        <f>'дод. 3'!K90+'дод. 3'!K237</f>
        <v>713267</v>
      </c>
      <c r="K227" s="128">
        <f>'дод. 3'!L90+'дод. 3'!L237</f>
        <v>608467</v>
      </c>
      <c r="L227" s="128">
        <f>'дод. 3'!M90+'дод. 3'!M237</f>
        <v>0</v>
      </c>
      <c r="M227" s="128">
        <f>'дод. 3'!N90+'дод. 3'!N237</f>
        <v>0</v>
      </c>
      <c r="N227" s="128">
        <f>'дод. 3'!O90+'дод. 3'!O237</f>
        <v>104800</v>
      </c>
      <c r="O227" s="128">
        <f>'дод. 3'!P90+'дод. 3'!P237</f>
        <v>0</v>
      </c>
      <c r="P227" s="128">
        <f>'дод. 3'!Q90+'дод. 3'!Q237</f>
        <v>713267</v>
      </c>
      <c r="Q227" s="249"/>
      <c r="Y227" s="89"/>
      <c r="Z227" s="89"/>
    </row>
    <row r="228" spans="2:26" ht="51" customHeight="1">
      <c r="B228" s="51" t="s">
        <v>374</v>
      </c>
      <c r="C228" s="51" t="s">
        <v>375</v>
      </c>
      <c r="D228" s="65" t="s">
        <v>17</v>
      </c>
      <c r="E228" s="128">
        <f>'дод. 3'!F63+'дод. 3'!F238+'дод. 3'!F276+'дод. 3'!F266</f>
        <v>0</v>
      </c>
      <c r="F228" s="128">
        <f>'дод. 3'!G63+'дод. 3'!G238+'дод. 3'!G276+'дод. 3'!G266</f>
        <v>0</v>
      </c>
      <c r="G228" s="128">
        <f>'дод. 3'!H63+'дод. 3'!H238+'дод. 3'!H276+'дод. 3'!H266</f>
        <v>0</v>
      </c>
      <c r="H228" s="128">
        <f>'дод. 3'!I63+'дод. 3'!I238+'дод. 3'!I276+'дод. 3'!I266</f>
        <v>0</v>
      </c>
      <c r="I228" s="128">
        <f>'дод. 3'!J63+'дод. 3'!J238+'дод. 3'!J276+'дод. 3'!J266</f>
        <v>0</v>
      </c>
      <c r="J228" s="128">
        <f>'дод. 3'!K63+'дод. 3'!K238+'дод. 3'!K276+'дод. 3'!K266</f>
        <v>8013559.3</v>
      </c>
      <c r="K228" s="128">
        <f>'дод. 3'!L63+'дод. 3'!L238+'дод. 3'!L276+'дод. 3'!L266</f>
        <v>862247.1799999999</v>
      </c>
      <c r="L228" s="128">
        <f>'дод. 3'!M63+'дод. 3'!M238+'дод. 3'!M276+'дод. 3'!M266</f>
        <v>0</v>
      </c>
      <c r="M228" s="128">
        <f>'дод. 3'!N63+'дод. 3'!N238+'дод. 3'!N276+'дод. 3'!N266</f>
        <v>0</v>
      </c>
      <c r="N228" s="128">
        <f>'дод. 3'!O63+'дод. 3'!O238+'дод. 3'!O276+'дод. 3'!O266</f>
        <v>7151312.12</v>
      </c>
      <c r="O228" s="128">
        <f>'дод. 3'!P63+'дод. 3'!P238+'дод. 3'!P276+'дод. 3'!P266</f>
        <v>0</v>
      </c>
      <c r="P228" s="128">
        <f>'дод. 3'!Q63+'дод. 3'!Q238+'дод. 3'!Q276+'дод. 3'!Q266</f>
        <v>8013559.3</v>
      </c>
      <c r="Q228" s="249"/>
      <c r="Y228" s="89"/>
      <c r="Z228" s="89"/>
    </row>
    <row r="229" spans="1:26" s="97" customFormat="1" ht="16.5">
      <c r="A229" s="96"/>
      <c r="B229" s="98"/>
      <c r="C229" s="98"/>
      <c r="D229" s="101" t="s">
        <v>2</v>
      </c>
      <c r="E229" s="127">
        <f aca="true" t="shared" si="53" ref="E229:P229">E14+E16+E37+E60+E145+E153+E163+E172+E181+E187+E190+E192+E199+E201+E204+E221+E223+E176+E196+E179</f>
        <v>1979676097.8700001</v>
      </c>
      <c r="F229" s="127">
        <f t="shared" si="53"/>
        <v>1920104132.8700001</v>
      </c>
      <c r="G229" s="127">
        <f t="shared" si="53"/>
        <v>534410817</v>
      </c>
      <c r="H229" s="127">
        <f t="shared" si="53"/>
        <v>109635755</v>
      </c>
      <c r="I229" s="127">
        <f t="shared" si="53"/>
        <v>43424551</v>
      </c>
      <c r="J229" s="127">
        <f t="shared" si="53"/>
        <v>648163532.69</v>
      </c>
      <c r="K229" s="127">
        <f t="shared" si="53"/>
        <v>60446099.97</v>
      </c>
      <c r="L229" s="127">
        <f t="shared" si="53"/>
        <v>5643866</v>
      </c>
      <c r="M229" s="127">
        <f t="shared" si="53"/>
        <v>2423113</v>
      </c>
      <c r="N229" s="127">
        <f t="shared" si="53"/>
        <v>587717432.72</v>
      </c>
      <c r="O229" s="127">
        <f t="shared" si="53"/>
        <v>571906829</v>
      </c>
      <c r="P229" s="127">
        <f t="shared" si="53"/>
        <v>2627839630.56</v>
      </c>
      <c r="Q229" s="249"/>
      <c r="R229" s="94"/>
      <c r="S229" s="94"/>
      <c r="T229" s="94"/>
      <c r="U229" s="94"/>
      <c r="V229" s="94"/>
      <c r="Y229" s="94"/>
      <c r="Z229" s="94"/>
    </row>
    <row r="230" spans="1:26" s="97" customFormat="1" ht="27.75" customHeight="1">
      <c r="A230" s="96"/>
      <c r="B230" s="98"/>
      <c r="C230" s="98"/>
      <c r="D230" s="101" t="s">
        <v>526</v>
      </c>
      <c r="E230" s="127">
        <f>E17+E38+E61</f>
        <v>1054702455</v>
      </c>
      <c r="F230" s="127">
        <f aca="true" t="shared" si="54" ref="F230:P230">F17+F38+F61</f>
        <v>1054702455</v>
      </c>
      <c r="G230" s="127">
        <f t="shared" si="54"/>
        <v>184750800</v>
      </c>
      <c r="H230" s="127">
        <f t="shared" si="54"/>
        <v>0</v>
      </c>
      <c r="I230" s="127">
        <f t="shared" si="54"/>
        <v>0</v>
      </c>
      <c r="J230" s="127">
        <f t="shared" si="54"/>
        <v>0</v>
      </c>
      <c r="K230" s="127">
        <f t="shared" si="54"/>
        <v>0</v>
      </c>
      <c r="L230" s="127">
        <f t="shared" si="54"/>
        <v>0</v>
      </c>
      <c r="M230" s="127">
        <f t="shared" si="54"/>
        <v>0</v>
      </c>
      <c r="N230" s="127">
        <f t="shared" si="54"/>
        <v>0</v>
      </c>
      <c r="O230" s="127">
        <f t="shared" si="54"/>
        <v>0</v>
      </c>
      <c r="P230" s="127">
        <f t="shared" si="54"/>
        <v>1054702455</v>
      </c>
      <c r="Q230" s="249"/>
      <c r="Y230" s="94"/>
      <c r="Z230" s="94"/>
    </row>
    <row r="231" spans="1:26" s="97" customFormat="1" ht="27.75" customHeight="1">
      <c r="A231" s="96"/>
      <c r="B231" s="98"/>
      <c r="C231" s="98"/>
      <c r="D231" s="62" t="s">
        <v>431</v>
      </c>
      <c r="E231" s="127">
        <f>E232+E233</f>
        <v>67990000</v>
      </c>
      <c r="F231" s="127">
        <f aca="true" t="shared" si="55" ref="F231:P231">F232+F233</f>
        <v>67990000</v>
      </c>
      <c r="G231" s="127">
        <f t="shared" si="55"/>
        <v>0</v>
      </c>
      <c r="H231" s="127">
        <f t="shared" si="55"/>
        <v>0</v>
      </c>
      <c r="I231" s="127">
        <f t="shared" si="55"/>
        <v>0</v>
      </c>
      <c r="J231" s="127">
        <f t="shared" si="55"/>
        <v>3171500</v>
      </c>
      <c r="K231" s="127">
        <f t="shared" si="55"/>
        <v>0</v>
      </c>
      <c r="L231" s="127">
        <f t="shared" si="55"/>
        <v>0</v>
      </c>
      <c r="M231" s="127">
        <f t="shared" si="55"/>
        <v>0</v>
      </c>
      <c r="N231" s="127">
        <f t="shared" si="55"/>
        <v>3171500</v>
      </c>
      <c r="O231" s="127">
        <f t="shared" si="55"/>
        <v>3171500</v>
      </c>
      <c r="P231" s="127">
        <f t="shared" si="55"/>
        <v>71161500</v>
      </c>
      <c r="Q231" s="249"/>
      <c r="Y231" s="94"/>
      <c r="Z231" s="94"/>
    </row>
    <row r="232" spans="1:26" s="97" customFormat="1" ht="27.75" customHeight="1">
      <c r="A232" s="96"/>
      <c r="B232" s="51" t="s">
        <v>382</v>
      </c>
      <c r="C232" s="64" t="s">
        <v>251</v>
      </c>
      <c r="D232" s="65" t="s">
        <v>423</v>
      </c>
      <c r="E232" s="128">
        <f>'дод. 3'!F291</f>
        <v>67231500</v>
      </c>
      <c r="F232" s="128">
        <f>'дод. 3'!G291</f>
        <v>67231500</v>
      </c>
      <c r="G232" s="128">
        <f>'дод. 3'!H291</f>
        <v>0</v>
      </c>
      <c r="H232" s="128">
        <f>'дод. 3'!I291</f>
        <v>0</v>
      </c>
      <c r="I232" s="128">
        <f>'дод. 3'!J291</f>
        <v>0</v>
      </c>
      <c r="J232" s="128">
        <f>'дод. 3'!K291</f>
        <v>0</v>
      </c>
      <c r="K232" s="128">
        <f>'дод. 3'!L291</f>
        <v>0</v>
      </c>
      <c r="L232" s="128">
        <f>'дод. 3'!M291</f>
        <v>0</v>
      </c>
      <c r="M232" s="128">
        <f>'дод. 3'!N291</f>
        <v>0</v>
      </c>
      <c r="N232" s="128">
        <f>'дод. 3'!O291</f>
        <v>0</v>
      </c>
      <c r="O232" s="128">
        <f>'дод. 3'!P291</f>
        <v>0</v>
      </c>
      <c r="P232" s="128">
        <f>'дод. 3'!Q291</f>
        <v>67231500</v>
      </c>
      <c r="Q232" s="249"/>
      <c r="Y232" s="89"/>
      <c r="Z232" s="89"/>
    </row>
    <row r="233" spans="1:26" s="97" customFormat="1" ht="27.75" customHeight="1">
      <c r="A233" s="96"/>
      <c r="B233" s="51" t="s">
        <v>383</v>
      </c>
      <c r="C233" s="51" t="s">
        <v>251</v>
      </c>
      <c r="D233" s="99" t="s">
        <v>26</v>
      </c>
      <c r="E233" s="128">
        <f>E234+E235</f>
        <v>758500</v>
      </c>
      <c r="F233" s="128">
        <f aca="true" t="shared" si="56" ref="F233:P233">F234+F235</f>
        <v>758500</v>
      </c>
      <c r="G233" s="128">
        <f t="shared" si="56"/>
        <v>0</v>
      </c>
      <c r="H233" s="128">
        <f t="shared" si="56"/>
        <v>0</v>
      </c>
      <c r="I233" s="128">
        <f t="shared" si="56"/>
        <v>0</v>
      </c>
      <c r="J233" s="128">
        <f t="shared" si="56"/>
        <v>3171500</v>
      </c>
      <c r="K233" s="128">
        <f t="shared" si="56"/>
        <v>0</v>
      </c>
      <c r="L233" s="128">
        <f t="shared" si="56"/>
        <v>0</v>
      </c>
      <c r="M233" s="128">
        <f t="shared" si="56"/>
        <v>0</v>
      </c>
      <c r="N233" s="128">
        <f t="shared" si="56"/>
        <v>3171500</v>
      </c>
      <c r="O233" s="128">
        <f t="shared" si="56"/>
        <v>3171500</v>
      </c>
      <c r="P233" s="128">
        <f t="shared" si="56"/>
        <v>3930000</v>
      </c>
      <c r="Q233" s="249"/>
      <c r="Y233" s="89"/>
      <c r="Z233" s="89"/>
    </row>
    <row r="234" spans="1:26" s="97" customFormat="1" ht="57" customHeight="1">
      <c r="A234" s="96"/>
      <c r="B234" s="241" t="s">
        <v>383</v>
      </c>
      <c r="C234" s="240" t="s">
        <v>251</v>
      </c>
      <c r="D234" s="66" t="s">
        <v>440</v>
      </c>
      <c r="E234" s="129">
        <f>'дод. 3'!F235</f>
        <v>758500</v>
      </c>
      <c r="F234" s="129">
        <f>'дод. 3'!G235</f>
        <v>758500</v>
      </c>
      <c r="G234" s="129">
        <f>'дод. 3'!H235</f>
        <v>0</v>
      </c>
      <c r="H234" s="129">
        <f>'дод. 3'!I235</f>
        <v>0</v>
      </c>
      <c r="I234" s="129">
        <f>'дод. 3'!J235</f>
        <v>0</v>
      </c>
      <c r="J234" s="129">
        <f>'дод. 3'!K235</f>
        <v>1221500</v>
      </c>
      <c r="K234" s="129">
        <f>'дод. 3'!L235</f>
        <v>0</v>
      </c>
      <c r="L234" s="129">
        <f>'дод. 3'!M235</f>
        <v>0</v>
      </c>
      <c r="M234" s="142">
        <f>'дод. 3'!N235</f>
        <v>0</v>
      </c>
      <c r="N234" s="129">
        <f>'дод. 3'!O235</f>
        <v>1221500</v>
      </c>
      <c r="O234" s="129">
        <f>'дод. 3'!P235</f>
        <v>1221500</v>
      </c>
      <c r="P234" s="129">
        <f>'дод. 3'!Q235</f>
        <v>1980000</v>
      </c>
      <c r="Q234" s="249"/>
      <c r="Y234" s="89"/>
      <c r="Z234" s="89"/>
    </row>
    <row r="235" spans="1:26" s="97" customFormat="1" ht="20.25" customHeight="1">
      <c r="A235" s="96"/>
      <c r="B235" s="55" t="s">
        <v>383</v>
      </c>
      <c r="C235" s="60" t="s">
        <v>251</v>
      </c>
      <c r="D235" s="100" t="s">
        <v>184</v>
      </c>
      <c r="E235" s="128">
        <f>'дод. 3'!F293</f>
        <v>0</v>
      </c>
      <c r="F235" s="128">
        <f>'дод. 3'!G293</f>
        <v>0</v>
      </c>
      <c r="G235" s="128">
        <f>'дод. 3'!H293</f>
        <v>0</v>
      </c>
      <c r="H235" s="128">
        <f>'дод. 3'!I293</f>
        <v>0</v>
      </c>
      <c r="I235" s="128">
        <f>'дод. 3'!J293</f>
        <v>0</v>
      </c>
      <c r="J235" s="128">
        <f>'дод. 3'!K293</f>
        <v>1950000</v>
      </c>
      <c r="K235" s="128">
        <f>'дод. 3'!L293</f>
        <v>0</v>
      </c>
      <c r="L235" s="128">
        <f>'дод. 3'!M293</f>
        <v>0</v>
      </c>
      <c r="M235" s="143">
        <f>'дод. 3'!N293</f>
        <v>0</v>
      </c>
      <c r="N235" s="128">
        <f>'дод. 3'!O293</f>
        <v>1950000</v>
      </c>
      <c r="O235" s="128">
        <f>'дод. 3'!P293</f>
        <v>1950000</v>
      </c>
      <c r="P235" s="128">
        <f>'дод. 3'!Q293</f>
        <v>1950000</v>
      </c>
      <c r="Q235" s="249"/>
      <c r="Y235" s="89"/>
      <c r="Z235" s="89"/>
    </row>
    <row r="236" spans="1:26" s="97" customFormat="1" ht="27.75" customHeight="1">
      <c r="A236" s="96"/>
      <c r="B236" s="98"/>
      <c r="C236" s="98"/>
      <c r="D236" s="62" t="s">
        <v>27</v>
      </c>
      <c r="E236" s="127">
        <f>E229+E231</f>
        <v>2047666097.8700001</v>
      </c>
      <c r="F236" s="127">
        <f aca="true" t="shared" si="57" ref="F236:P236">F229+F231</f>
        <v>1988094132.8700001</v>
      </c>
      <c r="G236" s="127">
        <f t="shared" si="57"/>
        <v>534410817</v>
      </c>
      <c r="H236" s="127">
        <f t="shared" si="57"/>
        <v>109635755</v>
      </c>
      <c r="I236" s="127">
        <f t="shared" si="57"/>
        <v>43424551</v>
      </c>
      <c r="J236" s="127">
        <f t="shared" si="57"/>
        <v>651335032.69</v>
      </c>
      <c r="K236" s="127">
        <f t="shared" si="57"/>
        <v>60446099.97</v>
      </c>
      <c r="L236" s="127">
        <f t="shared" si="57"/>
        <v>5643866</v>
      </c>
      <c r="M236" s="144">
        <f t="shared" si="57"/>
        <v>2423113</v>
      </c>
      <c r="N236" s="127">
        <f t="shared" si="57"/>
        <v>590888932.72</v>
      </c>
      <c r="O236" s="127">
        <f t="shared" si="57"/>
        <v>575078329</v>
      </c>
      <c r="P236" s="127">
        <f t="shared" si="57"/>
        <v>2699001130.56</v>
      </c>
      <c r="Q236" s="249"/>
      <c r="Y236" s="94"/>
      <c r="Z236" s="94"/>
    </row>
    <row r="237" spans="1:26" s="97" customFormat="1" ht="31.5" customHeight="1">
      <c r="A237" s="96"/>
      <c r="B237" s="98"/>
      <c r="C237" s="98"/>
      <c r="D237" s="101" t="s">
        <v>526</v>
      </c>
      <c r="E237" s="127">
        <f>E230</f>
        <v>1054702455</v>
      </c>
      <c r="F237" s="127">
        <f aca="true" t="shared" si="58" ref="F237:O237">F230</f>
        <v>1054702455</v>
      </c>
      <c r="G237" s="127">
        <f t="shared" si="58"/>
        <v>184750800</v>
      </c>
      <c r="H237" s="127">
        <f t="shared" si="58"/>
        <v>0</v>
      </c>
      <c r="I237" s="127">
        <f t="shared" si="58"/>
        <v>0</v>
      </c>
      <c r="J237" s="127">
        <f t="shared" si="58"/>
        <v>0</v>
      </c>
      <c r="K237" s="127">
        <f t="shared" si="58"/>
        <v>0</v>
      </c>
      <c r="L237" s="127">
        <f t="shared" si="58"/>
        <v>0</v>
      </c>
      <c r="M237" s="144">
        <f t="shared" si="58"/>
        <v>0</v>
      </c>
      <c r="N237" s="127">
        <f t="shared" si="58"/>
        <v>0</v>
      </c>
      <c r="O237" s="127">
        <f t="shared" si="58"/>
        <v>0</v>
      </c>
      <c r="P237" s="127">
        <f>P230</f>
        <v>1054702455</v>
      </c>
      <c r="Q237" s="249"/>
      <c r="Y237" s="94"/>
      <c r="Z237" s="94"/>
    </row>
    <row r="238" spans="1:26" s="97" customFormat="1" ht="27.75" customHeight="1">
      <c r="A238" s="96"/>
      <c r="B238" s="167"/>
      <c r="C238" s="167"/>
      <c r="D238" s="167"/>
      <c r="E238" s="167"/>
      <c r="F238" s="167"/>
      <c r="G238" s="167"/>
      <c r="H238" s="167"/>
      <c r="I238" s="167"/>
      <c r="J238" s="167"/>
      <c r="K238" s="167"/>
      <c r="L238" s="167"/>
      <c r="M238" s="167"/>
      <c r="N238" s="167"/>
      <c r="O238" s="167"/>
      <c r="P238" s="167"/>
      <c r="Q238" s="249"/>
      <c r="Y238" s="94"/>
      <c r="Z238" s="94"/>
    </row>
    <row r="239" spans="1:26" s="97" customFormat="1" ht="27.75" customHeight="1">
      <c r="A239" s="96"/>
      <c r="B239" s="139"/>
      <c r="C239" s="139"/>
      <c r="D239" s="139"/>
      <c r="E239" s="139"/>
      <c r="F239" s="139"/>
      <c r="G239" s="139"/>
      <c r="H239" s="139"/>
      <c r="I239" s="139"/>
      <c r="J239" s="139"/>
      <c r="K239" s="139"/>
      <c r="L239" s="139"/>
      <c r="M239" s="139"/>
      <c r="N239" s="139"/>
      <c r="O239" s="139"/>
      <c r="P239" s="139"/>
      <c r="Q239" s="249"/>
      <c r="Y239" s="94"/>
      <c r="Z239" s="94"/>
    </row>
    <row r="240" spans="1:26" s="97" customFormat="1" ht="105.75" customHeight="1">
      <c r="A240" s="96"/>
      <c r="B240" s="139"/>
      <c r="C240" s="139"/>
      <c r="D240" s="139"/>
      <c r="E240" s="139"/>
      <c r="F240" s="139"/>
      <c r="G240" s="139"/>
      <c r="H240" s="139"/>
      <c r="I240" s="139"/>
      <c r="J240" s="139"/>
      <c r="K240" s="139"/>
      <c r="L240" s="139"/>
      <c r="M240" s="139"/>
      <c r="N240" s="139"/>
      <c r="O240" s="139"/>
      <c r="P240" s="139"/>
      <c r="Q240" s="249"/>
      <c r="Y240" s="94"/>
      <c r="Z240" s="94"/>
    </row>
    <row r="241" spans="1:26" s="97" customFormat="1" ht="27.75" customHeight="1">
      <c r="A241" s="96"/>
      <c r="B241" s="139"/>
      <c r="C241" s="139"/>
      <c r="D241" s="139"/>
      <c r="E241" s="139"/>
      <c r="F241" s="139"/>
      <c r="G241" s="139"/>
      <c r="H241" s="139"/>
      <c r="I241" s="139"/>
      <c r="J241" s="139"/>
      <c r="K241" s="139"/>
      <c r="L241" s="139"/>
      <c r="M241" s="139"/>
      <c r="N241" s="139"/>
      <c r="O241" s="139"/>
      <c r="P241" s="139"/>
      <c r="Q241" s="249"/>
      <c r="Y241" s="94"/>
      <c r="Z241" s="94"/>
    </row>
    <row r="242" spans="1:26" s="97" customFormat="1" ht="27.75" customHeight="1">
      <c r="A242" s="96"/>
      <c r="B242" s="42"/>
      <c r="C242" s="256" t="s">
        <v>544</v>
      </c>
      <c r="D242" s="256"/>
      <c r="E242" s="256"/>
      <c r="F242" s="45"/>
      <c r="G242" s="45"/>
      <c r="H242" s="45"/>
      <c r="I242" s="45"/>
      <c r="J242" s="45"/>
      <c r="K242" s="45"/>
      <c r="L242" s="45"/>
      <c r="M242" s="250" t="s">
        <v>545</v>
      </c>
      <c r="N242" s="250"/>
      <c r="O242" s="250"/>
      <c r="P242" s="85"/>
      <c r="Q242" s="249"/>
      <c r="Y242" s="89"/>
      <c r="Z242" s="89"/>
    </row>
    <row r="243" spans="1:26" s="97" customFormat="1" ht="27.75" customHeight="1">
      <c r="A243" s="96"/>
      <c r="B243" s="256"/>
      <c r="C243" s="256"/>
      <c r="D243" s="256"/>
      <c r="E243" s="256"/>
      <c r="F243" s="256"/>
      <c r="G243" s="256"/>
      <c r="H243" s="256"/>
      <c r="I243" s="45"/>
      <c r="J243" s="45"/>
      <c r="K243" s="85"/>
      <c r="L243" s="45"/>
      <c r="M243" s="250"/>
      <c r="N243" s="250"/>
      <c r="O243" s="250"/>
      <c r="P243" s="250"/>
      <c r="Q243" s="249"/>
      <c r="Y243" s="89"/>
      <c r="Z243" s="89"/>
    </row>
    <row r="244" spans="1:26" s="97" customFormat="1" ht="27.75" customHeight="1">
      <c r="A244" s="96"/>
      <c r="B244" s="7"/>
      <c r="C244" s="108"/>
      <c r="D244" s="230"/>
      <c r="E244" s="86"/>
      <c r="F244" s="86"/>
      <c r="G244" s="86"/>
      <c r="H244" s="86"/>
      <c r="I244" s="86"/>
      <c r="J244" s="86"/>
      <c r="K244" s="86"/>
      <c r="L244" s="86"/>
      <c r="M244" s="86"/>
      <c r="N244" s="86"/>
      <c r="O244" s="7"/>
      <c r="P244" s="7"/>
      <c r="Q244" s="249"/>
      <c r="Y244" s="89"/>
      <c r="Z244" s="89"/>
    </row>
    <row r="245" spans="1:26" s="75" customFormat="1" ht="26.25" customHeight="1">
      <c r="A245" s="54"/>
      <c r="B245" s="108"/>
      <c r="C245" s="108"/>
      <c r="D245" s="108"/>
      <c r="E245" s="189"/>
      <c r="F245" s="190"/>
      <c r="G245" s="191"/>
      <c r="H245" s="191"/>
      <c r="I245" s="191"/>
      <c r="J245" s="191"/>
      <c r="K245" s="191"/>
      <c r="L245" s="191"/>
      <c r="M245" s="41"/>
      <c r="N245" s="41"/>
      <c r="O245" s="41"/>
      <c r="P245" s="188"/>
      <c r="Q245" s="249"/>
      <c r="R245" s="90"/>
      <c r="Y245" s="89"/>
      <c r="Z245" s="89"/>
    </row>
    <row r="246" spans="1:26" s="75" customFormat="1" ht="23.25" customHeight="1">
      <c r="A246" s="54"/>
      <c r="B246" s="166"/>
      <c r="C246" s="166"/>
      <c r="D246" s="166"/>
      <c r="E246" s="189"/>
      <c r="F246" s="189"/>
      <c r="G246" s="191"/>
      <c r="H246" s="191"/>
      <c r="I246" s="191"/>
      <c r="J246" s="191"/>
      <c r="K246" s="191"/>
      <c r="L246" s="191"/>
      <c r="M246" s="41"/>
      <c r="N246" s="41"/>
      <c r="O246" s="41"/>
      <c r="P246" s="197"/>
      <c r="Q246" s="249"/>
      <c r="R246" s="90"/>
      <c r="Y246" s="90"/>
      <c r="Z246" s="90"/>
    </row>
    <row r="247" spans="1:26" s="75" customFormat="1" ht="23.25">
      <c r="A247" s="54"/>
      <c r="B247" s="192"/>
      <c r="C247" s="192"/>
      <c r="D247" s="192"/>
      <c r="E247" s="193">
        <f>E236-'дод. 3'!F294</f>
        <v>0</v>
      </c>
      <c r="F247" s="193">
        <f>F236-'дод. 3'!G294</f>
        <v>0</v>
      </c>
      <c r="G247" s="193">
        <f>G236-'дод. 3'!H294</f>
        <v>0</v>
      </c>
      <c r="H247" s="193">
        <f>H236-'дод. 3'!I294</f>
        <v>0</v>
      </c>
      <c r="I247" s="193">
        <f>I236-'дод. 3'!J294</f>
        <v>0</v>
      </c>
      <c r="J247" s="193">
        <f>J236-'дод. 3'!K294</f>
        <v>0</v>
      </c>
      <c r="K247" s="193">
        <f>K236-'дод. 3'!L294</f>
        <v>0</v>
      </c>
      <c r="L247" s="193">
        <f>L236-'дод. 3'!M294</f>
        <v>0</v>
      </c>
      <c r="M247" s="193">
        <f>M236-'дод. 3'!N294</f>
        <v>0</v>
      </c>
      <c r="N247" s="193">
        <f>N236-'дод. 3'!O294</f>
        <v>0</v>
      </c>
      <c r="O247" s="193">
        <f>O236-'дод. 3'!P294</f>
        <v>0</v>
      </c>
      <c r="P247" s="193">
        <f>P236-'дод. 3'!Q294</f>
        <v>0</v>
      </c>
      <c r="Q247" s="227"/>
      <c r="Y247" s="89"/>
      <c r="Z247" s="89"/>
    </row>
    <row r="248" spans="1:26" s="75" customFormat="1" ht="23.25">
      <c r="A248" s="54"/>
      <c r="B248" s="76"/>
      <c r="C248" s="54"/>
      <c r="D248" s="54"/>
      <c r="E248" s="169">
        <f>E237-'дод. 3'!F295</f>
        <v>0</v>
      </c>
      <c r="F248" s="169">
        <f>F237-'дод. 3'!G295</f>
        <v>0</v>
      </c>
      <c r="G248" s="169">
        <f>G237-'дод. 3'!H295</f>
        <v>0</v>
      </c>
      <c r="H248" s="169">
        <f>H237-'дод. 3'!I295</f>
        <v>0</v>
      </c>
      <c r="I248" s="169">
        <f>I237-'дод. 3'!J295</f>
        <v>0</v>
      </c>
      <c r="J248" s="169">
        <f>J237-'дод. 3'!K295</f>
        <v>0</v>
      </c>
      <c r="K248" s="169">
        <f>K237-'дод. 3'!L295</f>
        <v>0</v>
      </c>
      <c r="L248" s="169">
        <f>L237-'дод. 3'!M295</f>
        <v>0</v>
      </c>
      <c r="M248" s="169">
        <f>M237-'дод. 3'!N295</f>
        <v>0</v>
      </c>
      <c r="N248" s="169">
        <f>N237-'дод. 3'!O295</f>
        <v>0</v>
      </c>
      <c r="O248" s="169">
        <f>O237-'дод. 3'!P295</f>
        <v>0</v>
      </c>
      <c r="P248" s="169">
        <f>P237-'дод. 3'!Q295</f>
        <v>0</v>
      </c>
      <c r="Q248" s="227"/>
      <c r="Y248" s="89"/>
      <c r="Z248" s="89"/>
    </row>
    <row r="249" spans="1:26" s="75" customFormat="1" ht="15.75">
      <c r="A249" s="54"/>
      <c r="B249" s="76"/>
      <c r="C249" s="54"/>
      <c r="D249" s="54"/>
      <c r="E249" s="77"/>
      <c r="F249" s="78"/>
      <c r="G249" s="78"/>
      <c r="H249" s="78"/>
      <c r="I249" s="78"/>
      <c r="J249" s="77"/>
      <c r="K249" s="78"/>
      <c r="L249" s="78"/>
      <c r="M249" s="78"/>
      <c r="N249" s="95"/>
      <c r="O249" s="95"/>
      <c r="P249" s="77"/>
      <c r="Q249" s="227"/>
      <c r="Y249" s="89"/>
      <c r="Z249" s="89"/>
    </row>
    <row r="250" spans="1:26" s="75" customFormat="1" ht="15.75">
      <c r="A250" s="54"/>
      <c r="B250" s="76"/>
      <c r="C250" s="54"/>
      <c r="D250" s="54"/>
      <c r="E250" s="77"/>
      <c r="F250" s="78"/>
      <c r="G250" s="78"/>
      <c r="H250" s="78"/>
      <c r="I250" s="78"/>
      <c r="J250" s="77"/>
      <c r="K250" s="78"/>
      <c r="L250" s="78"/>
      <c r="M250" s="78"/>
      <c r="N250" s="95"/>
      <c r="O250" s="95"/>
      <c r="P250" s="77"/>
      <c r="Q250" s="227"/>
      <c r="Y250" s="89"/>
      <c r="Z250" s="89"/>
    </row>
    <row r="251" spans="1:26" s="93" customFormat="1" ht="15.75">
      <c r="A251" s="91"/>
      <c r="B251" s="92"/>
      <c r="C251" s="91"/>
      <c r="D251" s="91"/>
      <c r="E251" s="77"/>
      <c r="F251" s="78"/>
      <c r="G251" s="78"/>
      <c r="H251" s="78"/>
      <c r="I251" s="78"/>
      <c r="J251" s="77"/>
      <c r="K251" s="78"/>
      <c r="L251" s="78"/>
      <c r="M251" s="78"/>
      <c r="N251" s="78"/>
      <c r="O251" s="78"/>
      <c r="P251" s="77"/>
      <c r="Q251" s="227"/>
      <c r="Y251" s="94"/>
      <c r="Z251" s="94"/>
    </row>
    <row r="252" spans="1:26" s="75" customFormat="1" ht="15.75">
      <c r="A252" s="54"/>
      <c r="B252" s="76"/>
      <c r="C252" s="54"/>
      <c r="D252" s="54"/>
      <c r="E252" s="77"/>
      <c r="F252" s="78"/>
      <c r="G252" s="78"/>
      <c r="H252" s="78"/>
      <c r="I252" s="78"/>
      <c r="J252" s="77"/>
      <c r="K252" s="78"/>
      <c r="L252" s="78"/>
      <c r="M252" s="78"/>
      <c r="N252" s="95"/>
      <c r="O252" s="95"/>
      <c r="P252" s="77"/>
      <c r="Q252" s="227"/>
      <c r="Y252" s="89"/>
      <c r="Z252" s="89"/>
    </row>
    <row r="253" spans="1:26" s="75" customFormat="1" ht="15.75">
      <c r="A253" s="54"/>
      <c r="B253" s="76"/>
      <c r="C253" s="54"/>
      <c r="D253" s="54"/>
      <c r="E253" s="77"/>
      <c r="F253" s="78"/>
      <c r="G253" s="78"/>
      <c r="H253" s="78"/>
      <c r="I253" s="78"/>
      <c r="J253" s="77"/>
      <c r="K253" s="78"/>
      <c r="L253" s="78"/>
      <c r="M253" s="78"/>
      <c r="N253" s="78"/>
      <c r="O253" s="78"/>
      <c r="P253" s="77"/>
      <c r="Q253" s="227"/>
      <c r="Y253" s="89"/>
      <c r="Z253" s="89"/>
    </row>
    <row r="254" spans="1:26" s="75" customFormat="1" ht="15.75">
      <c r="A254" s="54"/>
      <c r="B254" s="76"/>
      <c r="C254" s="54"/>
      <c r="D254" s="54"/>
      <c r="E254" s="77"/>
      <c r="F254" s="78"/>
      <c r="G254" s="78"/>
      <c r="H254" s="78"/>
      <c r="I254" s="78"/>
      <c r="J254" s="77"/>
      <c r="K254" s="78"/>
      <c r="L254" s="78"/>
      <c r="M254" s="78"/>
      <c r="N254" s="78"/>
      <c r="O254" s="78"/>
      <c r="P254" s="77"/>
      <c r="Q254" s="227"/>
      <c r="Y254" s="89"/>
      <c r="Z254" s="89"/>
    </row>
    <row r="255" spans="1:26" s="75" customFormat="1" ht="15.75">
      <c r="A255" s="54"/>
      <c r="B255" s="76"/>
      <c r="C255" s="54"/>
      <c r="D255" s="54"/>
      <c r="E255" s="77"/>
      <c r="F255" s="78"/>
      <c r="G255" s="78"/>
      <c r="H255" s="78"/>
      <c r="I255" s="78"/>
      <c r="J255" s="77"/>
      <c r="K255" s="194"/>
      <c r="L255" s="78"/>
      <c r="M255" s="78"/>
      <c r="N255" s="78"/>
      <c r="O255" s="78"/>
      <c r="P255" s="77"/>
      <c r="Q255" s="227"/>
      <c r="Y255" s="89"/>
      <c r="Z255" s="89"/>
    </row>
    <row r="256" spans="1:26" s="75" customFormat="1" ht="15.75">
      <c r="A256" s="54"/>
      <c r="B256" s="76"/>
      <c r="C256" s="54"/>
      <c r="D256" s="54"/>
      <c r="E256" s="77"/>
      <c r="F256" s="78"/>
      <c r="G256" s="78"/>
      <c r="H256" s="78"/>
      <c r="I256" s="78"/>
      <c r="J256" s="77"/>
      <c r="K256" s="78"/>
      <c r="L256" s="78"/>
      <c r="M256" s="78"/>
      <c r="N256" s="78"/>
      <c r="O256" s="78"/>
      <c r="P256" s="77"/>
      <c r="Q256" s="227"/>
      <c r="Y256" s="89"/>
      <c r="Z256" s="89"/>
    </row>
    <row r="257" spans="1:26" s="75" customFormat="1" ht="15.75">
      <c r="A257" s="54"/>
      <c r="B257" s="76"/>
      <c r="C257" s="54"/>
      <c r="D257" s="54"/>
      <c r="E257" s="77"/>
      <c r="F257" s="78"/>
      <c r="G257" s="78"/>
      <c r="H257" s="78"/>
      <c r="I257" s="102"/>
      <c r="J257" s="77"/>
      <c r="K257" s="78"/>
      <c r="L257" s="78"/>
      <c r="M257" s="78"/>
      <c r="N257" s="78"/>
      <c r="O257" s="78"/>
      <c r="P257" s="77"/>
      <c r="Q257" s="227"/>
      <c r="Y257" s="89"/>
      <c r="Z257" s="89"/>
    </row>
    <row r="258" spans="1:26" s="75" customFormat="1" ht="15.75">
      <c r="A258" s="54"/>
      <c r="B258" s="76"/>
      <c r="C258" s="54"/>
      <c r="D258" s="54"/>
      <c r="E258" s="77"/>
      <c r="F258" s="78"/>
      <c r="G258" s="78"/>
      <c r="H258" s="78"/>
      <c r="I258" s="78"/>
      <c r="J258" s="77"/>
      <c r="K258" s="78"/>
      <c r="L258" s="78"/>
      <c r="M258" s="78"/>
      <c r="N258" s="78"/>
      <c r="O258" s="78"/>
      <c r="P258" s="77"/>
      <c r="Q258" s="227"/>
      <c r="Y258" s="89"/>
      <c r="Z258" s="89"/>
    </row>
    <row r="259" spans="1:26" s="75" customFormat="1" ht="15.75">
      <c r="A259" s="54"/>
      <c r="B259" s="76"/>
      <c r="C259" s="54"/>
      <c r="D259" s="54"/>
      <c r="E259" s="77"/>
      <c r="F259" s="78"/>
      <c r="G259" s="78"/>
      <c r="H259" s="78"/>
      <c r="I259" s="78"/>
      <c r="J259" s="77"/>
      <c r="K259" s="78"/>
      <c r="L259" s="78"/>
      <c r="M259" s="78"/>
      <c r="N259" s="78"/>
      <c r="O259" s="78"/>
      <c r="P259" s="77"/>
      <c r="Q259" s="227"/>
      <c r="Y259" s="89"/>
      <c r="Z259" s="89"/>
    </row>
    <row r="260" spans="1:26" s="75" customFormat="1" ht="15.75">
      <c r="A260" s="54"/>
      <c r="B260" s="76"/>
      <c r="C260" s="54"/>
      <c r="D260" s="54"/>
      <c r="E260" s="77"/>
      <c r="F260" s="78"/>
      <c r="G260" s="78"/>
      <c r="H260" s="78"/>
      <c r="I260" s="78"/>
      <c r="J260" s="77"/>
      <c r="K260" s="78"/>
      <c r="L260" s="78"/>
      <c r="M260" s="78"/>
      <c r="N260" s="78"/>
      <c r="O260" s="78"/>
      <c r="P260" s="77"/>
      <c r="Q260" s="227"/>
      <c r="Y260" s="89"/>
      <c r="Z260" s="89"/>
    </row>
    <row r="261" spans="1:26" s="75" customFormat="1" ht="15.75">
      <c r="A261" s="54"/>
      <c r="B261" s="76"/>
      <c r="C261" s="54"/>
      <c r="D261" s="54"/>
      <c r="E261" s="77"/>
      <c r="F261" s="78"/>
      <c r="G261" s="78"/>
      <c r="H261" s="78"/>
      <c r="I261" s="78"/>
      <c r="J261" s="77"/>
      <c r="K261" s="78"/>
      <c r="L261" s="78"/>
      <c r="M261" s="78"/>
      <c r="N261" s="78"/>
      <c r="O261" s="78"/>
      <c r="P261" s="77"/>
      <c r="Q261" s="227"/>
      <c r="Y261" s="89"/>
      <c r="Z261" s="89"/>
    </row>
    <row r="262" spans="1:26" s="75" customFormat="1" ht="15.75">
      <c r="A262" s="54"/>
      <c r="B262" s="76"/>
      <c r="C262" s="54"/>
      <c r="D262" s="54"/>
      <c r="E262" s="77"/>
      <c r="F262" s="78"/>
      <c r="G262" s="78"/>
      <c r="H262" s="78"/>
      <c r="I262" s="78"/>
      <c r="J262" s="77"/>
      <c r="K262" s="78"/>
      <c r="L262" s="78"/>
      <c r="M262" s="78"/>
      <c r="N262" s="78"/>
      <c r="O262" s="78"/>
      <c r="P262" s="77"/>
      <c r="Q262" s="227"/>
      <c r="Y262" s="89"/>
      <c r="Z262" s="89"/>
    </row>
    <row r="263" spans="1:26" s="75" customFormat="1" ht="15.75">
      <c r="A263" s="54"/>
      <c r="B263" s="76"/>
      <c r="C263" s="54"/>
      <c r="D263" s="54"/>
      <c r="E263" s="77"/>
      <c r="F263" s="78"/>
      <c r="G263" s="78"/>
      <c r="H263" s="78"/>
      <c r="I263" s="78"/>
      <c r="J263" s="77"/>
      <c r="K263" s="78"/>
      <c r="L263" s="78"/>
      <c r="M263" s="78"/>
      <c r="N263" s="78"/>
      <c r="O263" s="78"/>
      <c r="P263" s="77"/>
      <c r="Q263" s="227"/>
      <c r="Y263" s="89"/>
      <c r="Z263" s="89"/>
    </row>
    <row r="264" spans="1:26" s="75" customFormat="1" ht="15.75">
      <c r="A264" s="54"/>
      <c r="B264" s="76"/>
      <c r="C264" s="54"/>
      <c r="D264" s="54"/>
      <c r="E264" s="77"/>
      <c r="F264" s="78"/>
      <c r="G264" s="78"/>
      <c r="H264" s="78"/>
      <c r="I264" s="78"/>
      <c r="J264" s="77"/>
      <c r="K264" s="78"/>
      <c r="L264" s="78"/>
      <c r="M264" s="78"/>
      <c r="N264" s="78"/>
      <c r="O264" s="78"/>
      <c r="P264" s="77"/>
      <c r="Q264" s="227"/>
      <c r="Y264" s="89"/>
      <c r="Z264" s="89"/>
    </row>
    <row r="265" spans="1:26" s="75" customFormat="1" ht="15.75">
      <c r="A265" s="54"/>
      <c r="B265" s="76"/>
      <c r="C265" s="54"/>
      <c r="D265" s="54"/>
      <c r="E265" s="77"/>
      <c r="F265" s="78"/>
      <c r="G265" s="78"/>
      <c r="H265" s="78"/>
      <c r="I265" s="78"/>
      <c r="J265" s="77"/>
      <c r="K265" s="78"/>
      <c r="L265" s="78"/>
      <c r="M265" s="78"/>
      <c r="N265" s="78"/>
      <c r="O265" s="78"/>
      <c r="P265" s="77"/>
      <c r="Q265" s="227"/>
      <c r="Y265" s="89"/>
      <c r="Z265" s="89"/>
    </row>
    <row r="266" spans="1:26" s="75" customFormat="1" ht="15.75">
      <c r="A266" s="54"/>
      <c r="B266" s="76"/>
      <c r="C266" s="54"/>
      <c r="D266" s="54"/>
      <c r="E266" s="77"/>
      <c r="F266" s="78"/>
      <c r="G266" s="78"/>
      <c r="H266" s="78"/>
      <c r="I266" s="78"/>
      <c r="J266" s="77"/>
      <c r="K266" s="78"/>
      <c r="L266" s="78"/>
      <c r="M266" s="78"/>
      <c r="N266" s="78"/>
      <c r="O266" s="78"/>
      <c r="P266" s="77"/>
      <c r="Q266" s="227"/>
      <c r="Y266" s="89"/>
      <c r="Z266" s="89"/>
    </row>
    <row r="267" spans="1:17" s="75" customFormat="1" ht="15.75">
      <c r="A267" s="54"/>
      <c r="B267" s="76"/>
      <c r="C267" s="54"/>
      <c r="D267" s="54"/>
      <c r="E267" s="77"/>
      <c r="F267" s="78"/>
      <c r="G267" s="78"/>
      <c r="H267" s="78"/>
      <c r="I267" s="78"/>
      <c r="J267" s="77"/>
      <c r="K267" s="78"/>
      <c r="L267" s="78"/>
      <c r="M267" s="78"/>
      <c r="N267" s="78"/>
      <c r="O267" s="78"/>
      <c r="P267" s="77"/>
      <c r="Q267" s="227"/>
    </row>
    <row r="268" spans="1:17" s="75" customFormat="1" ht="15.75">
      <c r="A268" s="54"/>
      <c r="B268" s="76"/>
      <c r="C268" s="54"/>
      <c r="D268" s="54"/>
      <c r="E268" s="77"/>
      <c r="F268" s="78"/>
      <c r="G268" s="78"/>
      <c r="H268" s="78"/>
      <c r="I268" s="78"/>
      <c r="J268" s="77"/>
      <c r="K268" s="78"/>
      <c r="L268" s="78"/>
      <c r="M268" s="78"/>
      <c r="N268" s="78"/>
      <c r="O268" s="78"/>
      <c r="P268" s="77"/>
      <c r="Q268" s="227"/>
    </row>
    <row r="269" spans="1:17" s="75" customFormat="1" ht="15.75">
      <c r="A269" s="54"/>
      <c r="B269" s="76"/>
      <c r="C269" s="54"/>
      <c r="D269" s="54"/>
      <c r="E269" s="77"/>
      <c r="F269" s="78"/>
      <c r="G269" s="78"/>
      <c r="H269" s="78"/>
      <c r="I269" s="78"/>
      <c r="J269" s="77"/>
      <c r="K269" s="78"/>
      <c r="L269" s="78"/>
      <c r="M269" s="78"/>
      <c r="N269" s="78"/>
      <c r="O269" s="78"/>
      <c r="P269" s="77"/>
      <c r="Q269" s="141"/>
    </row>
    <row r="270" spans="1:17" s="75" customFormat="1" ht="15.75">
      <c r="A270" s="54"/>
      <c r="B270" s="76"/>
      <c r="C270" s="54"/>
      <c r="D270" s="54"/>
      <c r="E270" s="77"/>
      <c r="F270" s="78"/>
      <c r="G270" s="78"/>
      <c r="H270" s="78"/>
      <c r="I270" s="78"/>
      <c r="J270" s="77"/>
      <c r="K270" s="78"/>
      <c r="L270" s="78"/>
      <c r="M270" s="78"/>
      <c r="N270" s="78"/>
      <c r="O270" s="78"/>
      <c r="P270" s="77"/>
      <c r="Q270" s="141"/>
    </row>
    <row r="271" spans="1:17" s="75" customFormat="1" ht="15.75">
      <c r="A271" s="54"/>
      <c r="B271" s="76"/>
      <c r="C271" s="54"/>
      <c r="D271" s="54"/>
      <c r="E271" s="77"/>
      <c r="F271" s="78"/>
      <c r="G271" s="78"/>
      <c r="H271" s="78"/>
      <c r="I271" s="78"/>
      <c r="J271" s="77"/>
      <c r="K271" s="78"/>
      <c r="L271" s="78"/>
      <c r="M271" s="78"/>
      <c r="N271" s="78"/>
      <c r="O271" s="78"/>
      <c r="P271" s="77"/>
      <c r="Q271" s="141"/>
    </row>
    <row r="272" spans="1:17" s="75" customFormat="1" ht="15.75">
      <c r="A272" s="54"/>
      <c r="B272" s="76"/>
      <c r="C272" s="54"/>
      <c r="D272" s="54"/>
      <c r="E272" s="77"/>
      <c r="F272" s="78"/>
      <c r="G272" s="78"/>
      <c r="H272" s="78"/>
      <c r="I272" s="78"/>
      <c r="J272" s="77"/>
      <c r="K272" s="78"/>
      <c r="L272" s="78"/>
      <c r="M272" s="78"/>
      <c r="N272" s="78"/>
      <c r="O272" s="78"/>
      <c r="P272" s="77"/>
      <c r="Q272" s="141"/>
    </row>
    <row r="273" spans="1:17" s="75" customFormat="1" ht="15.75">
      <c r="A273" s="54"/>
      <c r="B273" s="76"/>
      <c r="C273" s="54"/>
      <c r="D273" s="54"/>
      <c r="E273" s="77"/>
      <c r="F273" s="78"/>
      <c r="G273" s="78"/>
      <c r="H273" s="78"/>
      <c r="I273" s="78"/>
      <c r="J273" s="77"/>
      <c r="K273" s="78"/>
      <c r="L273" s="78"/>
      <c r="M273" s="78"/>
      <c r="N273" s="78"/>
      <c r="O273" s="78"/>
      <c r="P273" s="77"/>
      <c r="Q273" s="141"/>
    </row>
    <row r="274" spans="1:17" s="75" customFormat="1" ht="15.75">
      <c r="A274" s="54"/>
      <c r="B274" s="76"/>
      <c r="C274" s="54"/>
      <c r="D274" s="54"/>
      <c r="E274" s="77"/>
      <c r="F274" s="78"/>
      <c r="G274" s="78"/>
      <c r="H274" s="78"/>
      <c r="I274" s="78"/>
      <c r="J274" s="77"/>
      <c r="K274" s="78"/>
      <c r="L274" s="78"/>
      <c r="M274" s="78"/>
      <c r="N274" s="78"/>
      <c r="O274" s="78"/>
      <c r="P274" s="77"/>
      <c r="Q274" s="141"/>
    </row>
    <row r="275" spans="1:17" s="75" customFormat="1" ht="15.75">
      <c r="A275" s="54"/>
      <c r="B275" s="76"/>
      <c r="C275" s="54"/>
      <c r="D275" s="54"/>
      <c r="E275" s="77"/>
      <c r="F275" s="78"/>
      <c r="G275" s="78"/>
      <c r="H275" s="78"/>
      <c r="I275" s="78"/>
      <c r="J275" s="77"/>
      <c r="K275" s="78"/>
      <c r="L275" s="78"/>
      <c r="M275" s="78"/>
      <c r="N275" s="78"/>
      <c r="O275" s="78"/>
      <c r="P275" s="77"/>
      <c r="Q275" s="141"/>
    </row>
    <row r="276" spans="1:17" s="75" customFormat="1" ht="15.75">
      <c r="A276" s="54"/>
      <c r="B276" s="76"/>
      <c r="C276" s="54"/>
      <c r="D276" s="54"/>
      <c r="E276" s="77"/>
      <c r="F276" s="78"/>
      <c r="G276" s="78"/>
      <c r="H276" s="78"/>
      <c r="I276" s="78"/>
      <c r="J276" s="77"/>
      <c r="K276" s="78"/>
      <c r="L276" s="78"/>
      <c r="M276" s="78"/>
      <c r="N276" s="78"/>
      <c r="O276" s="78"/>
      <c r="P276" s="77"/>
      <c r="Q276" s="141"/>
    </row>
    <row r="277" spans="1:17" s="75" customFormat="1" ht="15.75">
      <c r="A277" s="54"/>
      <c r="B277" s="76"/>
      <c r="C277" s="54"/>
      <c r="D277" s="54"/>
      <c r="E277" s="77"/>
      <c r="F277" s="78"/>
      <c r="G277" s="78"/>
      <c r="H277" s="78"/>
      <c r="I277" s="78"/>
      <c r="J277" s="77"/>
      <c r="K277" s="78"/>
      <c r="L277" s="78"/>
      <c r="M277" s="78"/>
      <c r="N277" s="78"/>
      <c r="O277" s="78"/>
      <c r="P277" s="77"/>
      <c r="Q277" s="141"/>
    </row>
    <row r="278" spans="1:17" s="75" customFormat="1" ht="15.75">
      <c r="A278" s="54"/>
      <c r="B278" s="76"/>
      <c r="C278" s="54"/>
      <c r="D278" s="54"/>
      <c r="E278" s="77"/>
      <c r="F278" s="78"/>
      <c r="G278" s="78"/>
      <c r="H278" s="78"/>
      <c r="I278" s="78"/>
      <c r="J278" s="77"/>
      <c r="K278" s="78"/>
      <c r="L278" s="78"/>
      <c r="M278" s="78"/>
      <c r="N278" s="78"/>
      <c r="O278" s="78"/>
      <c r="P278" s="77"/>
      <c r="Q278" s="141"/>
    </row>
    <row r="279" spans="1:17" s="75" customFormat="1" ht="15.75">
      <c r="A279" s="54"/>
      <c r="B279" s="76"/>
      <c r="C279" s="54"/>
      <c r="D279" s="54"/>
      <c r="E279" s="77"/>
      <c r="F279" s="78"/>
      <c r="G279" s="78"/>
      <c r="H279" s="78"/>
      <c r="I279" s="78"/>
      <c r="J279" s="77"/>
      <c r="K279" s="78"/>
      <c r="L279" s="78"/>
      <c r="M279" s="78"/>
      <c r="N279" s="78"/>
      <c r="O279" s="78"/>
      <c r="P279" s="77"/>
      <c r="Q279" s="141"/>
    </row>
    <row r="280" spans="1:17" s="75" customFormat="1" ht="15.75">
      <c r="A280" s="54"/>
      <c r="B280" s="76"/>
      <c r="C280" s="54"/>
      <c r="D280" s="54"/>
      <c r="E280" s="77"/>
      <c r="F280" s="78"/>
      <c r="G280" s="78"/>
      <c r="H280" s="78"/>
      <c r="I280" s="78"/>
      <c r="J280" s="77"/>
      <c r="K280" s="78"/>
      <c r="L280" s="78"/>
      <c r="M280" s="78"/>
      <c r="N280" s="78"/>
      <c r="O280" s="78"/>
      <c r="P280" s="77"/>
      <c r="Q280" s="141"/>
    </row>
    <row r="281" spans="1:17" s="75" customFormat="1" ht="15.75">
      <c r="A281" s="54"/>
      <c r="B281" s="76"/>
      <c r="C281" s="54"/>
      <c r="D281" s="54"/>
      <c r="E281" s="77"/>
      <c r="F281" s="78"/>
      <c r="G281" s="78"/>
      <c r="H281" s="78"/>
      <c r="I281" s="78"/>
      <c r="J281" s="77"/>
      <c r="K281" s="78"/>
      <c r="L281" s="78"/>
      <c r="M281" s="78"/>
      <c r="N281" s="78"/>
      <c r="O281" s="78"/>
      <c r="P281" s="77"/>
      <c r="Q281" s="141"/>
    </row>
    <row r="282" spans="1:17" s="75" customFormat="1" ht="15.75">
      <c r="A282" s="54"/>
      <c r="B282" s="76"/>
      <c r="C282" s="54"/>
      <c r="D282" s="54"/>
      <c r="E282" s="77"/>
      <c r="F282" s="78"/>
      <c r="G282" s="78"/>
      <c r="H282" s="78"/>
      <c r="I282" s="78"/>
      <c r="J282" s="77"/>
      <c r="K282" s="78"/>
      <c r="L282" s="78"/>
      <c r="M282" s="78"/>
      <c r="N282" s="78"/>
      <c r="O282" s="78"/>
      <c r="P282" s="77"/>
      <c r="Q282" s="141"/>
    </row>
    <row r="283" spans="1:17" s="75" customFormat="1" ht="15.75">
      <c r="A283" s="54"/>
      <c r="B283" s="76"/>
      <c r="C283" s="54"/>
      <c r="D283" s="54"/>
      <c r="E283" s="77"/>
      <c r="F283" s="78"/>
      <c r="G283" s="78"/>
      <c r="H283" s="78"/>
      <c r="I283" s="78"/>
      <c r="J283" s="77"/>
      <c r="K283" s="78"/>
      <c r="L283" s="78"/>
      <c r="M283" s="78"/>
      <c r="N283" s="78"/>
      <c r="O283" s="78"/>
      <c r="P283" s="77"/>
      <c r="Q283" s="141"/>
    </row>
    <row r="284" spans="1:17" s="75" customFormat="1" ht="15.75">
      <c r="A284" s="54"/>
      <c r="B284" s="76"/>
      <c r="C284" s="54"/>
      <c r="D284" s="54"/>
      <c r="E284" s="77"/>
      <c r="F284" s="78"/>
      <c r="G284" s="78"/>
      <c r="H284" s="78"/>
      <c r="I284" s="78"/>
      <c r="J284" s="77"/>
      <c r="K284" s="78"/>
      <c r="L284" s="78"/>
      <c r="M284" s="78"/>
      <c r="N284" s="78"/>
      <c r="O284" s="78"/>
      <c r="P284" s="77"/>
      <c r="Q284" s="141"/>
    </row>
    <row r="285" spans="1:17" s="75" customFormat="1" ht="15.75">
      <c r="A285" s="54"/>
      <c r="B285" s="76"/>
      <c r="C285" s="54"/>
      <c r="D285" s="54"/>
      <c r="E285" s="77"/>
      <c r="F285" s="78"/>
      <c r="G285" s="78"/>
      <c r="H285" s="78"/>
      <c r="I285" s="78"/>
      <c r="J285" s="77"/>
      <c r="K285" s="78"/>
      <c r="L285" s="78"/>
      <c r="M285" s="78"/>
      <c r="N285" s="78"/>
      <c r="O285" s="78"/>
      <c r="P285" s="77"/>
      <c r="Q285" s="141"/>
    </row>
    <row r="286" spans="1:17" s="75" customFormat="1" ht="15.75">
      <c r="A286" s="54"/>
      <c r="B286" s="76"/>
      <c r="C286" s="54"/>
      <c r="D286" s="54"/>
      <c r="E286" s="77"/>
      <c r="F286" s="78"/>
      <c r="G286" s="78"/>
      <c r="H286" s="78"/>
      <c r="I286" s="78"/>
      <c r="J286" s="77"/>
      <c r="K286" s="78"/>
      <c r="L286" s="78"/>
      <c r="M286" s="78"/>
      <c r="N286" s="78"/>
      <c r="O286" s="78"/>
      <c r="P286" s="77"/>
      <c r="Q286" s="141"/>
    </row>
    <row r="287" spans="1:17" s="75" customFormat="1" ht="15.75">
      <c r="A287" s="54"/>
      <c r="B287" s="76"/>
      <c r="C287" s="54"/>
      <c r="D287" s="54"/>
      <c r="E287" s="77"/>
      <c r="F287" s="78"/>
      <c r="G287" s="78"/>
      <c r="H287" s="78"/>
      <c r="I287" s="78"/>
      <c r="J287" s="77"/>
      <c r="K287" s="78"/>
      <c r="L287" s="78"/>
      <c r="M287" s="78"/>
      <c r="N287" s="78"/>
      <c r="O287" s="78"/>
      <c r="P287" s="77"/>
      <c r="Q287" s="141"/>
    </row>
    <row r="288" spans="1:17" s="75" customFormat="1" ht="15.75">
      <c r="A288" s="54"/>
      <c r="B288" s="76"/>
      <c r="C288" s="54"/>
      <c r="D288" s="54"/>
      <c r="E288" s="77"/>
      <c r="F288" s="78"/>
      <c r="G288" s="78"/>
      <c r="H288" s="78"/>
      <c r="I288" s="78"/>
      <c r="J288" s="77"/>
      <c r="K288" s="78"/>
      <c r="L288" s="78"/>
      <c r="M288" s="78"/>
      <c r="N288" s="78"/>
      <c r="O288" s="78"/>
      <c r="P288" s="77"/>
      <c r="Q288" s="141"/>
    </row>
    <row r="289" spans="1:17" s="75" customFormat="1" ht="15.75">
      <c r="A289" s="54"/>
      <c r="B289" s="76"/>
      <c r="C289" s="54"/>
      <c r="D289" s="54"/>
      <c r="E289" s="77"/>
      <c r="F289" s="78"/>
      <c r="G289" s="78"/>
      <c r="H289" s="78"/>
      <c r="I289" s="78"/>
      <c r="J289" s="77"/>
      <c r="K289" s="78"/>
      <c r="L289" s="78"/>
      <c r="M289" s="78"/>
      <c r="N289" s="78"/>
      <c r="O289" s="78"/>
      <c r="P289" s="77"/>
      <c r="Q289" s="141"/>
    </row>
    <row r="290" spans="1:17" s="75" customFormat="1" ht="15.75">
      <c r="A290" s="54"/>
      <c r="B290" s="76"/>
      <c r="C290" s="54"/>
      <c r="D290" s="54"/>
      <c r="E290" s="77"/>
      <c r="F290" s="78"/>
      <c r="G290" s="78"/>
      <c r="H290" s="78"/>
      <c r="I290" s="78"/>
      <c r="J290" s="77"/>
      <c r="K290" s="78"/>
      <c r="L290" s="78"/>
      <c r="M290" s="78"/>
      <c r="N290" s="78"/>
      <c r="O290" s="78"/>
      <c r="P290" s="77"/>
      <c r="Q290" s="141"/>
    </row>
    <row r="291" spans="1:17" s="75" customFormat="1" ht="15.75">
      <c r="A291" s="54"/>
      <c r="B291" s="76"/>
      <c r="C291" s="54"/>
      <c r="D291" s="54"/>
      <c r="E291" s="77"/>
      <c r="F291" s="78"/>
      <c r="G291" s="78"/>
      <c r="H291" s="78"/>
      <c r="I291" s="78"/>
      <c r="J291" s="77"/>
      <c r="K291" s="78"/>
      <c r="L291" s="78"/>
      <c r="M291" s="78"/>
      <c r="N291" s="78"/>
      <c r="O291" s="78"/>
      <c r="P291" s="77"/>
      <c r="Q291" s="141"/>
    </row>
    <row r="292" spans="1:17" s="75" customFormat="1" ht="15.75">
      <c r="A292" s="54"/>
      <c r="B292" s="76"/>
      <c r="C292" s="54"/>
      <c r="D292" s="54"/>
      <c r="E292" s="77"/>
      <c r="F292" s="78"/>
      <c r="G292" s="78"/>
      <c r="H292" s="78"/>
      <c r="I292" s="78"/>
      <c r="J292" s="77"/>
      <c r="K292" s="78"/>
      <c r="L292" s="78"/>
      <c r="M292" s="78"/>
      <c r="N292" s="78"/>
      <c r="O292" s="78"/>
      <c r="P292" s="77"/>
      <c r="Q292" s="141"/>
    </row>
    <row r="293" spans="1:17" s="75" customFormat="1" ht="15.75">
      <c r="A293" s="54"/>
      <c r="B293" s="76"/>
      <c r="C293" s="54"/>
      <c r="D293" s="54"/>
      <c r="E293" s="77"/>
      <c r="F293" s="78"/>
      <c r="G293" s="78"/>
      <c r="H293" s="78"/>
      <c r="I293" s="78"/>
      <c r="J293" s="77"/>
      <c r="K293" s="78"/>
      <c r="L293" s="78"/>
      <c r="M293" s="78"/>
      <c r="N293" s="78"/>
      <c r="O293" s="78"/>
      <c r="P293" s="77"/>
      <c r="Q293" s="141"/>
    </row>
    <row r="294" spans="1:17" s="75" customFormat="1" ht="15.75">
      <c r="A294" s="54"/>
      <c r="B294" s="76"/>
      <c r="C294" s="54"/>
      <c r="D294" s="54"/>
      <c r="E294" s="77"/>
      <c r="F294" s="78"/>
      <c r="G294" s="78"/>
      <c r="H294" s="78"/>
      <c r="I294" s="78"/>
      <c r="J294" s="77"/>
      <c r="K294" s="78"/>
      <c r="L294" s="78"/>
      <c r="M294" s="78"/>
      <c r="N294" s="78"/>
      <c r="O294" s="78"/>
      <c r="P294" s="77"/>
      <c r="Q294" s="141"/>
    </row>
    <row r="295" spans="1:17" s="75" customFormat="1" ht="15.75">
      <c r="A295" s="54"/>
      <c r="B295" s="76"/>
      <c r="C295" s="54"/>
      <c r="D295" s="54"/>
      <c r="E295" s="77"/>
      <c r="F295" s="78"/>
      <c r="G295" s="78"/>
      <c r="H295" s="78"/>
      <c r="I295" s="78"/>
      <c r="J295" s="77"/>
      <c r="K295" s="78"/>
      <c r="L295" s="78"/>
      <c r="M295" s="78"/>
      <c r="N295" s="78"/>
      <c r="O295" s="78"/>
      <c r="P295" s="77"/>
      <c r="Q295" s="141"/>
    </row>
    <row r="296" spans="1:17" s="75" customFormat="1" ht="15.75">
      <c r="A296" s="54"/>
      <c r="B296" s="76"/>
      <c r="C296" s="54"/>
      <c r="D296" s="54"/>
      <c r="E296" s="77"/>
      <c r="F296" s="78"/>
      <c r="G296" s="78"/>
      <c r="H296" s="78"/>
      <c r="I296" s="78"/>
      <c r="J296" s="77"/>
      <c r="K296" s="78"/>
      <c r="L296" s="78"/>
      <c r="M296" s="78"/>
      <c r="N296" s="78"/>
      <c r="O296" s="78"/>
      <c r="P296" s="77"/>
      <c r="Q296" s="141"/>
    </row>
    <row r="297" spans="1:17" s="75" customFormat="1" ht="15.75">
      <c r="A297" s="54"/>
      <c r="B297" s="76"/>
      <c r="C297" s="54"/>
      <c r="D297" s="54"/>
      <c r="E297" s="77"/>
      <c r="F297" s="78"/>
      <c r="G297" s="78"/>
      <c r="H297" s="78"/>
      <c r="I297" s="78"/>
      <c r="J297" s="77"/>
      <c r="K297" s="78"/>
      <c r="L297" s="78"/>
      <c r="M297" s="78"/>
      <c r="N297" s="78"/>
      <c r="O297" s="78"/>
      <c r="P297" s="77"/>
      <c r="Q297" s="141"/>
    </row>
    <row r="298" spans="1:17" s="75" customFormat="1" ht="15.75">
      <c r="A298" s="54"/>
      <c r="B298" s="76"/>
      <c r="C298" s="54"/>
      <c r="D298" s="54"/>
      <c r="E298" s="77"/>
      <c r="F298" s="78"/>
      <c r="G298" s="78"/>
      <c r="H298" s="78"/>
      <c r="I298" s="78"/>
      <c r="J298" s="77"/>
      <c r="K298" s="78"/>
      <c r="L298" s="78"/>
      <c r="M298" s="78"/>
      <c r="N298" s="78"/>
      <c r="O298" s="78"/>
      <c r="P298" s="77"/>
      <c r="Q298" s="141"/>
    </row>
    <row r="299" spans="1:17" s="75" customFormat="1" ht="15.75">
      <c r="A299" s="54"/>
      <c r="B299" s="76"/>
      <c r="C299" s="54"/>
      <c r="D299" s="54"/>
      <c r="E299" s="77"/>
      <c r="F299" s="78"/>
      <c r="G299" s="78"/>
      <c r="H299" s="78"/>
      <c r="I299" s="78"/>
      <c r="J299" s="77"/>
      <c r="K299" s="78"/>
      <c r="L299" s="78"/>
      <c r="M299" s="78"/>
      <c r="N299" s="78"/>
      <c r="O299" s="78"/>
      <c r="P299" s="77"/>
      <c r="Q299" s="141"/>
    </row>
    <row r="300" spans="1:17" s="75" customFormat="1" ht="15.75">
      <c r="A300" s="54"/>
      <c r="B300" s="76"/>
      <c r="C300" s="54"/>
      <c r="D300" s="54"/>
      <c r="E300" s="77"/>
      <c r="F300" s="78"/>
      <c r="G300" s="78"/>
      <c r="H300" s="78"/>
      <c r="I300" s="78"/>
      <c r="J300" s="77"/>
      <c r="K300" s="78"/>
      <c r="L300" s="78"/>
      <c r="M300" s="78"/>
      <c r="N300" s="78"/>
      <c r="O300" s="78"/>
      <c r="P300" s="77"/>
      <c r="Q300" s="141"/>
    </row>
    <row r="301" spans="1:17" s="75" customFormat="1" ht="15.75">
      <c r="A301" s="54"/>
      <c r="B301" s="76"/>
      <c r="C301" s="54"/>
      <c r="D301" s="54"/>
      <c r="E301" s="77"/>
      <c r="F301" s="78"/>
      <c r="G301" s="78"/>
      <c r="H301" s="78"/>
      <c r="I301" s="78"/>
      <c r="J301" s="77"/>
      <c r="K301" s="78"/>
      <c r="L301" s="78"/>
      <c r="M301" s="78"/>
      <c r="N301" s="78"/>
      <c r="O301" s="78"/>
      <c r="P301" s="77"/>
      <c r="Q301" s="141"/>
    </row>
    <row r="302" spans="1:17" s="75" customFormat="1" ht="15.75">
      <c r="A302" s="54"/>
      <c r="B302" s="76"/>
      <c r="C302" s="54"/>
      <c r="D302" s="54"/>
      <c r="E302" s="77"/>
      <c r="F302" s="78"/>
      <c r="G302" s="78"/>
      <c r="H302" s="78"/>
      <c r="I302" s="78"/>
      <c r="J302" s="77"/>
      <c r="K302" s="78"/>
      <c r="L302" s="78"/>
      <c r="M302" s="78"/>
      <c r="N302" s="78"/>
      <c r="O302" s="78"/>
      <c r="P302" s="77"/>
      <c r="Q302" s="141"/>
    </row>
    <row r="303" spans="1:17" s="75" customFormat="1" ht="15.75">
      <c r="A303" s="54"/>
      <c r="B303" s="76"/>
      <c r="C303" s="54"/>
      <c r="D303" s="54"/>
      <c r="E303" s="77"/>
      <c r="F303" s="78"/>
      <c r="G303" s="78"/>
      <c r="H303" s="78"/>
      <c r="I303" s="78"/>
      <c r="J303" s="77"/>
      <c r="K303" s="78"/>
      <c r="L303" s="78"/>
      <c r="M303" s="78"/>
      <c r="N303" s="78"/>
      <c r="O303" s="78"/>
      <c r="P303" s="77"/>
      <c r="Q303" s="141"/>
    </row>
    <row r="304" spans="1:17" s="75" customFormat="1" ht="15.75">
      <c r="A304" s="54"/>
      <c r="B304" s="76"/>
      <c r="C304" s="54"/>
      <c r="D304" s="54"/>
      <c r="E304" s="77"/>
      <c r="F304" s="78"/>
      <c r="G304" s="78"/>
      <c r="H304" s="78"/>
      <c r="I304" s="78"/>
      <c r="J304" s="77"/>
      <c r="K304" s="78"/>
      <c r="L304" s="78"/>
      <c r="M304" s="78"/>
      <c r="N304" s="78"/>
      <c r="O304" s="78"/>
      <c r="P304" s="77"/>
      <c r="Q304" s="141"/>
    </row>
    <row r="305" spans="1:17" s="75" customFormat="1" ht="15.75">
      <c r="A305" s="54"/>
      <c r="B305" s="76"/>
      <c r="C305" s="54"/>
      <c r="D305" s="54"/>
      <c r="E305" s="77"/>
      <c r="F305" s="78"/>
      <c r="G305" s="78"/>
      <c r="H305" s="78"/>
      <c r="I305" s="78"/>
      <c r="J305" s="77"/>
      <c r="K305" s="78"/>
      <c r="L305" s="78"/>
      <c r="M305" s="78"/>
      <c r="N305" s="78"/>
      <c r="O305" s="78"/>
      <c r="P305" s="77"/>
      <c r="Q305" s="141"/>
    </row>
    <row r="306" spans="1:17" s="75" customFormat="1" ht="15.75">
      <c r="A306" s="54"/>
      <c r="B306" s="76"/>
      <c r="C306" s="54"/>
      <c r="D306" s="54"/>
      <c r="E306" s="77"/>
      <c r="F306" s="78"/>
      <c r="G306" s="78"/>
      <c r="H306" s="78"/>
      <c r="I306" s="78"/>
      <c r="J306" s="77"/>
      <c r="K306" s="78"/>
      <c r="L306" s="78"/>
      <c r="M306" s="78"/>
      <c r="N306" s="78"/>
      <c r="O306" s="78"/>
      <c r="P306" s="77"/>
      <c r="Q306" s="141"/>
    </row>
    <row r="307" spans="1:17" s="75" customFormat="1" ht="15.75">
      <c r="A307" s="54"/>
      <c r="B307" s="76"/>
      <c r="C307" s="54"/>
      <c r="D307" s="54"/>
      <c r="E307" s="77"/>
      <c r="F307" s="78"/>
      <c r="G307" s="78"/>
      <c r="H307" s="78"/>
      <c r="I307" s="78"/>
      <c r="J307" s="77"/>
      <c r="K307" s="78"/>
      <c r="L307" s="78"/>
      <c r="M307" s="78"/>
      <c r="N307" s="78"/>
      <c r="O307" s="78"/>
      <c r="P307" s="77"/>
      <c r="Q307" s="141"/>
    </row>
    <row r="308" spans="1:17" s="75" customFormat="1" ht="15.75">
      <c r="A308" s="54"/>
      <c r="B308" s="76"/>
      <c r="C308" s="54"/>
      <c r="D308" s="54"/>
      <c r="E308" s="77"/>
      <c r="F308" s="78"/>
      <c r="G308" s="78"/>
      <c r="H308" s="78"/>
      <c r="I308" s="78"/>
      <c r="J308" s="77"/>
      <c r="K308" s="78"/>
      <c r="L308" s="78"/>
      <c r="M308" s="78"/>
      <c r="N308" s="78"/>
      <c r="O308" s="78"/>
      <c r="P308" s="77"/>
      <c r="Q308" s="141"/>
    </row>
    <row r="309" spans="1:17" s="75" customFormat="1" ht="15.75">
      <c r="A309" s="54"/>
      <c r="B309" s="76"/>
      <c r="C309" s="54"/>
      <c r="D309" s="54"/>
      <c r="E309" s="77"/>
      <c r="F309" s="78"/>
      <c r="G309" s="78"/>
      <c r="H309" s="78"/>
      <c r="I309" s="78"/>
      <c r="J309" s="77"/>
      <c r="K309" s="78"/>
      <c r="L309" s="78"/>
      <c r="M309" s="78"/>
      <c r="N309" s="78"/>
      <c r="O309" s="78"/>
      <c r="P309" s="77"/>
      <c r="Q309" s="141"/>
    </row>
    <row r="310" spans="1:17" s="75" customFormat="1" ht="15.75">
      <c r="A310" s="54"/>
      <c r="B310" s="76"/>
      <c r="C310" s="54"/>
      <c r="D310" s="54"/>
      <c r="E310" s="77"/>
      <c r="F310" s="78"/>
      <c r="G310" s="78"/>
      <c r="H310" s="78"/>
      <c r="I310" s="78"/>
      <c r="J310" s="77"/>
      <c r="K310" s="78"/>
      <c r="L310" s="78"/>
      <c r="M310" s="78"/>
      <c r="N310" s="78"/>
      <c r="O310" s="78"/>
      <c r="P310" s="77"/>
      <c r="Q310" s="141"/>
    </row>
    <row r="311" spans="1:17" s="75" customFormat="1" ht="15.75">
      <c r="A311" s="54"/>
      <c r="B311" s="76"/>
      <c r="C311" s="54"/>
      <c r="D311" s="54"/>
      <c r="E311" s="77"/>
      <c r="F311" s="78"/>
      <c r="G311" s="78"/>
      <c r="H311" s="78"/>
      <c r="I311" s="78"/>
      <c r="J311" s="77"/>
      <c r="K311" s="78"/>
      <c r="L311" s="78"/>
      <c r="M311" s="78"/>
      <c r="N311" s="78"/>
      <c r="O311" s="78"/>
      <c r="P311" s="77"/>
      <c r="Q311" s="141"/>
    </row>
    <row r="312" spans="1:17" s="75" customFormat="1" ht="15.75">
      <c r="A312" s="54"/>
      <c r="B312" s="76"/>
      <c r="C312" s="54"/>
      <c r="D312" s="54"/>
      <c r="E312" s="77"/>
      <c r="F312" s="78"/>
      <c r="G312" s="78"/>
      <c r="H312" s="78"/>
      <c r="I312" s="78"/>
      <c r="J312" s="77"/>
      <c r="K312" s="78"/>
      <c r="L312" s="78"/>
      <c r="M312" s="78"/>
      <c r="N312" s="78"/>
      <c r="O312" s="78"/>
      <c r="P312" s="77"/>
      <c r="Q312" s="141"/>
    </row>
    <row r="313" spans="1:17" s="75" customFormat="1" ht="15.75">
      <c r="A313" s="54"/>
      <c r="B313" s="76"/>
      <c r="C313" s="54"/>
      <c r="D313" s="54"/>
      <c r="E313" s="77"/>
      <c r="F313" s="78"/>
      <c r="G313" s="78"/>
      <c r="H313" s="78"/>
      <c r="I313" s="78"/>
      <c r="J313" s="77"/>
      <c r="K313" s="78"/>
      <c r="L313" s="78"/>
      <c r="M313" s="78"/>
      <c r="N313" s="78"/>
      <c r="O313" s="78"/>
      <c r="P313" s="77"/>
      <c r="Q313" s="141"/>
    </row>
    <row r="314" spans="1:17" s="75" customFormat="1" ht="15.75">
      <c r="A314" s="54"/>
      <c r="B314" s="76"/>
      <c r="C314" s="54"/>
      <c r="D314" s="54"/>
      <c r="E314" s="77"/>
      <c r="F314" s="78"/>
      <c r="G314" s="78"/>
      <c r="H314" s="78"/>
      <c r="I314" s="78"/>
      <c r="J314" s="77"/>
      <c r="K314" s="78"/>
      <c r="L314" s="78"/>
      <c r="M314" s="78"/>
      <c r="N314" s="78"/>
      <c r="O314" s="78"/>
      <c r="P314" s="77"/>
      <c r="Q314" s="141"/>
    </row>
    <row r="315" spans="1:17" s="75" customFormat="1" ht="15.75">
      <c r="A315" s="54"/>
      <c r="B315" s="76"/>
      <c r="C315" s="54"/>
      <c r="D315" s="54"/>
      <c r="E315" s="77"/>
      <c r="F315" s="78"/>
      <c r="G315" s="78"/>
      <c r="H315" s="78"/>
      <c r="I315" s="78"/>
      <c r="J315" s="77"/>
      <c r="K315" s="78"/>
      <c r="L315" s="78"/>
      <c r="M315" s="78"/>
      <c r="N315" s="78"/>
      <c r="O315" s="78"/>
      <c r="P315" s="77"/>
      <c r="Q315" s="141"/>
    </row>
    <row r="316" spans="1:17" s="75" customFormat="1" ht="15.75">
      <c r="A316" s="54"/>
      <c r="B316" s="76"/>
      <c r="C316" s="54"/>
      <c r="D316" s="54"/>
      <c r="E316" s="77"/>
      <c r="F316" s="78"/>
      <c r="G316" s="78"/>
      <c r="H316" s="78"/>
      <c r="I316" s="78"/>
      <c r="J316" s="77"/>
      <c r="K316" s="78"/>
      <c r="L316" s="78"/>
      <c r="M316" s="78"/>
      <c r="N316" s="78"/>
      <c r="O316" s="78"/>
      <c r="P316" s="77"/>
      <c r="Q316" s="141"/>
    </row>
    <row r="317" spans="1:17" s="75" customFormat="1" ht="15.75">
      <c r="A317" s="54"/>
      <c r="B317" s="76"/>
      <c r="C317" s="54"/>
      <c r="D317" s="54"/>
      <c r="E317" s="77"/>
      <c r="F317" s="78"/>
      <c r="G317" s="78"/>
      <c r="H317" s="78"/>
      <c r="I317" s="78"/>
      <c r="J317" s="77"/>
      <c r="K317" s="78"/>
      <c r="L317" s="78"/>
      <c r="M317" s="78"/>
      <c r="N317" s="78"/>
      <c r="O317" s="78"/>
      <c r="P317" s="77"/>
      <c r="Q317" s="141"/>
    </row>
    <row r="318" spans="1:17" s="75" customFormat="1" ht="15.75">
      <c r="A318" s="54"/>
      <c r="B318" s="76"/>
      <c r="C318" s="54"/>
      <c r="D318" s="54"/>
      <c r="E318" s="77"/>
      <c r="F318" s="78"/>
      <c r="G318" s="78"/>
      <c r="H318" s="78"/>
      <c r="I318" s="78"/>
      <c r="J318" s="77"/>
      <c r="K318" s="78"/>
      <c r="L318" s="78"/>
      <c r="M318" s="78"/>
      <c r="N318" s="78"/>
      <c r="O318" s="78"/>
      <c r="P318" s="77"/>
      <c r="Q318" s="141"/>
    </row>
    <row r="319" spans="1:17" s="75" customFormat="1" ht="15.75">
      <c r="A319" s="54"/>
      <c r="B319" s="76"/>
      <c r="C319" s="54"/>
      <c r="D319" s="54"/>
      <c r="E319" s="77"/>
      <c r="F319" s="78"/>
      <c r="G319" s="78"/>
      <c r="H319" s="78"/>
      <c r="I319" s="78"/>
      <c r="J319" s="77"/>
      <c r="K319" s="78"/>
      <c r="L319" s="78"/>
      <c r="M319" s="78"/>
      <c r="N319" s="78"/>
      <c r="O319" s="78"/>
      <c r="P319" s="77"/>
      <c r="Q319" s="141"/>
    </row>
    <row r="320" spans="1:17" s="75" customFormat="1" ht="15.75">
      <c r="A320" s="54"/>
      <c r="B320" s="76"/>
      <c r="C320" s="54"/>
      <c r="D320" s="54"/>
      <c r="E320" s="77"/>
      <c r="F320" s="78"/>
      <c r="G320" s="78"/>
      <c r="H320" s="78"/>
      <c r="I320" s="78"/>
      <c r="J320" s="77"/>
      <c r="K320" s="78"/>
      <c r="L320" s="78"/>
      <c r="M320" s="78"/>
      <c r="N320" s="78"/>
      <c r="O320" s="78"/>
      <c r="P320" s="77"/>
      <c r="Q320" s="141"/>
    </row>
    <row r="321" spans="1:17" s="75" customFormat="1" ht="15.75">
      <c r="A321" s="54"/>
      <c r="B321" s="76"/>
      <c r="C321" s="54"/>
      <c r="D321" s="54"/>
      <c r="E321" s="77"/>
      <c r="F321" s="78"/>
      <c r="G321" s="78"/>
      <c r="H321" s="78"/>
      <c r="I321" s="78"/>
      <c r="J321" s="77"/>
      <c r="K321" s="78"/>
      <c r="L321" s="78"/>
      <c r="M321" s="78"/>
      <c r="N321" s="78"/>
      <c r="O321" s="78"/>
      <c r="P321" s="77"/>
      <c r="Q321" s="141"/>
    </row>
    <row r="322" spans="1:17" s="75" customFormat="1" ht="15.75">
      <c r="A322" s="54"/>
      <c r="B322" s="76"/>
      <c r="C322" s="54"/>
      <c r="D322" s="54"/>
      <c r="E322" s="77"/>
      <c r="F322" s="78"/>
      <c r="G322" s="78"/>
      <c r="H322" s="78"/>
      <c r="I322" s="78"/>
      <c r="J322" s="77"/>
      <c r="K322" s="78"/>
      <c r="L322" s="78"/>
      <c r="M322" s="78"/>
      <c r="N322" s="78"/>
      <c r="O322" s="78"/>
      <c r="P322" s="77"/>
      <c r="Q322" s="141"/>
    </row>
    <row r="323" spans="1:17" s="75" customFormat="1" ht="15.75">
      <c r="A323" s="54"/>
      <c r="B323" s="76"/>
      <c r="C323" s="54"/>
      <c r="D323" s="54"/>
      <c r="E323" s="77"/>
      <c r="F323" s="78"/>
      <c r="G323" s="78"/>
      <c r="H323" s="78"/>
      <c r="I323" s="78"/>
      <c r="J323" s="77"/>
      <c r="K323" s="78"/>
      <c r="L323" s="78"/>
      <c r="M323" s="78"/>
      <c r="N323" s="78"/>
      <c r="O323" s="78"/>
      <c r="P323" s="77"/>
      <c r="Q323" s="141"/>
    </row>
    <row r="324" spans="1:17" s="75" customFormat="1" ht="15.75">
      <c r="A324" s="54"/>
      <c r="B324" s="76"/>
      <c r="C324" s="54"/>
      <c r="D324" s="54"/>
      <c r="E324" s="77"/>
      <c r="F324" s="78"/>
      <c r="G324" s="78"/>
      <c r="H324" s="78"/>
      <c r="I324" s="78"/>
      <c r="J324" s="77"/>
      <c r="K324" s="78"/>
      <c r="L324" s="78"/>
      <c r="M324" s="78"/>
      <c r="N324" s="78"/>
      <c r="O324" s="78"/>
      <c r="P324" s="77"/>
      <c r="Q324" s="141"/>
    </row>
    <row r="325" spans="1:17" s="75" customFormat="1" ht="15.75">
      <c r="A325" s="54"/>
      <c r="B325" s="76"/>
      <c r="C325" s="54"/>
      <c r="D325" s="54"/>
      <c r="E325" s="77"/>
      <c r="F325" s="78"/>
      <c r="G325" s="78"/>
      <c r="H325" s="78"/>
      <c r="I325" s="78"/>
      <c r="J325" s="77"/>
      <c r="K325" s="78"/>
      <c r="L325" s="78"/>
      <c r="M325" s="78"/>
      <c r="N325" s="78"/>
      <c r="O325" s="78"/>
      <c r="P325" s="77"/>
      <c r="Q325" s="141"/>
    </row>
    <row r="326" spans="1:17" s="75" customFormat="1" ht="15.75">
      <c r="A326" s="54"/>
      <c r="B326" s="76"/>
      <c r="C326" s="54"/>
      <c r="D326" s="54"/>
      <c r="E326" s="77"/>
      <c r="F326" s="78"/>
      <c r="G326" s="78"/>
      <c r="H326" s="78"/>
      <c r="I326" s="78"/>
      <c r="J326" s="77"/>
      <c r="K326" s="78"/>
      <c r="L326" s="78"/>
      <c r="M326" s="78"/>
      <c r="N326" s="78"/>
      <c r="O326" s="78"/>
      <c r="P326" s="77"/>
      <c r="Q326" s="141"/>
    </row>
    <row r="327" spans="1:17" s="75" customFormat="1" ht="15.75">
      <c r="A327" s="54"/>
      <c r="B327" s="76"/>
      <c r="C327" s="54"/>
      <c r="D327" s="54"/>
      <c r="E327" s="77"/>
      <c r="F327" s="78"/>
      <c r="G327" s="78"/>
      <c r="H327" s="78"/>
      <c r="I327" s="78"/>
      <c r="J327" s="77"/>
      <c r="K327" s="78"/>
      <c r="L327" s="78"/>
      <c r="M327" s="78"/>
      <c r="N327" s="78"/>
      <c r="O327" s="78"/>
      <c r="P327" s="77"/>
      <c r="Q327" s="141"/>
    </row>
    <row r="328" spans="1:17" s="75" customFormat="1" ht="15.75">
      <c r="A328" s="54"/>
      <c r="B328" s="76"/>
      <c r="C328" s="54"/>
      <c r="D328" s="54"/>
      <c r="E328" s="77"/>
      <c r="F328" s="78"/>
      <c r="G328" s="78"/>
      <c r="H328" s="78"/>
      <c r="I328" s="78"/>
      <c r="J328" s="77"/>
      <c r="K328" s="78"/>
      <c r="L328" s="78"/>
      <c r="M328" s="78"/>
      <c r="N328" s="78"/>
      <c r="O328" s="78"/>
      <c r="P328" s="77"/>
      <c r="Q328" s="141"/>
    </row>
    <row r="329" spans="1:17" s="75" customFormat="1" ht="15.75">
      <c r="A329" s="54"/>
      <c r="B329" s="76"/>
      <c r="C329" s="54"/>
      <c r="D329" s="54"/>
      <c r="E329" s="77"/>
      <c r="F329" s="78"/>
      <c r="G329" s="78"/>
      <c r="H329" s="78"/>
      <c r="I329" s="78"/>
      <c r="J329" s="77"/>
      <c r="K329" s="78"/>
      <c r="L329" s="78"/>
      <c r="M329" s="78"/>
      <c r="N329" s="78"/>
      <c r="O329" s="78"/>
      <c r="P329" s="77"/>
      <c r="Q329" s="141"/>
    </row>
    <row r="330" spans="1:17" s="75" customFormat="1" ht="15.75">
      <c r="A330" s="54"/>
      <c r="B330" s="76"/>
      <c r="C330" s="54"/>
      <c r="D330" s="54"/>
      <c r="E330" s="77"/>
      <c r="F330" s="78"/>
      <c r="G330" s="78"/>
      <c r="H330" s="78"/>
      <c r="I330" s="78"/>
      <c r="J330" s="77"/>
      <c r="K330" s="78"/>
      <c r="L330" s="78"/>
      <c r="M330" s="78"/>
      <c r="N330" s="78"/>
      <c r="O330" s="78"/>
      <c r="P330" s="77"/>
      <c r="Q330" s="141"/>
    </row>
    <row r="331" spans="1:17" s="75" customFormat="1" ht="15.75">
      <c r="A331" s="54"/>
      <c r="B331" s="76"/>
      <c r="C331" s="54"/>
      <c r="D331" s="54"/>
      <c r="E331" s="77"/>
      <c r="F331" s="78"/>
      <c r="G331" s="78"/>
      <c r="H331" s="78"/>
      <c r="I331" s="78"/>
      <c r="J331" s="77"/>
      <c r="K331" s="78"/>
      <c r="L331" s="78"/>
      <c r="M331" s="78"/>
      <c r="N331" s="78"/>
      <c r="O331" s="78"/>
      <c r="P331" s="77"/>
      <c r="Q331" s="141"/>
    </row>
    <row r="332" spans="1:17" s="75" customFormat="1" ht="15.75">
      <c r="A332" s="54"/>
      <c r="B332" s="76"/>
      <c r="C332" s="54"/>
      <c r="D332" s="54"/>
      <c r="E332" s="77"/>
      <c r="F332" s="78"/>
      <c r="G332" s="78"/>
      <c r="H332" s="78"/>
      <c r="I332" s="78"/>
      <c r="J332" s="77"/>
      <c r="K332" s="78"/>
      <c r="L332" s="78"/>
      <c r="M332" s="78"/>
      <c r="N332" s="78"/>
      <c r="O332" s="78"/>
      <c r="P332" s="77"/>
      <c r="Q332" s="141"/>
    </row>
    <row r="333" spans="1:17" s="75" customFormat="1" ht="15.75">
      <c r="A333" s="54"/>
      <c r="B333" s="76"/>
      <c r="C333" s="54"/>
      <c r="D333" s="54"/>
      <c r="E333" s="77"/>
      <c r="F333" s="78"/>
      <c r="G333" s="78"/>
      <c r="H333" s="78"/>
      <c r="I333" s="78"/>
      <c r="J333" s="77"/>
      <c r="K333" s="78"/>
      <c r="L333" s="78"/>
      <c r="M333" s="78"/>
      <c r="N333" s="78"/>
      <c r="O333" s="78"/>
      <c r="P333" s="77"/>
      <c r="Q333" s="141"/>
    </row>
    <row r="334" spans="1:17" s="75" customFormat="1" ht="15.75">
      <c r="A334" s="54"/>
      <c r="B334" s="76"/>
      <c r="C334" s="54"/>
      <c r="D334" s="54"/>
      <c r="E334" s="77"/>
      <c r="F334" s="78"/>
      <c r="G334" s="78"/>
      <c r="H334" s="78"/>
      <c r="I334" s="78"/>
      <c r="J334" s="77"/>
      <c r="K334" s="78"/>
      <c r="L334" s="78"/>
      <c r="M334" s="78"/>
      <c r="N334" s="78"/>
      <c r="O334" s="78"/>
      <c r="P334" s="77"/>
      <c r="Q334" s="141"/>
    </row>
    <row r="335" spans="1:17" s="75" customFormat="1" ht="15.75">
      <c r="A335" s="54"/>
      <c r="B335" s="76"/>
      <c r="C335" s="54"/>
      <c r="D335" s="54"/>
      <c r="E335" s="77"/>
      <c r="F335" s="78"/>
      <c r="G335" s="78"/>
      <c r="H335" s="78"/>
      <c r="I335" s="78"/>
      <c r="J335" s="77"/>
      <c r="K335" s="78"/>
      <c r="L335" s="78"/>
      <c r="M335" s="78"/>
      <c r="N335" s="78"/>
      <c r="O335" s="78"/>
      <c r="P335" s="77"/>
      <c r="Q335" s="141"/>
    </row>
    <row r="336" spans="1:17" s="75" customFormat="1" ht="15.75">
      <c r="A336" s="54"/>
      <c r="B336" s="76"/>
      <c r="C336" s="54"/>
      <c r="D336" s="54"/>
      <c r="E336" s="77"/>
      <c r="F336" s="78"/>
      <c r="G336" s="78"/>
      <c r="H336" s="78"/>
      <c r="I336" s="78"/>
      <c r="J336" s="77"/>
      <c r="K336" s="78"/>
      <c r="L336" s="78"/>
      <c r="M336" s="78"/>
      <c r="N336" s="78"/>
      <c r="O336" s="78"/>
      <c r="P336" s="77"/>
      <c r="Q336" s="141"/>
    </row>
    <row r="337" spans="1:17" s="75" customFormat="1" ht="15.75">
      <c r="A337" s="54"/>
      <c r="B337" s="76"/>
      <c r="C337" s="54"/>
      <c r="D337" s="54"/>
      <c r="E337" s="77"/>
      <c r="F337" s="78"/>
      <c r="G337" s="78"/>
      <c r="H337" s="78"/>
      <c r="I337" s="78"/>
      <c r="J337" s="77"/>
      <c r="K337" s="78"/>
      <c r="L337" s="78"/>
      <c r="M337" s="78"/>
      <c r="N337" s="78"/>
      <c r="O337" s="78"/>
      <c r="P337" s="77"/>
      <c r="Q337" s="141"/>
    </row>
    <row r="338" spans="1:17" s="75" customFormat="1" ht="15.75">
      <c r="A338" s="54"/>
      <c r="B338" s="76"/>
      <c r="C338" s="54"/>
      <c r="D338" s="54"/>
      <c r="E338" s="77"/>
      <c r="F338" s="78"/>
      <c r="G338" s="78"/>
      <c r="H338" s="78"/>
      <c r="I338" s="78"/>
      <c r="J338" s="77"/>
      <c r="K338" s="78"/>
      <c r="L338" s="78"/>
      <c r="M338" s="78"/>
      <c r="N338" s="78"/>
      <c r="O338" s="78"/>
      <c r="P338" s="77"/>
      <c r="Q338" s="141"/>
    </row>
    <row r="339" spans="1:17" s="75" customFormat="1" ht="15.75">
      <c r="A339" s="54"/>
      <c r="B339" s="76"/>
      <c r="C339" s="54"/>
      <c r="D339" s="54"/>
      <c r="E339" s="77"/>
      <c r="F339" s="78"/>
      <c r="G339" s="78"/>
      <c r="H339" s="78"/>
      <c r="I339" s="78"/>
      <c r="J339" s="77"/>
      <c r="K339" s="78"/>
      <c r="L339" s="78"/>
      <c r="M339" s="78"/>
      <c r="N339" s="78"/>
      <c r="O339" s="78"/>
      <c r="P339" s="77"/>
      <c r="Q339" s="141"/>
    </row>
    <row r="340" spans="1:17" s="75" customFormat="1" ht="15.75">
      <c r="A340" s="54"/>
      <c r="B340" s="76"/>
      <c r="C340" s="54"/>
      <c r="D340" s="54"/>
      <c r="E340" s="77"/>
      <c r="F340" s="78"/>
      <c r="G340" s="78"/>
      <c r="H340" s="78"/>
      <c r="I340" s="78"/>
      <c r="J340" s="77"/>
      <c r="K340" s="78"/>
      <c r="L340" s="78"/>
      <c r="M340" s="78"/>
      <c r="N340" s="78"/>
      <c r="O340" s="78"/>
      <c r="P340" s="77"/>
      <c r="Q340" s="141"/>
    </row>
    <row r="341" spans="1:17" s="75" customFormat="1" ht="15.75">
      <c r="A341" s="54"/>
      <c r="B341" s="76"/>
      <c r="C341" s="54"/>
      <c r="D341" s="54"/>
      <c r="E341" s="77"/>
      <c r="F341" s="78"/>
      <c r="G341" s="78"/>
      <c r="H341" s="78"/>
      <c r="I341" s="78"/>
      <c r="J341" s="77"/>
      <c r="K341" s="78"/>
      <c r="L341" s="78"/>
      <c r="M341" s="78"/>
      <c r="N341" s="78"/>
      <c r="O341" s="78"/>
      <c r="P341" s="77"/>
      <c r="Q341" s="141"/>
    </row>
    <row r="342" spans="1:17" s="75" customFormat="1" ht="15.75">
      <c r="A342" s="54"/>
      <c r="B342" s="76"/>
      <c r="C342" s="54"/>
      <c r="D342" s="54"/>
      <c r="E342" s="77"/>
      <c r="F342" s="78"/>
      <c r="G342" s="78"/>
      <c r="H342" s="78"/>
      <c r="I342" s="78"/>
      <c r="J342" s="77"/>
      <c r="K342" s="78"/>
      <c r="L342" s="78"/>
      <c r="M342" s="78"/>
      <c r="N342" s="78"/>
      <c r="O342" s="78"/>
      <c r="P342" s="77"/>
      <c r="Q342" s="141"/>
    </row>
    <row r="343" spans="1:17" s="75" customFormat="1" ht="15.75">
      <c r="A343" s="54"/>
      <c r="B343" s="76"/>
      <c r="C343" s="54"/>
      <c r="D343" s="54"/>
      <c r="E343" s="77"/>
      <c r="F343" s="78"/>
      <c r="G343" s="78"/>
      <c r="H343" s="78"/>
      <c r="I343" s="78"/>
      <c r="J343" s="77"/>
      <c r="K343" s="78"/>
      <c r="L343" s="78"/>
      <c r="M343" s="78"/>
      <c r="N343" s="78"/>
      <c r="O343" s="78"/>
      <c r="P343" s="77"/>
      <c r="Q343" s="141"/>
    </row>
    <row r="344" spans="1:17" s="75" customFormat="1" ht="15.75">
      <c r="A344" s="54"/>
      <c r="B344" s="76"/>
      <c r="C344" s="54"/>
      <c r="D344" s="54"/>
      <c r="E344" s="77"/>
      <c r="F344" s="78"/>
      <c r="G344" s="78"/>
      <c r="H344" s="78"/>
      <c r="I344" s="78"/>
      <c r="J344" s="77"/>
      <c r="K344" s="78"/>
      <c r="L344" s="78"/>
      <c r="M344" s="78"/>
      <c r="N344" s="78"/>
      <c r="O344" s="78"/>
      <c r="P344" s="77"/>
      <c r="Q344" s="141"/>
    </row>
    <row r="345" spans="1:17" s="75" customFormat="1" ht="15.75">
      <c r="A345" s="54"/>
      <c r="B345" s="76"/>
      <c r="C345" s="54"/>
      <c r="D345" s="54"/>
      <c r="E345" s="77"/>
      <c r="F345" s="78"/>
      <c r="G345" s="78"/>
      <c r="H345" s="78"/>
      <c r="I345" s="78"/>
      <c r="J345" s="77"/>
      <c r="K345" s="78"/>
      <c r="L345" s="78"/>
      <c r="M345" s="78"/>
      <c r="N345" s="78"/>
      <c r="O345" s="78"/>
      <c r="P345" s="77"/>
      <c r="Q345" s="141"/>
    </row>
    <row r="346" spans="1:17" s="75" customFormat="1" ht="15.75">
      <c r="A346" s="54"/>
      <c r="B346" s="76"/>
      <c r="C346" s="54"/>
      <c r="D346" s="54"/>
      <c r="E346" s="77"/>
      <c r="F346" s="78"/>
      <c r="G346" s="78"/>
      <c r="H346" s="78"/>
      <c r="I346" s="78"/>
      <c r="J346" s="77"/>
      <c r="K346" s="78"/>
      <c r="L346" s="78"/>
      <c r="M346" s="78"/>
      <c r="N346" s="78"/>
      <c r="O346" s="78"/>
      <c r="P346" s="77"/>
      <c r="Q346" s="141"/>
    </row>
    <row r="347" spans="1:17" s="75" customFormat="1" ht="15.75">
      <c r="A347" s="54"/>
      <c r="B347" s="76"/>
      <c r="C347" s="54"/>
      <c r="D347" s="54"/>
      <c r="E347" s="77"/>
      <c r="F347" s="78"/>
      <c r="G347" s="78"/>
      <c r="H347" s="78"/>
      <c r="I347" s="78"/>
      <c r="J347" s="77"/>
      <c r="K347" s="78"/>
      <c r="L347" s="78"/>
      <c r="M347" s="78"/>
      <c r="N347" s="78"/>
      <c r="O347" s="78"/>
      <c r="P347" s="77"/>
      <c r="Q347" s="141"/>
    </row>
    <row r="348" spans="1:17" s="75" customFormat="1" ht="15.75">
      <c r="A348" s="54"/>
      <c r="B348" s="76"/>
      <c r="C348" s="54"/>
      <c r="D348" s="54"/>
      <c r="E348" s="77"/>
      <c r="F348" s="78"/>
      <c r="G348" s="78"/>
      <c r="H348" s="78"/>
      <c r="I348" s="78"/>
      <c r="J348" s="77"/>
      <c r="K348" s="78"/>
      <c r="L348" s="78"/>
      <c r="M348" s="78"/>
      <c r="N348" s="78"/>
      <c r="O348" s="78"/>
      <c r="P348" s="77"/>
      <c r="Q348" s="141"/>
    </row>
    <row r="349" spans="1:17" s="75" customFormat="1" ht="15.75">
      <c r="A349" s="54"/>
      <c r="B349" s="76"/>
      <c r="C349" s="54"/>
      <c r="D349" s="54"/>
      <c r="E349" s="77"/>
      <c r="F349" s="78"/>
      <c r="G349" s="78"/>
      <c r="H349" s="78"/>
      <c r="I349" s="78"/>
      <c r="J349" s="77"/>
      <c r="K349" s="78"/>
      <c r="L349" s="78"/>
      <c r="M349" s="78"/>
      <c r="N349" s="78"/>
      <c r="O349" s="78"/>
      <c r="P349" s="77"/>
      <c r="Q349" s="141"/>
    </row>
    <row r="350" spans="1:17" s="75" customFormat="1" ht="15.75">
      <c r="A350" s="54"/>
      <c r="B350" s="76"/>
      <c r="C350" s="54"/>
      <c r="D350" s="54"/>
      <c r="E350" s="77"/>
      <c r="F350" s="78"/>
      <c r="G350" s="78"/>
      <c r="H350" s="78"/>
      <c r="I350" s="78"/>
      <c r="J350" s="77"/>
      <c r="K350" s="78"/>
      <c r="L350" s="78"/>
      <c r="M350" s="78"/>
      <c r="N350" s="78"/>
      <c r="O350" s="78"/>
      <c r="P350" s="77"/>
      <c r="Q350" s="141"/>
    </row>
    <row r="351" spans="1:17" s="75" customFormat="1" ht="15.75">
      <c r="A351" s="54"/>
      <c r="B351" s="76"/>
      <c r="C351" s="54"/>
      <c r="D351" s="54"/>
      <c r="E351" s="77"/>
      <c r="F351" s="78"/>
      <c r="G351" s="78"/>
      <c r="H351" s="78"/>
      <c r="I351" s="78"/>
      <c r="J351" s="77"/>
      <c r="K351" s="78"/>
      <c r="L351" s="78"/>
      <c r="M351" s="78"/>
      <c r="N351" s="78"/>
      <c r="O351" s="78"/>
      <c r="P351" s="77"/>
      <c r="Q351" s="141"/>
    </row>
    <row r="352" spans="1:17" s="75" customFormat="1" ht="15.75">
      <c r="A352" s="54"/>
      <c r="B352" s="76"/>
      <c r="C352" s="54"/>
      <c r="D352" s="54"/>
      <c r="E352" s="77"/>
      <c r="F352" s="78"/>
      <c r="G352" s="78"/>
      <c r="H352" s="78"/>
      <c r="I352" s="78"/>
      <c r="J352" s="77"/>
      <c r="K352" s="78"/>
      <c r="L352" s="78"/>
      <c r="M352" s="78"/>
      <c r="N352" s="78"/>
      <c r="O352" s="78"/>
      <c r="P352" s="77"/>
      <c r="Q352" s="141"/>
    </row>
    <row r="353" spans="1:17" s="75" customFormat="1" ht="15.75">
      <c r="A353" s="54"/>
      <c r="B353" s="76"/>
      <c r="C353" s="54"/>
      <c r="D353" s="54"/>
      <c r="E353" s="77"/>
      <c r="F353" s="78"/>
      <c r="G353" s="78"/>
      <c r="H353" s="78"/>
      <c r="I353" s="78"/>
      <c r="J353" s="77"/>
      <c r="K353" s="78"/>
      <c r="L353" s="78"/>
      <c r="M353" s="78"/>
      <c r="N353" s="78"/>
      <c r="O353" s="78"/>
      <c r="P353" s="77"/>
      <c r="Q353" s="141"/>
    </row>
    <row r="354" spans="1:17" s="75" customFormat="1" ht="15.75">
      <c r="A354" s="54"/>
      <c r="B354" s="76"/>
      <c r="C354" s="54"/>
      <c r="D354" s="54"/>
      <c r="E354" s="77"/>
      <c r="F354" s="78"/>
      <c r="G354" s="78"/>
      <c r="H354" s="78"/>
      <c r="I354" s="78"/>
      <c r="J354" s="77"/>
      <c r="K354" s="78"/>
      <c r="L354" s="78"/>
      <c r="M354" s="78"/>
      <c r="N354" s="78"/>
      <c r="O354" s="78"/>
      <c r="P354" s="77"/>
      <c r="Q354" s="141"/>
    </row>
    <row r="355" spans="1:17" s="75" customFormat="1" ht="15.75">
      <c r="A355" s="54"/>
      <c r="B355" s="76"/>
      <c r="C355" s="54"/>
      <c r="D355" s="54"/>
      <c r="E355" s="77"/>
      <c r="F355" s="78"/>
      <c r="G355" s="78"/>
      <c r="H355" s="78"/>
      <c r="I355" s="78"/>
      <c r="J355" s="77"/>
      <c r="K355" s="78"/>
      <c r="L355" s="78"/>
      <c r="M355" s="78"/>
      <c r="N355" s="78"/>
      <c r="O355" s="78"/>
      <c r="P355" s="77"/>
      <c r="Q355" s="141"/>
    </row>
    <row r="356" spans="1:17" s="75" customFormat="1" ht="15.75">
      <c r="A356" s="54"/>
      <c r="B356" s="76"/>
      <c r="C356" s="54"/>
      <c r="D356" s="54"/>
      <c r="E356" s="77"/>
      <c r="F356" s="78"/>
      <c r="G356" s="78"/>
      <c r="H356" s="78"/>
      <c r="I356" s="78"/>
      <c r="J356" s="77"/>
      <c r="K356" s="78"/>
      <c r="L356" s="78"/>
      <c r="M356" s="78"/>
      <c r="N356" s="78"/>
      <c r="O356" s="78"/>
      <c r="P356" s="77"/>
      <c r="Q356" s="141"/>
    </row>
    <row r="357" spans="1:17" s="75" customFormat="1" ht="15.75">
      <c r="A357" s="54"/>
      <c r="B357" s="76"/>
      <c r="C357" s="54"/>
      <c r="D357" s="54"/>
      <c r="E357" s="77"/>
      <c r="F357" s="78"/>
      <c r="G357" s="78"/>
      <c r="H357" s="78"/>
      <c r="I357" s="78"/>
      <c r="J357" s="77"/>
      <c r="K357" s="78"/>
      <c r="L357" s="78"/>
      <c r="M357" s="78"/>
      <c r="N357" s="78"/>
      <c r="O357" s="78"/>
      <c r="P357" s="77"/>
      <c r="Q357" s="141"/>
    </row>
    <row r="358" spans="1:17" s="75" customFormat="1" ht="15.75">
      <c r="A358" s="54"/>
      <c r="B358" s="76"/>
      <c r="C358" s="54"/>
      <c r="D358" s="54"/>
      <c r="E358" s="77"/>
      <c r="F358" s="78"/>
      <c r="G358" s="78"/>
      <c r="H358" s="78"/>
      <c r="I358" s="78"/>
      <c r="J358" s="77"/>
      <c r="K358" s="78"/>
      <c r="L358" s="78"/>
      <c r="M358" s="78"/>
      <c r="N358" s="78"/>
      <c r="O358" s="78"/>
      <c r="P358" s="77"/>
      <c r="Q358" s="141"/>
    </row>
    <row r="359" spans="1:17" s="75" customFormat="1" ht="15.75">
      <c r="A359" s="54"/>
      <c r="B359" s="76"/>
      <c r="C359" s="54"/>
      <c r="D359" s="54"/>
      <c r="E359" s="77"/>
      <c r="F359" s="78"/>
      <c r="G359" s="78"/>
      <c r="H359" s="78"/>
      <c r="I359" s="78"/>
      <c r="J359" s="77"/>
      <c r="K359" s="78"/>
      <c r="L359" s="78"/>
      <c r="M359" s="78"/>
      <c r="N359" s="78"/>
      <c r="O359" s="78"/>
      <c r="P359" s="77"/>
      <c r="Q359" s="141"/>
    </row>
    <row r="360" spans="1:17" s="75" customFormat="1" ht="15.75">
      <c r="A360" s="54"/>
      <c r="B360" s="76"/>
      <c r="C360" s="54"/>
      <c r="D360" s="54"/>
      <c r="E360" s="77"/>
      <c r="F360" s="78"/>
      <c r="G360" s="78"/>
      <c r="H360" s="78"/>
      <c r="I360" s="78"/>
      <c r="J360" s="77"/>
      <c r="K360" s="78"/>
      <c r="L360" s="78"/>
      <c r="M360" s="78"/>
      <c r="N360" s="78"/>
      <c r="O360" s="78"/>
      <c r="P360" s="77"/>
      <c r="Q360" s="141"/>
    </row>
    <row r="361" spans="1:17" s="75" customFormat="1" ht="15.75">
      <c r="A361" s="54"/>
      <c r="B361" s="76"/>
      <c r="C361" s="54"/>
      <c r="D361" s="54"/>
      <c r="E361" s="77"/>
      <c r="F361" s="78"/>
      <c r="G361" s="78"/>
      <c r="H361" s="78"/>
      <c r="I361" s="78"/>
      <c r="J361" s="77"/>
      <c r="K361" s="78"/>
      <c r="L361" s="78"/>
      <c r="M361" s="78"/>
      <c r="N361" s="78"/>
      <c r="O361" s="78"/>
      <c r="P361" s="77"/>
      <c r="Q361" s="141"/>
    </row>
    <row r="362" spans="1:17" s="75" customFormat="1" ht="15.75">
      <c r="A362" s="54"/>
      <c r="B362" s="76"/>
      <c r="C362" s="54"/>
      <c r="D362" s="54"/>
      <c r="E362" s="77"/>
      <c r="F362" s="78"/>
      <c r="G362" s="78"/>
      <c r="H362" s="78"/>
      <c r="I362" s="78"/>
      <c r="J362" s="77"/>
      <c r="K362" s="78"/>
      <c r="L362" s="78"/>
      <c r="M362" s="78"/>
      <c r="N362" s="78"/>
      <c r="O362" s="78"/>
      <c r="P362" s="77"/>
      <c r="Q362" s="141"/>
    </row>
    <row r="363" spans="1:17" s="75" customFormat="1" ht="15.75">
      <c r="A363" s="54"/>
      <c r="B363" s="76"/>
      <c r="C363" s="54"/>
      <c r="D363" s="54"/>
      <c r="E363" s="77"/>
      <c r="F363" s="78"/>
      <c r="G363" s="78"/>
      <c r="H363" s="78"/>
      <c r="I363" s="78"/>
      <c r="J363" s="77"/>
      <c r="K363" s="78"/>
      <c r="L363" s="78"/>
      <c r="M363" s="78"/>
      <c r="N363" s="78"/>
      <c r="O363" s="78"/>
      <c r="P363" s="77"/>
      <c r="Q363" s="141"/>
    </row>
    <row r="364" spans="1:17" s="75" customFormat="1" ht="15.75">
      <c r="A364" s="54"/>
      <c r="B364" s="76"/>
      <c r="C364" s="54"/>
      <c r="D364" s="54"/>
      <c r="E364" s="77"/>
      <c r="F364" s="78"/>
      <c r="G364" s="78"/>
      <c r="H364" s="78"/>
      <c r="I364" s="78"/>
      <c r="J364" s="77"/>
      <c r="K364" s="78"/>
      <c r="L364" s="78"/>
      <c r="M364" s="78"/>
      <c r="N364" s="78"/>
      <c r="O364" s="78"/>
      <c r="P364" s="77"/>
      <c r="Q364" s="141"/>
    </row>
    <row r="365" spans="1:17" s="75" customFormat="1" ht="15.75">
      <c r="A365" s="54"/>
      <c r="B365" s="76"/>
      <c r="C365" s="54"/>
      <c r="D365" s="54"/>
      <c r="E365" s="77"/>
      <c r="F365" s="78"/>
      <c r="G365" s="78"/>
      <c r="H365" s="78"/>
      <c r="I365" s="78"/>
      <c r="J365" s="77"/>
      <c r="K365" s="78"/>
      <c r="L365" s="78"/>
      <c r="M365" s="78"/>
      <c r="N365" s="78"/>
      <c r="O365" s="78"/>
      <c r="P365" s="77"/>
      <c r="Q365" s="141"/>
    </row>
    <row r="366" spans="1:17" s="75" customFormat="1" ht="15.75">
      <c r="A366" s="54"/>
      <c r="B366" s="76"/>
      <c r="C366" s="54"/>
      <c r="D366" s="54"/>
      <c r="E366" s="77"/>
      <c r="F366" s="78"/>
      <c r="G366" s="78"/>
      <c r="H366" s="78"/>
      <c r="I366" s="78"/>
      <c r="J366" s="77"/>
      <c r="K366" s="78"/>
      <c r="L366" s="78"/>
      <c r="M366" s="78"/>
      <c r="N366" s="78"/>
      <c r="O366" s="78"/>
      <c r="P366" s="77"/>
      <c r="Q366" s="141"/>
    </row>
    <row r="367" spans="1:17" s="75" customFormat="1" ht="15.75">
      <c r="A367" s="54"/>
      <c r="B367" s="76"/>
      <c r="C367" s="54"/>
      <c r="D367" s="54"/>
      <c r="E367" s="77"/>
      <c r="F367" s="78"/>
      <c r="G367" s="78"/>
      <c r="H367" s="78"/>
      <c r="I367" s="78"/>
      <c r="J367" s="77"/>
      <c r="K367" s="78"/>
      <c r="L367" s="78"/>
      <c r="M367" s="78"/>
      <c r="N367" s="78"/>
      <c r="O367" s="78"/>
      <c r="P367" s="77"/>
      <c r="Q367" s="141"/>
    </row>
    <row r="368" spans="1:17" s="75" customFormat="1" ht="15.75">
      <c r="A368" s="54"/>
      <c r="B368" s="76"/>
      <c r="C368" s="54"/>
      <c r="D368" s="54"/>
      <c r="E368" s="77"/>
      <c r="F368" s="78"/>
      <c r="G368" s="78"/>
      <c r="H368" s="78"/>
      <c r="I368" s="78"/>
      <c r="J368" s="77"/>
      <c r="K368" s="78"/>
      <c r="L368" s="78"/>
      <c r="M368" s="78"/>
      <c r="N368" s="78"/>
      <c r="O368" s="78"/>
      <c r="P368" s="77"/>
      <c r="Q368" s="141"/>
    </row>
    <row r="369" spans="1:17" s="75" customFormat="1" ht="15.75">
      <c r="A369" s="54"/>
      <c r="B369" s="76"/>
      <c r="C369" s="54"/>
      <c r="D369" s="54"/>
      <c r="E369" s="77"/>
      <c r="F369" s="78"/>
      <c r="G369" s="78"/>
      <c r="H369" s="78"/>
      <c r="I369" s="78"/>
      <c r="J369" s="77"/>
      <c r="K369" s="78"/>
      <c r="L369" s="78"/>
      <c r="M369" s="78"/>
      <c r="N369" s="78"/>
      <c r="O369" s="78"/>
      <c r="P369" s="77"/>
      <c r="Q369" s="141"/>
    </row>
    <row r="370" spans="1:17" s="75" customFormat="1" ht="15.75">
      <c r="A370" s="54"/>
      <c r="B370" s="76"/>
      <c r="C370" s="54"/>
      <c r="D370" s="54"/>
      <c r="E370" s="77"/>
      <c r="F370" s="78"/>
      <c r="G370" s="78"/>
      <c r="H370" s="78"/>
      <c r="I370" s="78"/>
      <c r="J370" s="77"/>
      <c r="K370" s="78"/>
      <c r="L370" s="78"/>
      <c r="M370" s="78"/>
      <c r="N370" s="78"/>
      <c r="O370" s="78"/>
      <c r="P370" s="77"/>
      <c r="Q370" s="141"/>
    </row>
    <row r="371" spans="1:17" s="75" customFormat="1" ht="15.75">
      <c r="A371" s="54"/>
      <c r="B371" s="76"/>
      <c r="C371" s="54"/>
      <c r="D371" s="54"/>
      <c r="E371" s="77"/>
      <c r="F371" s="78"/>
      <c r="G371" s="78"/>
      <c r="H371" s="78"/>
      <c r="I371" s="78"/>
      <c r="J371" s="77"/>
      <c r="K371" s="78"/>
      <c r="L371" s="78"/>
      <c r="M371" s="78"/>
      <c r="N371" s="78"/>
      <c r="O371" s="78"/>
      <c r="P371" s="77"/>
      <c r="Q371" s="141"/>
    </row>
    <row r="372" spans="1:17" s="75" customFormat="1" ht="15.75">
      <c r="A372" s="54"/>
      <c r="B372" s="76"/>
      <c r="C372" s="54"/>
      <c r="D372" s="54"/>
      <c r="E372" s="77"/>
      <c r="F372" s="78"/>
      <c r="G372" s="78"/>
      <c r="H372" s="78"/>
      <c r="I372" s="78"/>
      <c r="J372" s="77"/>
      <c r="K372" s="78"/>
      <c r="L372" s="78"/>
      <c r="M372" s="78"/>
      <c r="N372" s="78"/>
      <c r="O372" s="78"/>
      <c r="P372" s="77"/>
      <c r="Q372" s="141"/>
    </row>
    <row r="373" spans="1:17" s="75" customFormat="1" ht="15.75">
      <c r="A373" s="54"/>
      <c r="B373" s="76"/>
      <c r="C373" s="54"/>
      <c r="D373" s="54"/>
      <c r="E373" s="77"/>
      <c r="F373" s="78"/>
      <c r="G373" s="78"/>
      <c r="H373" s="78"/>
      <c r="I373" s="78"/>
      <c r="J373" s="77"/>
      <c r="K373" s="78"/>
      <c r="L373" s="78"/>
      <c r="M373" s="78"/>
      <c r="N373" s="78"/>
      <c r="O373" s="78"/>
      <c r="P373" s="77"/>
      <c r="Q373" s="141"/>
    </row>
    <row r="374" spans="1:17" s="75" customFormat="1" ht="15.75">
      <c r="A374" s="54"/>
      <c r="B374" s="76"/>
      <c r="C374" s="54"/>
      <c r="D374" s="54"/>
      <c r="E374" s="77"/>
      <c r="F374" s="78"/>
      <c r="G374" s="78"/>
      <c r="H374" s="78"/>
      <c r="I374" s="78"/>
      <c r="J374" s="77"/>
      <c r="K374" s="78"/>
      <c r="L374" s="78"/>
      <c r="M374" s="78"/>
      <c r="N374" s="78"/>
      <c r="O374" s="78"/>
      <c r="P374" s="77"/>
      <c r="Q374" s="141"/>
    </row>
    <row r="375" spans="1:17" s="75" customFormat="1" ht="15.75">
      <c r="A375" s="54"/>
      <c r="B375" s="76"/>
      <c r="C375" s="54"/>
      <c r="D375" s="54"/>
      <c r="E375" s="77"/>
      <c r="F375" s="78"/>
      <c r="G375" s="78"/>
      <c r="H375" s="78"/>
      <c r="I375" s="78"/>
      <c r="J375" s="77"/>
      <c r="K375" s="78"/>
      <c r="L375" s="78"/>
      <c r="M375" s="78"/>
      <c r="N375" s="78"/>
      <c r="O375" s="78"/>
      <c r="P375" s="77"/>
      <c r="Q375" s="141"/>
    </row>
    <row r="376" spans="1:17" s="75" customFormat="1" ht="15.75">
      <c r="A376" s="54"/>
      <c r="B376" s="76"/>
      <c r="C376" s="54"/>
      <c r="D376" s="54"/>
      <c r="E376" s="77"/>
      <c r="F376" s="78"/>
      <c r="G376" s="78"/>
      <c r="H376" s="78"/>
      <c r="I376" s="78"/>
      <c r="J376" s="77"/>
      <c r="K376" s="78"/>
      <c r="L376" s="78"/>
      <c r="M376" s="78"/>
      <c r="N376" s="78"/>
      <c r="O376" s="78"/>
      <c r="P376" s="77"/>
      <c r="Q376" s="141"/>
    </row>
    <row r="377" spans="1:17" s="75" customFormat="1" ht="15.75">
      <c r="A377" s="54"/>
      <c r="B377" s="76"/>
      <c r="C377" s="54"/>
      <c r="D377" s="54"/>
      <c r="E377" s="77"/>
      <c r="F377" s="78"/>
      <c r="G377" s="78"/>
      <c r="H377" s="78"/>
      <c r="I377" s="78"/>
      <c r="J377" s="77"/>
      <c r="K377" s="78"/>
      <c r="L377" s="78"/>
      <c r="M377" s="78"/>
      <c r="N377" s="78"/>
      <c r="O377" s="78"/>
      <c r="P377" s="77"/>
      <c r="Q377" s="141"/>
    </row>
    <row r="378" spans="1:17" s="75" customFormat="1" ht="15.75">
      <c r="A378" s="54"/>
      <c r="B378" s="76"/>
      <c r="C378" s="54"/>
      <c r="D378" s="54"/>
      <c r="E378" s="77"/>
      <c r="F378" s="78"/>
      <c r="G378" s="78"/>
      <c r="H378" s="78"/>
      <c r="I378" s="78"/>
      <c r="J378" s="77"/>
      <c r="K378" s="78"/>
      <c r="L378" s="78"/>
      <c r="M378" s="78"/>
      <c r="N378" s="78"/>
      <c r="O378" s="78"/>
      <c r="P378" s="77"/>
      <c r="Q378" s="141"/>
    </row>
    <row r="379" spans="1:17" s="75" customFormat="1" ht="15.75">
      <c r="A379" s="54"/>
      <c r="B379" s="76"/>
      <c r="C379" s="54"/>
      <c r="D379" s="54"/>
      <c r="E379" s="77"/>
      <c r="F379" s="78"/>
      <c r="G379" s="78"/>
      <c r="H379" s="78"/>
      <c r="I379" s="78"/>
      <c r="J379" s="77"/>
      <c r="K379" s="78"/>
      <c r="L379" s="78"/>
      <c r="M379" s="78"/>
      <c r="N379" s="78"/>
      <c r="O379" s="78"/>
      <c r="P379" s="77"/>
      <c r="Q379" s="141"/>
    </row>
    <row r="380" spans="1:17" s="75" customFormat="1" ht="15.75">
      <c r="A380" s="54"/>
      <c r="B380" s="76"/>
      <c r="C380" s="54"/>
      <c r="D380" s="54"/>
      <c r="E380" s="77"/>
      <c r="F380" s="78"/>
      <c r="G380" s="78"/>
      <c r="H380" s="78"/>
      <c r="I380" s="78"/>
      <c r="J380" s="77"/>
      <c r="K380" s="78"/>
      <c r="L380" s="78"/>
      <c r="M380" s="78"/>
      <c r="N380" s="78"/>
      <c r="O380" s="78"/>
      <c r="P380" s="77"/>
      <c r="Q380" s="141"/>
    </row>
    <row r="381" spans="1:17" s="75" customFormat="1" ht="15.75">
      <c r="A381" s="54"/>
      <c r="B381" s="76"/>
      <c r="C381" s="54"/>
      <c r="D381" s="54"/>
      <c r="E381" s="77"/>
      <c r="F381" s="78"/>
      <c r="G381" s="78"/>
      <c r="H381" s="78"/>
      <c r="I381" s="78"/>
      <c r="J381" s="77"/>
      <c r="K381" s="78"/>
      <c r="L381" s="78"/>
      <c r="M381" s="78"/>
      <c r="N381" s="78"/>
      <c r="O381" s="78"/>
      <c r="P381" s="77"/>
      <c r="Q381" s="141"/>
    </row>
    <row r="382" spans="1:17" s="75" customFormat="1" ht="15.75">
      <c r="A382" s="54"/>
      <c r="B382" s="76"/>
      <c r="C382" s="54"/>
      <c r="D382" s="54"/>
      <c r="E382" s="77"/>
      <c r="F382" s="78"/>
      <c r="G382" s="78"/>
      <c r="H382" s="78"/>
      <c r="I382" s="78"/>
      <c r="J382" s="77"/>
      <c r="K382" s="78"/>
      <c r="L382" s="78"/>
      <c r="M382" s="78"/>
      <c r="N382" s="78"/>
      <c r="O382" s="78"/>
      <c r="P382" s="77"/>
      <c r="Q382" s="141"/>
    </row>
    <row r="383" spans="1:17" s="75" customFormat="1" ht="15.75">
      <c r="A383" s="54"/>
      <c r="B383" s="76"/>
      <c r="C383" s="54"/>
      <c r="D383" s="54"/>
      <c r="E383" s="77"/>
      <c r="F383" s="78"/>
      <c r="G383" s="78"/>
      <c r="H383" s="78"/>
      <c r="I383" s="78"/>
      <c r="J383" s="77"/>
      <c r="K383" s="78"/>
      <c r="L383" s="78"/>
      <c r="M383" s="78"/>
      <c r="N383" s="78"/>
      <c r="O383" s="78"/>
      <c r="P383" s="77"/>
      <c r="Q383" s="141"/>
    </row>
    <row r="384" spans="1:17" s="75" customFormat="1" ht="15.75">
      <c r="A384" s="54"/>
      <c r="B384" s="76"/>
      <c r="C384" s="54"/>
      <c r="D384" s="54"/>
      <c r="E384" s="77"/>
      <c r="F384" s="78"/>
      <c r="G384" s="78"/>
      <c r="H384" s="78"/>
      <c r="I384" s="78"/>
      <c r="J384" s="77"/>
      <c r="K384" s="78"/>
      <c r="L384" s="78"/>
      <c r="M384" s="78"/>
      <c r="N384" s="78"/>
      <c r="O384" s="78"/>
      <c r="P384" s="77"/>
      <c r="Q384" s="141"/>
    </row>
    <row r="385" spans="1:17" s="75" customFormat="1" ht="15.75">
      <c r="A385" s="54"/>
      <c r="B385" s="76"/>
      <c r="C385" s="54"/>
      <c r="D385" s="54"/>
      <c r="E385" s="77"/>
      <c r="F385" s="78"/>
      <c r="G385" s="78"/>
      <c r="H385" s="78"/>
      <c r="I385" s="78"/>
      <c r="J385" s="77"/>
      <c r="K385" s="78"/>
      <c r="L385" s="78"/>
      <c r="M385" s="78"/>
      <c r="N385" s="78"/>
      <c r="O385" s="78"/>
      <c r="P385" s="77"/>
      <c r="Q385" s="141"/>
    </row>
    <row r="386" spans="1:17" s="75" customFormat="1" ht="15.75">
      <c r="A386" s="54"/>
      <c r="B386" s="76"/>
      <c r="C386" s="54"/>
      <c r="D386" s="54"/>
      <c r="E386" s="77"/>
      <c r="F386" s="78"/>
      <c r="G386" s="78"/>
      <c r="H386" s="78"/>
      <c r="I386" s="78"/>
      <c r="J386" s="77"/>
      <c r="K386" s="78"/>
      <c r="L386" s="78"/>
      <c r="M386" s="78"/>
      <c r="N386" s="78"/>
      <c r="O386" s="78"/>
      <c r="P386" s="77"/>
      <c r="Q386" s="141"/>
    </row>
    <row r="387" spans="1:17" s="75" customFormat="1" ht="15.75">
      <c r="A387" s="54"/>
      <c r="B387" s="76"/>
      <c r="C387" s="54"/>
      <c r="D387" s="54"/>
      <c r="E387" s="77"/>
      <c r="F387" s="78"/>
      <c r="G387" s="78"/>
      <c r="H387" s="78"/>
      <c r="I387" s="78"/>
      <c r="J387" s="77"/>
      <c r="K387" s="78"/>
      <c r="L387" s="78"/>
      <c r="M387" s="78"/>
      <c r="N387" s="78"/>
      <c r="O387" s="78"/>
      <c r="P387" s="77"/>
      <c r="Q387" s="141"/>
    </row>
    <row r="388" spans="1:17" s="75" customFormat="1" ht="15.75">
      <c r="A388" s="54"/>
      <c r="B388" s="76"/>
      <c r="C388" s="54"/>
      <c r="D388" s="54"/>
      <c r="E388" s="77"/>
      <c r="F388" s="78"/>
      <c r="G388" s="78"/>
      <c r="H388" s="78"/>
      <c r="I388" s="78"/>
      <c r="J388" s="77"/>
      <c r="K388" s="78"/>
      <c r="L388" s="78"/>
      <c r="M388" s="78"/>
      <c r="N388" s="78"/>
      <c r="O388" s="78"/>
      <c r="P388" s="77"/>
      <c r="Q388" s="141"/>
    </row>
    <row r="389" spans="1:17" s="75" customFormat="1" ht="15.75">
      <c r="A389" s="54"/>
      <c r="B389" s="76"/>
      <c r="C389" s="54"/>
      <c r="D389" s="54"/>
      <c r="E389" s="77"/>
      <c r="F389" s="78"/>
      <c r="G389" s="78"/>
      <c r="H389" s="78"/>
      <c r="I389" s="78"/>
      <c r="J389" s="77"/>
      <c r="K389" s="78"/>
      <c r="L389" s="78"/>
      <c r="M389" s="78"/>
      <c r="N389" s="78"/>
      <c r="O389" s="78"/>
      <c r="P389" s="77"/>
      <c r="Q389" s="141"/>
    </row>
    <row r="390" spans="1:17" s="75" customFormat="1" ht="15.75">
      <c r="A390" s="54"/>
      <c r="B390" s="76"/>
      <c r="C390" s="54"/>
      <c r="D390" s="54"/>
      <c r="E390" s="77"/>
      <c r="F390" s="78"/>
      <c r="G390" s="78"/>
      <c r="H390" s="78"/>
      <c r="I390" s="78"/>
      <c r="J390" s="77"/>
      <c r="K390" s="78"/>
      <c r="L390" s="78"/>
      <c r="M390" s="78"/>
      <c r="N390" s="78"/>
      <c r="O390" s="78"/>
      <c r="P390" s="77"/>
      <c r="Q390" s="141"/>
    </row>
    <row r="391" spans="1:17" s="75" customFormat="1" ht="15.75">
      <c r="A391" s="54"/>
      <c r="B391" s="76"/>
      <c r="C391" s="54"/>
      <c r="D391" s="54"/>
      <c r="E391" s="77"/>
      <c r="F391" s="78"/>
      <c r="G391" s="78"/>
      <c r="H391" s="78"/>
      <c r="I391" s="78"/>
      <c r="J391" s="77"/>
      <c r="K391" s="78"/>
      <c r="L391" s="78"/>
      <c r="M391" s="78"/>
      <c r="N391" s="78"/>
      <c r="O391" s="78"/>
      <c r="P391" s="77"/>
      <c r="Q391" s="141"/>
    </row>
    <row r="392" spans="1:17" s="75" customFormat="1" ht="15.75">
      <c r="A392" s="54"/>
      <c r="B392" s="76"/>
      <c r="C392" s="54"/>
      <c r="D392" s="54"/>
      <c r="E392" s="77"/>
      <c r="F392" s="78"/>
      <c r="G392" s="78"/>
      <c r="H392" s="78"/>
      <c r="I392" s="78"/>
      <c r="J392" s="77"/>
      <c r="K392" s="78"/>
      <c r="L392" s="78"/>
      <c r="M392" s="78"/>
      <c r="N392" s="78"/>
      <c r="O392" s="78"/>
      <c r="P392" s="77"/>
      <c r="Q392" s="141"/>
    </row>
    <row r="393" spans="1:17" s="75" customFormat="1" ht="15.75">
      <c r="A393" s="54"/>
      <c r="B393" s="76"/>
      <c r="C393" s="54"/>
      <c r="D393" s="54"/>
      <c r="E393" s="77"/>
      <c r="F393" s="78"/>
      <c r="G393" s="78"/>
      <c r="H393" s="78"/>
      <c r="I393" s="78"/>
      <c r="J393" s="77"/>
      <c r="K393" s="78"/>
      <c r="L393" s="78"/>
      <c r="M393" s="78"/>
      <c r="N393" s="78"/>
      <c r="O393" s="78"/>
      <c r="P393" s="77"/>
      <c r="Q393" s="141"/>
    </row>
    <row r="394" spans="1:17" s="75" customFormat="1" ht="15.75">
      <c r="A394" s="54"/>
      <c r="B394" s="76"/>
      <c r="C394" s="54"/>
      <c r="D394" s="54"/>
      <c r="E394" s="77"/>
      <c r="F394" s="78"/>
      <c r="G394" s="78"/>
      <c r="H394" s="78"/>
      <c r="I394" s="78"/>
      <c r="J394" s="77"/>
      <c r="K394" s="78"/>
      <c r="L394" s="78"/>
      <c r="M394" s="78"/>
      <c r="N394" s="78"/>
      <c r="O394" s="78"/>
      <c r="P394" s="77"/>
      <c r="Q394" s="141"/>
    </row>
    <row r="395" spans="1:17" s="75" customFormat="1" ht="15.75">
      <c r="A395" s="54"/>
      <c r="B395" s="76"/>
      <c r="C395" s="54"/>
      <c r="D395" s="54"/>
      <c r="E395" s="77"/>
      <c r="F395" s="78"/>
      <c r="G395" s="78"/>
      <c r="H395" s="78"/>
      <c r="I395" s="78"/>
      <c r="J395" s="77"/>
      <c r="K395" s="78"/>
      <c r="L395" s="78"/>
      <c r="M395" s="78"/>
      <c r="N395" s="78"/>
      <c r="O395" s="78"/>
      <c r="P395" s="77"/>
      <c r="Q395" s="141"/>
    </row>
    <row r="396" spans="1:17" s="75" customFormat="1" ht="15.75">
      <c r="A396" s="54"/>
      <c r="B396" s="76"/>
      <c r="C396" s="54"/>
      <c r="D396" s="54"/>
      <c r="E396" s="77"/>
      <c r="F396" s="78"/>
      <c r="G396" s="78"/>
      <c r="H396" s="78"/>
      <c r="I396" s="78"/>
      <c r="J396" s="77"/>
      <c r="K396" s="78"/>
      <c r="L396" s="78"/>
      <c r="M396" s="78"/>
      <c r="N396" s="78"/>
      <c r="O396" s="78"/>
      <c r="P396" s="77"/>
      <c r="Q396" s="141"/>
    </row>
    <row r="397" spans="1:17" s="75" customFormat="1" ht="15.75">
      <c r="A397" s="54"/>
      <c r="B397" s="76"/>
      <c r="C397" s="54"/>
      <c r="D397" s="54"/>
      <c r="E397" s="77"/>
      <c r="F397" s="78"/>
      <c r="G397" s="78"/>
      <c r="H397" s="78"/>
      <c r="I397" s="78"/>
      <c r="J397" s="77"/>
      <c r="K397" s="78"/>
      <c r="L397" s="78"/>
      <c r="M397" s="78"/>
      <c r="N397" s="78"/>
      <c r="O397" s="78"/>
      <c r="P397" s="77"/>
      <c r="Q397" s="141"/>
    </row>
    <row r="398" spans="1:17" s="75" customFormat="1" ht="15.75">
      <c r="A398" s="54"/>
      <c r="B398" s="76"/>
      <c r="C398" s="54"/>
      <c r="D398" s="54"/>
      <c r="E398" s="77"/>
      <c r="F398" s="78"/>
      <c r="G398" s="78"/>
      <c r="H398" s="78"/>
      <c r="I398" s="78"/>
      <c r="J398" s="77"/>
      <c r="K398" s="78"/>
      <c r="L398" s="78"/>
      <c r="M398" s="78"/>
      <c r="N398" s="78"/>
      <c r="O398" s="78"/>
      <c r="P398" s="77"/>
      <c r="Q398" s="141"/>
    </row>
    <row r="399" spans="1:17" s="75" customFormat="1" ht="15.75">
      <c r="A399" s="54"/>
      <c r="B399" s="76"/>
      <c r="C399" s="54"/>
      <c r="D399" s="54"/>
      <c r="E399" s="77"/>
      <c r="F399" s="78"/>
      <c r="G399" s="78"/>
      <c r="H399" s="78"/>
      <c r="I399" s="78"/>
      <c r="J399" s="77"/>
      <c r="K399" s="78"/>
      <c r="L399" s="78"/>
      <c r="M399" s="78"/>
      <c r="N399" s="78"/>
      <c r="O399" s="78"/>
      <c r="P399" s="77"/>
      <c r="Q399" s="141"/>
    </row>
    <row r="400" spans="1:17" s="75" customFormat="1" ht="15.75">
      <c r="A400" s="54"/>
      <c r="B400" s="76"/>
      <c r="C400" s="54"/>
      <c r="D400" s="54"/>
      <c r="E400" s="77"/>
      <c r="F400" s="78"/>
      <c r="G400" s="78"/>
      <c r="H400" s="78"/>
      <c r="I400" s="78"/>
      <c r="J400" s="77"/>
      <c r="K400" s="78"/>
      <c r="L400" s="78"/>
      <c r="M400" s="78"/>
      <c r="N400" s="78"/>
      <c r="O400" s="78"/>
      <c r="P400" s="77"/>
      <c r="Q400" s="141"/>
    </row>
    <row r="401" spans="1:17" s="75" customFormat="1" ht="15.75">
      <c r="A401" s="54"/>
      <c r="B401" s="76"/>
      <c r="C401" s="54"/>
      <c r="D401" s="54"/>
      <c r="E401" s="77"/>
      <c r="F401" s="78"/>
      <c r="G401" s="78"/>
      <c r="H401" s="78"/>
      <c r="I401" s="78"/>
      <c r="J401" s="77"/>
      <c r="K401" s="78"/>
      <c r="L401" s="78"/>
      <c r="M401" s="78"/>
      <c r="N401" s="78"/>
      <c r="O401" s="78"/>
      <c r="P401" s="77"/>
      <c r="Q401" s="141"/>
    </row>
    <row r="402" spans="1:17" s="75" customFormat="1" ht="15.75">
      <c r="A402" s="54"/>
      <c r="B402" s="76"/>
      <c r="C402" s="54"/>
      <c r="D402" s="54"/>
      <c r="E402" s="77"/>
      <c r="F402" s="78"/>
      <c r="G402" s="78"/>
      <c r="H402" s="78"/>
      <c r="I402" s="78"/>
      <c r="J402" s="77"/>
      <c r="K402" s="78"/>
      <c r="L402" s="78"/>
      <c r="M402" s="78"/>
      <c r="N402" s="78"/>
      <c r="O402" s="78"/>
      <c r="P402" s="77"/>
      <c r="Q402" s="141"/>
    </row>
    <row r="403" spans="1:17" s="75" customFormat="1" ht="15.75">
      <c r="A403" s="54"/>
      <c r="B403" s="76"/>
      <c r="C403" s="54"/>
      <c r="D403" s="54"/>
      <c r="E403" s="77"/>
      <c r="F403" s="78"/>
      <c r="G403" s="78"/>
      <c r="H403" s="78"/>
      <c r="I403" s="78"/>
      <c r="J403" s="77"/>
      <c r="K403" s="78"/>
      <c r="L403" s="78"/>
      <c r="M403" s="78"/>
      <c r="N403" s="78"/>
      <c r="O403" s="78"/>
      <c r="P403" s="77"/>
      <c r="Q403" s="141"/>
    </row>
    <row r="404" spans="1:17" s="75" customFormat="1" ht="15.75">
      <c r="A404" s="54"/>
      <c r="B404" s="76"/>
      <c r="C404" s="54"/>
      <c r="D404" s="54"/>
      <c r="E404" s="77"/>
      <c r="F404" s="78"/>
      <c r="G404" s="78"/>
      <c r="H404" s="78"/>
      <c r="I404" s="78"/>
      <c r="J404" s="77"/>
      <c r="K404" s="78"/>
      <c r="L404" s="78"/>
      <c r="M404" s="78"/>
      <c r="N404" s="78"/>
      <c r="O404" s="78"/>
      <c r="P404" s="77"/>
      <c r="Q404" s="141"/>
    </row>
    <row r="405" spans="1:17" s="75" customFormat="1" ht="15.75">
      <c r="A405" s="54"/>
      <c r="B405" s="76"/>
      <c r="C405" s="54"/>
      <c r="D405" s="54"/>
      <c r="E405" s="77"/>
      <c r="F405" s="78"/>
      <c r="G405" s="78"/>
      <c r="H405" s="78"/>
      <c r="I405" s="78"/>
      <c r="J405" s="77"/>
      <c r="K405" s="78"/>
      <c r="L405" s="78"/>
      <c r="M405" s="78"/>
      <c r="N405" s="78"/>
      <c r="O405" s="78"/>
      <c r="P405" s="77"/>
      <c r="Q405" s="141"/>
    </row>
    <row r="406" spans="1:17" s="75" customFormat="1" ht="15.75">
      <c r="A406" s="54"/>
      <c r="B406" s="76"/>
      <c r="C406" s="54"/>
      <c r="D406" s="54"/>
      <c r="E406" s="77"/>
      <c r="F406" s="78"/>
      <c r="G406" s="78"/>
      <c r="H406" s="78"/>
      <c r="I406" s="78"/>
      <c r="J406" s="77"/>
      <c r="K406" s="78"/>
      <c r="L406" s="78"/>
      <c r="M406" s="78"/>
      <c r="N406" s="78"/>
      <c r="O406" s="78"/>
      <c r="P406" s="77"/>
      <c r="Q406" s="141"/>
    </row>
    <row r="407" spans="1:17" s="75" customFormat="1" ht="15.75">
      <c r="A407" s="54"/>
      <c r="B407" s="76"/>
      <c r="C407" s="54"/>
      <c r="D407" s="54"/>
      <c r="E407" s="77"/>
      <c r="F407" s="78"/>
      <c r="G407" s="78"/>
      <c r="H407" s="78"/>
      <c r="I407" s="78"/>
      <c r="J407" s="77"/>
      <c r="K407" s="78"/>
      <c r="L407" s="78"/>
      <c r="M407" s="78"/>
      <c r="N407" s="78"/>
      <c r="O407" s="78"/>
      <c r="P407" s="77"/>
      <c r="Q407" s="141"/>
    </row>
    <row r="408" spans="1:17" s="75" customFormat="1" ht="15.75">
      <c r="A408" s="54"/>
      <c r="B408" s="76"/>
      <c r="C408" s="54"/>
      <c r="D408" s="54"/>
      <c r="E408" s="77"/>
      <c r="F408" s="78"/>
      <c r="G408" s="78"/>
      <c r="H408" s="78"/>
      <c r="I408" s="78"/>
      <c r="J408" s="77"/>
      <c r="K408" s="78"/>
      <c r="L408" s="78"/>
      <c r="M408" s="78"/>
      <c r="N408" s="78"/>
      <c r="O408" s="78"/>
      <c r="P408" s="77"/>
      <c r="Q408" s="141"/>
    </row>
    <row r="409" spans="1:17" s="75" customFormat="1" ht="15.75">
      <c r="A409" s="54"/>
      <c r="B409" s="76"/>
      <c r="C409" s="54"/>
      <c r="D409" s="54"/>
      <c r="E409" s="77"/>
      <c r="F409" s="78"/>
      <c r="G409" s="78"/>
      <c r="H409" s="78"/>
      <c r="I409" s="78"/>
      <c r="J409" s="77"/>
      <c r="K409" s="78"/>
      <c r="L409" s="78"/>
      <c r="M409" s="78"/>
      <c r="N409" s="78"/>
      <c r="O409" s="78"/>
      <c r="P409" s="77"/>
      <c r="Q409" s="141"/>
    </row>
    <row r="410" spans="1:17" s="75" customFormat="1" ht="15.75">
      <c r="A410" s="54"/>
      <c r="B410" s="76"/>
      <c r="C410" s="54"/>
      <c r="D410" s="54"/>
      <c r="E410" s="77"/>
      <c r="F410" s="78"/>
      <c r="G410" s="78"/>
      <c r="H410" s="78"/>
      <c r="I410" s="78"/>
      <c r="J410" s="77"/>
      <c r="K410" s="78"/>
      <c r="L410" s="78"/>
      <c r="M410" s="78"/>
      <c r="N410" s="78"/>
      <c r="O410" s="78"/>
      <c r="P410" s="77"/>
      <c r="Q410" s="141"/>
    </row>
    <row r="411" spans="1:17" s="75" customFormat="1" ht="15.75">
      <c r="A411" s="54"/>
      <c r="B411" s="76"/>
      <c r="C411" s="54"/>
      <c r="D411" s="54"/>
      <c r="E411" s="77"/>
      <c r="F411" s="78"/>
      <c r="G411" s="78"/>
      <c r="H411" s="78"/>
      <c r="I411" s="78"/>
      <c r="J411" s="77"/>
      <c r="K411" s="78"/>
      <c r="L411" s="78"/>
      <c r="M411" s="78"/>
      <c r="N411" s="78"/>
      <c r="O411" s="78"/>
      <c r="P411" s="77"/>
      <c r="Q411" s="141"/>
    </row>
    <row r="412" spans="1:17" s="75" customFormat="1" ht="15.75">
      <c r="A412" s="54"/>
      <c r="B412" s="76"/>
      <c r="C412" s="54"/>
      <c r="D412" s="54"/>
      <c r="E412" s="77"/>
      <c r="F412" s="78"/>
      <c r="G412" s="78"/>
      <c r="H412" s="78"/>
      <c r="I412" s="78"/>
      <c r="J412" s="77"/>
      <c r="K412" s="78"/>
      <c r="L412" s="78"/>
      <c r="M412" s="78"/>
      <c r="N412" s="78"/>
      <c r="O412" s="78"/>
      <c r="P412" s="77"/>
      <c r="Q412" s="141"/>
    </row>
    <row r="413" spans="1:17" s="75" customFormat="1" ht="15.75">
      <c r="A413" s="54"/>
      <c r="B413" s="76"/>
      <c r="C413" s="54"/>
      <c r="D413" s="54"/>
      <c r="E413" s="77"/>
      <c r="F413" s="78"/>
      <c r="G413" s="78"/>
      <c r="H413" s="78"/>
      <c r="I413" s="78"/>
      <c r="J413" s="77"/>
      <c r="K413" s="78"/>
      <c r="L413" s="78"/>
      <c r="M413" s="78"/>
      <c r="N413" s="78"/>
      <c r="O413" s="78"/>
      <c r="P413" s="77"/>
      <c r="Q413" s="141"/>
    </row>
    <row r="414" spans="1:17" s="75" customFormat="1" ht="15.75">
      <c r="A414" s="54"/>
      <c r="B414" s="76"/>
      <c r="C414" s="54"/>
      <c r="D414" s="54"/>
      <c r="E414" s="77"/>
      <c r="F414" s="78"/>
      <c r="G414" s="78"/>
      <c r="H414" s="78"/>
      <c r="I414" s="78"/>
      <c r="J414" s="77"/>
      <c r="K414" s="78"/>
      <c r="L414" s="78"/>
      <c r="M414" s="78"/>
      <c r="N414" s="78"/>
      <c r="O414" s="78"/>
      <c r="P414" s="77"/>
      <c r="Q414" s="141"/>
    </row>
    <row r="415" spans="1:17" s="75" customFormat="1" ht="15.75">
      <c r="A415" s="54"/>
      <c r="B415" s="76"/>
      <c r="C415" s="54"/>
      <c r="D415" s="54"/>
      <c r="E415" s="77"/>
      <c r="F415" s="78"/>
      <c r="G415" s="78"/>
      <c r="H415" s="78"/>
      <c r="I415" s="78"/>
      <c r="J415" s="77"/>
      <c r="K415" s="78"/>
      <c r="L415" s="78"/>
      <c r="M415" s="78"/>
      <c r="N415" s="78"/>
      <c r="O415" s="78"/>
      <c r="P415" s="77"/>
      <c r="Q415" s="141"/>
    </row>
    <row r="416" spans="1:17" s="75" customFormat="1" ht="15.75">
      <c r="A416" s="54"/>
      <c r="B416" s="76"/>
      <c r="C416" s="54"/>
      <c r="D416" s="54"/>
      <c r="E416" s="77"/>
      <c r="F416" s="78"/>
      <c r="G416" s="78"/>
      <c r="H416" s="78"/>
      <c r="I416" s="78"/>
      <c r="J416" s="77"/>
      <c r="K416" s="78"/>
      <c r="L416" s="78"/>
      <c r="M416" s="78"/>
      <c r="N416" s="78"/>
      <c r="O416" s="78"/>
      <c r="P416" s="77"/>
      <c r="Q416" s="141"/>
    </row>
    <row r="417" spans="1:17" s="75" customFormat="1" ht="15.75">
      <c r="A417" s="54"/>
      <c r="B417" s="76"/>
      <c r="C417" s="54"/>
      <c r="D417" s="54"/>
      <c r="E417" s="77"/>
      <c r="F417" s="78"/>
      <c r="G417" s="78"/>
      <c r="H417" s="78"/>
      <c r="I417" s="78"/>
      <c r="J417" s="77"/>
      <c r="K417" s="78"/>
      <c r="L417" s="78"/>
      <c r="M417" s="78"/>
      <c r="N417" s="78"/>
      <c r="O417" s="78"/>
      <c r="P417" s="77"/>
      <c r="Q417" s="141"/>
    </row>
    <row r="418" spans="1:17" s="75" customFormat="1" ht="15.75">
      <c r="A418" s="54"/>
      <c r="B418" s="76"/>
      <c r="C418" s="54"/>
      <c r="D418" s="54"/>
      <c r="E418" s="77"/>
      <c r="F418" s="78"/>
      <c r="G418" s="78"/>
      <c r="H418" s="78"/>
      <c r="I418" s="78"/>
      <c r="J418" s="77"/>
      <c r="K418" s="78"/>
      <c r="L418" s="78"/>
      <c r="M418" s="78"/>
      <c r="N418" s="78"/>
      <c r="O418" s="78"/>
      <c r="P418" s="77"/>
      <c r="Q418" s="141"/>
    </row>
    <row r="419" spans="1:17" s="75" customFormat="1" ht="15.75">
      <c r="A419" s="54"/>
      <c r="B419" s="76"/>
      <c r="C419" s="54"/>
      <c r="D419" s="54"/>
      <c r="E419" s="77"/>
      <c r="F419" s="78"/>
      <c r="G419" s="78"/>
      <c r="H419" s="78"/>
      <c r="I419" s="78"/>
      <c r="J419" s="77"/>
      <c r="K419" s="78"/>
      <c r="L419" s="78"/>
      <c r="M419" s="78"/>
      <c r="N419" s="78"/>
      <c r="O419" s="78"/>
      <c r="P419" s="77"/>
      <c r="Q419" s="141"/>
    </row>
    <row r="420" spans="1:17" s="75" customFormat="1" ht="15.75">
      <c r="A420" s="54"/>
      <c r="B420" s="76"/>
      <c r="C420" s="54"/>
      <c r="D420" s="54"/>
      <c r="E420" s="77"/>
      <c r="F420" s="78"/>
      <c r="G420" s="78"/>
      <c r="H420" s="78"/>
      <c r="I420" s="78"/>
      <c r="J420" s="77"/>
      <c r="K420" s="78"/>
      <c r="L420" s="78"/>
      <c r="M420" s="78"/>
      <c r="N420" s="78"/>
      <c r="O420" s="78"/>
      <c r="P420" s="77"/>
      <c r="Q420" s="141"/>
    </row>
    <row r="421" spans="1:17" s="75" customFormat="1" ht="15.75">
      <c r="A421" s="54"/>
      <c r="B421" s="76"/>
      <c r="C421" s="54"/>
      <c r="D421" s="54"/>
      <c r="E421" s="77"/>
      <c r="F421" s="78"/>
      <c r="G421" s="78"/>
      <c r="H421" s="78"/>
      <c r="I421" s="78"/>
      <c r="J421" s="77"/>
      <c r="K421" s="78"/>
      <c r="L421" s="78"/>
      <c r="M421" s="78"/>
      <c r="N421" s="78"/>
      <c r="O421" s="78"/>
      <c r="P421" s="77"/>
      <c r="Q421" s="141"/>
    </row>
    <row r="422" spans="1:17" s="75" customFormat="1" ht="15.75">
      <c r="A422" s="54"/>
      <c r="B422" s="76"/>
      <c r="C422" s="54"/>
      <c r="D422" s="54"/>
      <c r="E422" s="77"/>
      <c r="F422" s="78"/>
      <c r="G422" s="78"/>
      <c r="H422" s="78"/>
      <c r="I422" s="78"/>
      <c r="J422" s="77"/>
      <c r="K422" s="78"/>
      <c r="L422" s="78"/>
      <c r="M422" s="78"/>
      <c r="N422" s="78"/>
      <c r="O422" s="78"/>
      <c r="P422" s="77"/>
      <c r="Q422" s="141"/>
    </row>
    <row r="423" spans="1:17" s="75" customFormat="1" ht="15.75">
      <c r="A423" s="54"/>
      <c r="B423" s="76"/>
      <c r="C423" s="54"/>
      <c r="D423" s="54"/>
      <c r="E423" s="77"/>
      <c r="F423" s="78"/>
      <c r="G423" s="78"/>
      <c r="H423" s="78"/>
      <c r="I423" s="78"/>
      <c r="J423" s="77"/>
      <c r="K423" s="78"/>
      <c r="L423" s="78"/>
      <c r="M423" s="78"/>
      <c r="N423" s="78"/>
      <c r="O423" s="78"/>
      <c r="P423" s="77"/>
      <c r="Q423" s="141"/>
    </row>
    <row r="424" spans="1:17" s="75" customFormat="1" ht="15.75">
      <c r="A424" s="54"/>
      <c r="B424" s="76"/>
      <c r="C424" s="54"/>
      <c r="D424" s="54"/>
      <c r="E424" s="77"/>
      <c r="F424" s="78"/>
      <c r="G424" s="78"/>
      <c r="H424" s="78"/>
      <c r="I424" s="78"/>
      <c r="J424" s="77"/>
      <c r="K424" s="78"/>
      <c r="L424" s="78"/>
      <c r="M424" s="78"/>
      <c r="N424" s="78"/>
      <c r="O424" s="78"/>
      <c r="P424" s="77"/>
      <c r="Q424" s="141"/>
    </row>
    <row r="425" spans="1:17" s="75" customFormat="1" ht="15.75">
      <c r="A425" s="54"/>
      <c r="B425" s="76"/>
      <c r="C425" s="54"/>
      <c r="D425" s="54"/>
      <c r="E425" s="77"/>
      <c r="F425" s="78"/>
      <c r="G425" s="78"/>
      <c r="H425" s="78"/>
      <c r="I425" s="78"/>
      <c r="J425" s="77"/>
      <c r="K425" s="78"/>
      <c r="L425" s="78"/>
      <c r="M425" s="78"/>
      <c r="N425" s="78"/>
      <c r="O425" s="78"/>
      <c r="P425" s="77"/>
      <c r="Q425" s="141"/>
    </row>
    <row r="426" spans="1:17" s="75" customFormat="1" ht="15.75">
      <c r="A426" s="54"/>
      <c r="B426" s="76"/>
      <c r="C426" s="54"/>
      <c r="D426" s="54"/>
      <c r="E426" s="77"/>
      <c r="F426" s="78"/>
      <c r="G426" s="78"/>
      <c r="H426" s="78"/>
      <c r="I426" s="78"/>
      <c r="J426" s="77"/>
      <c r="K426" s="78"/>
      <c r="L426" s="78"/>
      <c r="M426" s="78"/>
      <c r="N426" s="78"/>
      <c r="O426" s="78"/>
      <c r="P426" s="77"/>
      <c r="Q426" s="141"/>
    </row>
    <row r="427" spans="1:17" s="75" customFormat="1" ht="15.75">
      <c r="A427" s="54"/>
      <c r="B427" s="76"/>
      <c r="C427" s="54"/>
      <c r="D427" s="54"/>
      <c r="E427" s="77"/>
      <c r="F427" s="78"/>
      <c r="G427" s="78"/>
      <c r="H427" s="78"/>
      <c r="I427" s="78"/>
      <c r="J427" s="77"/>
      <c r="K427" s="78"/>
      <c r="L427" s="78"/>
      <c r="M427" s="78"/>
      <c r="N427" s="78"/>
      <c r="O427" s="78"/>
      <c r="P427" s="77"/>
      <c r="Q427" s="141"/>
    </row>
    <row r="428" spans="1:17" s="75" customFormat="1" ht="15.75">
      <c r="A428" s="54"/>
      <c r="B428" s="76"/>
      <c r="C428" s="54"/>
      <c r="D428" s="54"/>
      <c r="E428" s="77"/>
      <c r="F428" s="78"/>
      <c r="G428" s="78"/>
      <c r="H428" s="78"/>
      <c r="I428" s="78"/>
      <c r="J428" s="77"/>
      <c r="K428" s="78"/>
      <c r="L428" s="78"/>
      <c r="M428" s="78"/>
      <c r="N428" s="78"/>
      <c r="O428" s="78"/>
      <c r="P428" s="77"/>
      <c r="Q428" s="141"/>
    </row>
    <row r="429" spans="1:17" s="75" customFormat="1" ht="15.75">
      <c r="A429" s="54"/>
      <c r="B429" s="76"/>
      <c r="C429" s="54"/>
      <c r="D429" s="54"/>
      <c r="E429" s="77"/>
      <c r="F429" s="78"/>
      <c r="G429" s="78"/>
      <c r="H429" s="78"/>
      <c r="I429" s="78"/>
      <c r="J429" s="77"/>
      <c r="K429" s="78"/>
      <c r="L429" s="78"/>
      <c r="M429" s="78"/>
      <c r="N429" s="78"/>
      <c r="O429" s="78"/>
      <c r="P429" s="77"/>
      <c r="Q429" s="141"/>
    </row>
    <row r="430" spans="1:17" s="75" customFormat="1" ht="15.75">
      <c r="A430" s="54"/>
      <c r="B430" s="76"/>
      <c r="C430" s="54"/>
      <c r="D430" s="54"/>
      <c r="E430" s="77"/>
      <c r="F430" s="78"/>
      <c r="G430" s="78"/>
      <c r="H430" s="78"/>
      <c r="I430" s="78"/>
      <c r="J430" s="77"/>
      <c r="K430" s="78"/>
      <c r="L430" s="78"/>
      <c r="M430" s="78"/>
      <c r="N430" s="78"/>
      <c r="O430" s="78"/>
      <c r="P430" s="77"/>
      <c r="Q430" s="141"/>
    </row>
    <row r="431" spans="1:17" s="75" customFormat="1" ht="15.75">
      <c r="A431" s="54"/>
      <c r="B431" s="76"/>
      <c r="C431" s="54"/>
      <c r="D431" s="54"/>
      <c r="E431" s="77"/>
      <c r="F431" s="78"/>
      <c r="G431" s="78"/>
      <c r="H431" s="78"/>
      <c r="I431" s="78"/>
      <c r="J431" s="77"/>
      <c r="K431" s="78"/>
      <c r="L431" s="78"/>
      <c r="M431" s="78"/>
      <c r="N431" s="78"/>
      <c r="O431" s="78"/>
      <c r="P431" s="77"/>
      <c r="Q431" s="141"/>
    </row>
    <row r="432" spans="1:17" s="75" customFormat="1" ht="15.75">
      <c r="A432" s="54"/>
      <c r="B432" s="76"/>
      <c r="C432" s="54"/>
      <c r="D432" s="54"/>
      <c r="E432" s="77"/>
      <c r="F432" s="78"/>
      <c r="G432" s="78"/>
      <c r="H432" s="78"/>
      <c r="I432" s="78"/>
      <c r="J432" s="77"/>
      <c r="K432" s="78"/>
      <c r="L432" s="78"/>
      <c r="M432" s="78"/>
      <c r="N432" s="78"/>
      <c r="O432" s="78"/>
      <c r="P432" s="77"/>
      <c r="Q432" s="141"/>
    </row>
    <row r="433" spans="1:17" s="75" customFormat="1" ht="15.75">
      <c r="A433" s="54"/>
      <c r="B433" s="76"/>
      <c r="C433" s="54"/>
      <c r="D433" s="54"/>
      <c r="E433" s="77"/>
      <c r="F433" s="78"/>
      <c r="G433" s="78"/>
      <c r="H433" s="78"/>
      <c r="I433" s="78"/>
      <c r="J433" s="77"/>
      <c r="K433" s="78"/>
      <c r="L433" s="78"/>
      <c r="M433" s="78"/>
      <c r="N433" s="78"/>
      <c r="O433" s="78"/>
      <c r="P433" s="77"/>
      <c r="Q433" s="141"/>
    </row>
    <row r="434" spans="1:17" s="75" customFormat="1" ht="15.75">
      <c r="A434" s="54"/>
      <c r="B434" s="76"/>
      <c r="C434" s="54"/>
      <c r="D434" s="54"/>
      <c r="E434" s="77"/>
      <c r="F434" s="78"/>
      <c r="G434" s="78"/>
      <c r="H434" s="78"/>
      <c r="I434" s="78"/>
      <c r="J434" s="77"/>
      <c r="K434" s="78"/>
      <c r="L434" s="78"/>
      <c r="M434" s="78"/>
      <c r="N434" s="78"/>
      <c r="O434" s="78"/>
      <c r="P434" s="77"/>
      <c r="Q434" s="141"/>
    </row>
    <row r="435" spans="1:17" s="75" customFormat="1" ht="15.75">
      <c r="A435" s="54"/>
      <c r="B435" s="76"/>
      <c r="C435" s="54"/>
      <c r="D435" s="54"/>
      <c r="E435" s="77"/>
      <c r="F435" s="78"/>
      <c r="G435" s="78"/>
      <c r="H435" s="78"/>
      <c r="I435" s="78"/>
      <c r="J435" s="77"/>
      <c r="K435" s="78"/>
      <c r="L435" s="78"/>
      <c r="M435" s="78"/>
      <c r="N435" s="78"/>
      <c r="O435" s="78"/>
      <c r="P435" s="77"/>
      <c r="Q435" s="141"/>
    </row>
    <row r="436" spans="1:17" s="75" customFormat="1" ht="15.75">
      <c r="A436" s="54"/>
      <c r="B436" s="76"/>
      <c r="C436" s="54"/>
      <c r="D436" s="54"/>
      <c r="E436" s="77"/>
      <c r="F436" s="78"/>
      <c r="G436" s="78"/>
      <c r="H436" s="78"/>
      <c r="I436" s="78"/>
      <c r="J436" s="77"/>
      <c r="K436" s="78"/>
      <c r="L436" s="78"/>
      <c r="M436" s="78"/>
      <c r="N436" s="78"/>
      <c r="O436" s="78"/>
      <c r="P436" s="77"/>
      <c r="Q436" s="141"/>
    </row>
    <row r="437" spans="1:17" s="75" customFormat="1" ht="15.75">
      <c r="A437" s="54"/>
      <c r="B437" s="76"/>
      <c r="C437" s="54"/>
      <c r="D437" s="54"/>
      <c r="E437" s="77"/>
      <c r="F437" s="78"/>
      <c r="G437" s="78"/>
      <c r="H437" s="78"/>
      <c r="I437" s="78"/>
      <c r="J437" s="77"/>
      <c r="K437" s="78"/>
      <c r="L437" s="78"/>
      <c r="M437" s="78"/>
      <c r="N437" s="78"/>
      <c r="O437" s="78"/>
      <c r="P437" s="77"/>
      <c r="Q437" s="141"/>
    </row>
    <row r="438" spans="1:17" s="75" customFormat="1" ht="15.75">
      <c r="A438" s="54"/>
      <c r="B438" s="76"/>
      <c r="C438" s="54"/>
      <c r="D438" s="54"/>
      <c r="E438" s="77"/>
      <c r="F438" s="78"/>
      <c r="G438" s="78"/>
      <c r="H438" s="78"/>
      <c r="I438" s="78"/>
      <c r="J438" s="77"/>
      <c r="K438" s="78"/>
      <c r="L438" s="78"/>
      <c r="M438" s="78"/>
      <c r="N438" s="78"/>
      <c r="O438" s="78"/>
      <c r="P438" s="77"/>
      <c r="Q438" s="141"/>
    </row>
    <row r="439" spans="1:17" s="75" customFormat="1" ht="15.75">
      <c r="A439" s="54"/>
      <c r="B439" s="76"/>
      <c r="C439" s="54"/>
      <c r="D439" s="54"/>
      <c r="E439" s="77"/>
      <c r="F439" s="78"/>
      <c r="G439" s="78"/>
      <c r="H439" s="78"/>
      <c r="I439" s="78"/>
      <c r="J439" s="77"/>
      <c r="K439" s="78"/>
      <c r="L439" s="78"/>
      <c r="M439" s="78"/>
      <c r="N439" s="78"/>
      <c r="O439" s="78"/>
      <c r="P439" s="77"/>
      <c r="Q439" s="141"/>
    </row>
    <row r="440" spans="1:17" s="75" customFormat="1" ht="15.75">
      <c r="A440" s="54"/>
      <c r="B440" s="76"/>
      <c r="C440" s="54"/>
      <c r="D440" s="54"/>
      <c r="E440" s="77"/>
      <c r="F440" s="78"/>
      <c r="G440" s="78"/>
      <c r="H440" s="78"/>
      <c r="I440" s="78"/>
      <c r="J440" s="77"/>
      <c r="K440" s="78"/>
      <c r="L440" s="78"/>
      <c r="M440" s="78"/>
      <c r="N440" s="78"/>
      <c r="O440" s="78"/>
      <c r="P440" s="77"/>
      <c r="Q440" s="141"/>
    </row>
    <row r="441" spans="1:17" s="75" customFormat="1" ht="15.75">
      <c r="A441" s="54"/>
      <c r="B441" s="76"/>
      <c r="C441" s="54"/>
      <c r="D441" s="54"/>
      <c r="E441" s="77"/>
      <c r="F441" s="78"/>
      <c r="G441" s="78"/>
      <c r="H441" s="78"/>
      <c r="I441" s="78"/>
      <c r="J441" s="77"/>
      <c r="K441" s="78"/>
      <c r="L441" s="78"/>
      <c r="M441" s="78"/>
      <c r="N441" s="78"/>
      <c r="O441" s="78"/>
      <c r="P441" s="77"/>
      <c r="Q441" s="141"/>
    </row>
    <row r="442" spans="1:17" s="75" customFormat="1" ht="15.75">
      <c r="A442" s="54"/>
      <c r="B442" s="76"/>
      <c r="C442" s="54"/>
      <c r="D442" s="54"/>
      <c r="E442" s="77"/>
      <c r="F442" s="78"/>
      <c r="G442" s="78"/>
      <c r="H442" s="78"/>
      <c r="I442" s="78"/>
      <c r="J442" s="77"/>
      <c r="K442" s="78"/>
      <c r="L442" s="78"/>
      <c r="M442" s="78"/>
      <c r="N442" s="78"/>
      <c r="O442" s="78"/>
      <c r="P442" s="77"/>
      <c r="Q442" s="141"/>
    </row>
    <row r="443" spans="1:17" s="75" customFormat="1" ht="15.75">
      <c r="A443" s="54"/>
      <c r="B443" s="76"/>
      <c r="C443" s="54"/>
      <c r="D443" s="54"/>
      <c r="E443" s="77"/>
      <c r="F443" s="78"/>
      <c r="G443" s="78"/>
      <c r="H443" s="78"/>
      <c r="I443" s="78"/>
      <c r="J443" s="77"/>
      <c r="K443" s="78"/>
      <c r="L443" s="78"/>
      <c r="M443" s="78"/>
      <c r="N443" s="78"/>
      <c r="O443" s="78"/>
      <c r="P443" s="77"/>
      <c r="Q443" s="141"/>
    </row>
    <row r="444" spans="1:17" s="75" customFormat="1" ht="15.75">
      <c r="A444" s="54"/>
      <c r="B444" s="76"/>
      <c r="C444" s="54"/>
      <c r="D444" s="54"/>
      <c r="E444" s="77"/>
      <c r="F444" s="78"/>
      <c r="G444" s="78"/>
      <c r="H444" s="78"/>
      <c r="I444" s="78"/>
      <c r="J444" s="77"/>
      <c r="K444" s="78"/>
      <c r="L444" s="78"/>
      <c r="M444" s="78"/>
      <c r="N444" s="78"/>
      <c r="O444" s="78"/>
      <c r="P444" s="77"/>
      <c r="Q444" s="141"/>
    </row>
    <row r="445" spans="1:17" s="75" customFormat="1" ht="15.75">
      <c r="A445" s="54"/>
      <c r="B445" s="76"/>
      <c r="C445" s="54"/>
      <c r="D445" s="54"/>
      <c r="E445" s="77"/>
      <c r="F445" s="78"/>
      <c r="G445" s="78"/>
      <c r="H445" s="78"/>
      <c r="I445" s="78"/>
      <c r="J445" s="77"/>
      <c r="K445" s="78"/>
      <c r="L445" s="78"/>
      <c r="M445" s="78"/>
      <c r="N445" s="78"/>
      <c r="O445" s="78"/>
      <c r="P445" s="77"/>
      <c r="Q445" s="141"/>
    </row>
    <row r="446" spans="1:17" s="75" customFormat="1" ht="15.75">
      <c r="A446" s="54"/>
      <c r="B446" s="76"/>
      <c r="C446" s="54"/>
      <c r="D446" s="54"/>
      <c r="E446" s="77"/>
      <c r="F446" s="78"/>
      <c r="G446" s="78"/>
      <c r="H446" s="78"/>
      <c r="I446" s="78"/>
      <c r="J446" s="77"/>
      <c r="K446" s="78"/>
      <c r="L446" s="78"/>
      <c r="M446" s="78"/>
      <c r="N446" s="78"/>
      <c r="O446" s="78"/>
      <c r="P446" s="77"/>
      <c r="Q446" s="141"/>
    </row>
    <row r="447" spans="1:17" s="75" customFormat="1" ht="15.75">
      <c r="A447" s="54"/>
      <c r="B447" s="76"/>
      <c r="C447" s="54"/>
      <c r="D447" s="54"/>
      <c r="E447" s="77"/>
      <c r="F447" s="78"/>
      <c r="G447" s="78"/>
      <c r="H447" s="78"/>
      <c r="I447" s="78"/>
      <c r="J447" s="77"/>
      <c r="K447" s="78"/>
      <c r="L447" s="78"/>
      <c r="M447" s="78"/>
      <c r="N447" s="78"/>
      <c r="O447" s="78"/>
      <c r="P447" s="77"/>
      <c r="Q447" s="141"/>
    </row>
    <row r="448" spans="1:17" s="75" customFormat="1" ht="15.75">
      <c r="A448" s="54"/>
      <c r="B448" s="76"/>
      <c r="C448" s="54"/>
      <c r="D448" s="54"/>
      <c r="E448" s="77"/>
      <c r="F448" s="78"/>
      <c r="G448" s="78"/>
      <c r="H448" s="78"/>
      <c r="I448" s="78"/>
      <c r="J448" s="77"/>
      <c r="K448" s="78"/>
      <c r="L448" s="78"/>
      <c r="M448" s="78"/>
      <c r="N448" s="78"/>
      <c r="O448" s="78"/>
      <c r="P448" s="77"/>
      <c r="Q448" s="141"/>
    </row>
    <row r="449" spans="1:17" s="75" customFormat="1" ht="15.75">
      <c r="A449" s="54"/>
      <c r="B449" s="76"/>
      <c r="C449" s="54"/>
      <c r="D449" s="54"/>
      <c r="E449" s="77"/>
      <c r="F449" s="78"/>
      <c r="G449" s="78"/>
      <c r="H449" s="78"/>
      <c r="I449" s="78"/>
      <c r="J449" s="77"/>
      <c r="K449" s="78"/>
      <c r="L449" s="78"/>
      <c r="M449" s="78"/>
      <c r="N449" s="78"/>
      <c r="O449" s="78"/>
      <c r="P449" s="77"/>
      <c r="Q449" s="141"/>
    </row>
    <row r="450" spans="1:17" s="75" customFormat="1" ht="15.75">
      <c r="A450" s="54"/>
      <c r="B450" s="76"/>
      <c r="C450" s="54"/>
      <c r="D450" s="54"/>
      <c r="E450" s="77"/>
      <c r="F450" s="78"/>
      <c r="G450" s="78"/>
      <c r="H450" s="78"/>
      <c r="I450" s="78"/>
      <c r="J450" s="77"/>
      <c r="K450" s="78"/>
      <c r="L450" s="78"/>
      <c r="M450" s="78"/>
      <c r="N450" s="78"/>
      <c r="O450" s="78"/>
      <c r="P450" s="77"/>
      <c r="Q450" s="141"/>
    </row>
    <row r="451" spans="1:17" s="75" customFormat="1" ht="15.75">
      <c r="A451" s="54"/>
      <c r="B451" s="76"/>
      <c r="C451" s="54"/>
      <c r="D451" s="54"/>
      <c r="E451" s="77"/>
      <c r="F451" s="78"/>
      <c r="G451" s="78"/>
      <c r="H451" s="78"/>
      <c r="I451" s="78"/>
      <c r="J451" s="77"/>
      <c r="K451" s="78"/>
      <c r="L451" s="78"/>
      <c r="M451" s="78"/>
      <c r="N451" s="78"/>
      <c r="O451" s="78"/>
      <c r="P451" s="77"/>
      <c r="Q451" s="141"/>
    </row>
    <row r="452" spans="1:17" s="75" customFormat="1" ht="15.75">
      <c r="A452" s="54"/>
      <c r="B452" s="76"/>
      <c r="C452" s="54"/>
      <c r="D452" s="54"/>
      <c r="E452" s="77"/>
      <c r="F452" s="78"/>
      <c r="G452" s="78"/>
      <c r="H452" s="78"/>
      <c r="I452" s="78"/>
      <c r="J452" s="77"/>
      <c r="K452" s="78"/>
      <c r="L452" s="78"/>
      <c r="M452" s="78"/>
      <c r="N452" s="78"/>
      <c r="O452" s="78"/>
      <c r="P452" s="77"/>
      <c r="Q452" s="141"/>
    </row>
    <row r="453" spans="1:17" s="75" customFormat="1" ht="15.75">
      <c r="A453" s="54"/>
      <c r="B453" s="76"/>
      <c r="C453" s="54"/>
      <c r="D453" s="54"/>
      <c r="E453" s="77"/>
      <c r="F453" s="78"/>
      <c r="G453" s="78"/>
      <c r="H453" s="78"/>
      <c r="I453" s="78"/>
      <c r="J453" s="77"/>
      <c r="K453" s="78"/>
      <c r="L453" s="78"/>
      <c r="M453" s="78"/>
      <c r="N453" s="78"/>
      <c r="O453" s="78"/>
      <c r="P453" s="77"/>
      <c r="Q453" s="141"/>
    </row>
    <row r="454" spans="1:17" s="75" customFormat="1" ht="15.75">
      <c r="A454" s="54"/>
      <c r="B454" s="76"/>
      <c r="C454" s="54"/>
      <c r="D454" s="54"/>
      <c r="E454" s="77"/>
      <c r="F454" s="78"/>
      <c r="G454" s="78"/>
      <c r="H454" s="78"/>
      <c r="I454" s="78"/>
      <c r="J454" s="77"/>
      <c r="K454" s="78"/>
      <c r="L454" s="78"/>
      <c r="M454" s="78"/>
      <c r="N454" s="78"/>
      <c r="O454" s="78"/>
      <c r="P454" s="77"/>
      <c r="Q454" s="141"/>
    </row>
    <row r="455" spans="1:17" s="75" customFormat="1" ht="15.75">
      <c r="A455" s="54"/>
      <c r="B455" s="76"/>
      <c r="C455" s="54"/>
      <c r="D455" s="54"/>
      <c r="E455" s="77"/>
      <c r="F455" s="78"/>
      <c r="G455" s="78"/>
      <c r="H455" s="78"/>
      <c r="I455" s="78"/>
      <c r="J455" s="77"/>
      <c r="K455" s="78"/>
      <c r="L455" s="78"/>
      <c r="M455" s="78"/>
      <c r="N455" s="78"/>
      <c r="O455" s="78"/>
      <c r="P455" s="77"/>
      <c r="Q455" s="141"/>
    </row>
    <row r="456" spans="1:17" s="75" customFormat="1" ht="15.75">
      <c r="A456" s="54"/>
      <c r="B456" s="76"/>
      <c r="C456" s="54"/>
      <c r="D456" s="54"/>
      <c r="E456" s="77"/>
      <c r="F456" s="78"/>
      <c r="G456" s="78"/>
      <c r="H456" s="78"/>
      <c r="I456" s="78"/>
      <c r="J456" s="77"/>
      <c r="K456" s="78"/>
      <c r="L456" s="78"/>
      <c r="M456" s="78"/>
      <c r="N456" s="78"/>
      <c r="O456" s="78"/>
      <c r="P456" s="77"/>
      <c r="Q456" s="141"/>
    </row>
    <row r="457" spans="1:17" s="75" customFormat="1" ht="15.75">
      <c r="A457" s="54"/>
      <c r="B457" s="76"/>
      <c r="C457" s="54"/>
      <c r="D457" s="54"/>
      <c r="E457" s="77"/>
      <c r="F457" s="78"/>
      <c r="G457" s="78"/>
      <c r="H457" s="78"/>
      <c r="I457" s="78"/>
      <c r="J457" s="77"/>
      <c r="K457" s="78"/>
      <c r="L457" s="78"/>
      <c r="M457" s="78"/>
      <c r="N457" s="78"/>
      <c r="O457" s="78"/>
      <c r="P457" s="77"/>
      <c r="Q457" s="141"/>
    </row>
    <row r="458" spans="1:17" s="75" customFormat="1" ht="15.75">
      <c r="A458" s="54"/>
      <c r="B458" s="76"/>
      <c r="C458" s="54"/>
      <c r="D458" s="54"/>
      <c r="E458" s="77"/>
      <c r="F458" s="78"/>
      <c r="G458" s="78"/>
      <c r="H458" s="78"/>
      <c r="I458" s="78"/>
      <c r="J458" s="77"/>
      <c r="K458" s="78"/>
      <c r="L458" s="78"/>
      <c r="M458" s="78"/>
      <c r="N458" s="78"/>
      <c r="O458" s="78"/>
      <c r="P458" s="77"/>
      <c r="Q458" s="141"/>
    </row>
    <row r="459" spans="1:17" s="75" customFormat="1" ht="15.75">
      <c r="A459" s="54"/>
      <c r="B459" s="76"/>
      <c r="C459" s="54"/>
      <c r="D459" s="54"/>
      <c r="E459" s="77"/>
      <c r="F459" s="78"/>
      <c r="G459" s="78"/>
      <c r="H459" s="78"/>
      <c r="I459" s="78"/>
      <c r="J459" s="77"/>
      <c r="K459" s="78"/>
      <c r="L459" s="78"/>
      <c r="M459" s="78"/>
      <c r="N459" s="78"/>
      <c r="O459" s="78"/>
      <c r="P459" s="77"/>
      <c r="Q459" s="141"/>
    </row>
    <row r="460" spans="1:17" s="75" customFormat="1" ht="15.75">
      <c r="A460" s="54"/>
      <c r="B460" s="76"/>
      <c r="C460" s="54"/>
      <c r="D460" s="54"/>
      <c r="E460" s="77"/>
      <c r="F460" s="78"/>
      <c r="G460" s="78"/>
      <c r="H460" s="78"/>
      <c r="I460" s="78"/>
      <c r="J460" s="77"/>
      <c r="K460" s="78"/>
      <c r="L460" s="78"/>
      <c r="M460" s="78"/>
      <c r="N460" s="78"/>
      <c r="O460" s="78"/>
      <c r="P460" s="77"/>
      <c r="Q460" s="141"/>
    </row>
    <row r="461" spans="1:17" s="75" customFormat="1" ht="15.75">
      <c r="A461" s="54"/>
      <c r="B461" s="76"/>
      <c r="C461" s="54"/>
      <c r="D461" s="54"/>
      <c r="E461" s="77"/>
      <c r="F461" s="78"/>
      <c r="G461" s="78"/>
      <c r="H461" s="78"/>
      <c r="I461" s="78"/>
      <c r="J461" s="77"/>
      <c r="K461" s="78"/>
      <c r="L461" s="78"/>
      <c r="M461" s="78"/>
      <c r="N461" s="78"/>
      <c r="O461" s="78"/>
      <c r="P461" s="77"/>
      <c r="Q461" s="141"/>
    </row>
    <row r="462" spans="1:17" s="75" customFormat="1" ht="15.75">
      <c r="A462" s="54"/>
      <c r="B462" s="76"/>
      <c r="C462" s="54"/>
      <c r="D462" s="54"/>
      <c r="E462" s="77"/>
      <c r="F462" s="78"/>
      <c r="G462" s="78"/>
      <c r="H462" s="78"/>
      <c r="I462" s="78"/>
      <c r="J462" s="77"/>
      <c r="K462" s="78"/>
      <c r="L462" s="78"/>
      <c r="M462" s="78"/>
      <c r="N462" s="78"/>
      <c r="O462" s="78"/>
      <c r="P462" s="77"/>
      <c r="Q462" s="141"/>
    </row>
    <row r="463" spans="1:17" s="75" customFormat="1" ht="15.75">
      <c r="A463" s="54"/>
      <c r="B463" s="76"/>
      <c r="C463" s="54"/>
      <c r="D463" s="54"/>
      <c r="E463" s="77"/>
      <c r="F463" s="78"/>
      <c r="G463" s="78"/>
      <c r="H463" s="78"/>
      <c r="I463" s="78"/>
      <c r="J463" s="77"/>
      <c r="K463" s="78"/>
      <c r="L463" s="78"/>
      <c r="M463" s="78"/>
      <c r="N463" s="78"/>
      <c r="O463" s="78"/>
      <c r="P463" s="77"/>
      <c r="Q463" s="141"/>
    </row>
    <row r="464" spans="1:17" s="75" customFormat="1" ht="15.75">
      <c r="A464" s="54"/>
      <c r="B464" s="76"/>
      <c r="C464" s="54"/>
      <c r="D464" s="54"/>
      <c r="E464" s="77"/>
      <c r="F464" s="78"/>
      <c r="G464" s="78"/>
      <c r="H464" s="78"/>
      <c r="I464" s="78"/>
      <c r="J464" s="77"/>
      <c r="K464" s="78"/>
      <c r="L464" s="78"/>
      <c r="M464" s="78"/>
      <c r="N464" s="78"/>
      <c r="O464" s="78"/>
      <c r="P464" s="77"/>
      <c r="Q464" s="141"/>
    </row>
    <row r="465" spans="1:17" s="75" customFormat="1" ht="15.75">
      <c r="A465" s="54"/>
      <c r="B465" s="76"/>
      <c r="C465" s="54"/>
      <c r="D465" s="54"/>
      <c r="E465" s="77"/>
      <c r="F465" s="78"/>
      <c r="G465" s="78"/>
      <c r="H465" s="78"/>
      <c r="I465" s="78"/>
      <c r="J465" s="77"/>
      <c r="K465" s="78"/>
      <c r="L465" s="78"/>
      <c r="M465" s="78"/>
      <c r="N465" s="78"/>
      <c r="O465" s="78"/>
      <c r="P465" s="77"/>
      <c r="Q465" s="141"/>
    </row>
    <row r="466" spans="1:17" s="75" customFormat="1" ht="15.75">
      <c r="A466" s="54"/>
      <c r="B466" s="76"/>
      <c r="C466" s="54"/>
      <c r="D466" s="54"/>
      <c r="E466" s="77"/>
      <c r="F466" s="78"/>
      <c r="G466" s="78"/>
      <c r="H466" s="78"/>
      <c r="I466" s="78"/>
      <c r="J466" s="77"/>
      <c r="K466" s="78"/>
      <c r="L466" s="78"/>
      <c r="M466" s="78"/>
      <c r="N466" s="78"/>
      <c r="O466" s="78"/>
      <c r="P466" s="77"/>
      <c r="Q466" s="141"/>
    </row>
    <row r="467" spans="1:17" s="75" customFormat="1" ht="15.75">
      <c r="A467" s="54"/>
      <c r="B467" s="76"/>
      <c r="C467" s="54"/>
      <c r="D467" s="54"/>
      <c r="E467" s="77"/>
      <c r="F467" s="78"/>
      <c r="G467" s="78"/>
      <c r="H467" s="78"/>
      <c r="I467" s="78"/>
      <c r="J467" s="77"/>
      <c r="K467" s="78"/>
      <c r="L467" s="78"/>
      <c r="M467" s="78"/>
      <c r="N467" s="78"/>
      <c r="O467" s="78"/>
      <c r="P467" s="77"/>
      <c r="Q467" s="141"/>
    </row>
    <row r="468" spans="1:17" s="75" customFormat="1" ht="15.75">
      <c r="A468" s="54"/>
      <c r="B468" s="76"/>
      <c r="C468" s="54"/>
      <c r="D468" s="54"/>
      <c r="E468" s="77"/>
      <c r="F468" s="78"/>
      <c r="G468" s="78"/>
      <c r="H468" s="78"/>
      <c r="I468" s="78"/>
      <c r="J468" s="77"/>
      <c r="K468" s="78"/>
      <c r="L468" s="78"/>
      <c r="M468" s="78"/>
      <c r="N468" s="78"/>
      <c r="O468" s="78"/>
      <c r="P468" s="77"/>
      <c r="Q468" s="141"/>
    </row>
    <row r="469" spans="1:17" s="75" customFormat="1" ht="15.75">
      <c r="A469" s="54"/>
      <c r="B469" s="76"/>
      <c r="C469" s="54"/>
      <c r="D469" s="54"/>
      <c r="E469" s="77"/>
      <c r="F469" s="78"/>
      <c r="G469" s="78"/>
      <c r="H469" s="78"/>
      <c r="I469" s="78"/>
      <c r="J469" s="77"/>
      <c r="K469" s="78"/>
      <c r="L469" s="78"/>
      <c r="M469" s="78"/>
      <c r="N469" s="78"/>
      <c r="O469" s="78"/>
      <c r="P469" s="77"/>
      <c r="Q469" s="141"/>
    </row>
    <row r="470" spans="1:17" s="75" customFormat="1" ht="15.75">
      <c r="A470" s="54"/>
      <c r="B470" s="76"/>
      <c r="C470" s="54"/>
      <c r="D470" s="54"/>
      <c r="E470" s="77"/>
      <c r="F470" s="78"/>
      <c r="G470" s="78"/>
      <c r="H470" s="78"/>
      <c r="I470" s="78"/>
      <c r="J470" s="77"/>
      <c r="K470" s="78"/>
      <c r="L470" s="78"/>
      <c r="M470" s="78"/>
      <c r="N470" s="78"/>
      <c r="O470" s="78"/>
      <c r="P470" s="77"/>
      <c r="Q470" s="141"/>
    </row>
    <row r="471" spans="1:17" s="75" customFormat="1" ht="15.75">
      <c r="A471" s="54"/>
      <c r="B471" s="76"/>
      <c r="C471" s="54"/>
      <c r="D471" s="54"/>
      <c r="E471" s="77"/>
      <c r="F471" s="78"/>
      <c r="G471" s="78"/>
      <c r="H471" s="78"/>
      <c r="I471" s="78"/>
      <c r="J471" s="77"/>
      <c r="K471" s="78"/>
      <c r="L471" s="78"/>
      <c r="M471" s="78"/>
      <c r="N471" s="78"/>
      <c r="O471" s="78"/>
      <c r="P471" s="77"/>
      <c r="Q471" s="141"/>
    </row>
    <row r="472" spans="1:17" s="75" customFormat="1" ht="15.75">
      <c r="A472" s="54"/>
      <c r="B472" s="76"/>
      <c r="C472" s="54"/>
      <c r="D472" s="54"/>
      <c r="E472" s="77"/>
      <c r="F472" s="78"/>
      <c r="G472" s="78"/>
      <c r="H472" s="78"/>
      <c r="I472" s="78"/>
      <c r="J472" s="77"/>
      <c r="K472" s="78"/>
      <c r="L472" s="78"/>
      <c r="M472" s="78"/>
      <c r="N472" s="78"/>
      <c r="O472" s="78"/>
      <c r="P472" s="77"/>
      <c r="Q472" s="141"/>
    </row>
    <row r="473" spans="1:17" s="75" customFormat="1" ht="15.75">
      <c r="A473" s="54"/>
      <c r="B473" s="76"/>
      <c r="C473" s="54"/>
      <c r="D473" s="54"/>
      <c r="E473" s="77"/>
      <c r="F473" s="78"/>
      <c r="G473" s="78"/>
      <c r="H473" s="78"/>
      <c r="I473" s="78"/>
      <c r="J473" s="77"/>
      <c r="K473" s="78"/>
      <c r="L473" s="78"/>
      <c r="M473" s="78"/>
      <c r="N473" s="78"/>
      <c r="O473" s="78"/>
      <c r="P473" s="77"/>
      <c r="Q473" s="141"/>
    </row>
    <row r="474" spans="1:17" s="75" customFormat="1" ht="15.75">
      <c r="A474" s="54"/>
      <c r="B474" s="76"/>
      <c r="C474" s="54"/>
      <c r="D474" s="54"/>
      <c r="E474" s="77"/>
      <c r="F474" s="78"/>
      <c r="G474" s="78"/>
      <c r="H474" s="78"/>
      <c r="I474" s="78"/>
      <c r="J474" s="77"/>
      <c r="K474" s="78"/>
      <c r="L474" s="78"/>
      <c r="M474" s="78"/>
      <c r="N474" s="78"/>
      <c r="O474" s="78"/>
      <c r="P474" s="77"/>
      <c r="Q474" s="141"/>
    </row>
    <row r="475" spans="1:17" s="75" customFormat="1" ht="15.75">
      <c r="A475" s="54"/>
      <c r="B475" s="76"/>
      <c r="C475" s="54"/>
      <c r="D475" s="54"/>
      <c r="E475" s="77"/>
      <c r="F475" s="78"/>
      <c r="G475" s="78"/>
      <c r="H475" s="78"/>
      <c r="I475" s="78"/>
      <c r="J475" s="77"/>
      <c r="K475" s="78"/>
      <c r="L475" s="78"/>
      <c r="M475" s="78"/>
      <c r="N475" s="78"/>
      <c r="O475" s="78"/>
      <c r="P475" s="77"/>
      <c r="Q475" s="141"/>
    </row>
    <row r="476" spans="1:17" s="75" customFormat="1" ht="15.75">
      <c r="A476" s="54"/>
      <c r="B476" s="76"/>
      <c r="C476" s="54"/>
      <c r="D476" s="54"/>
      <c r="E476" s="77"/>
      <c r="F476" s="78"/>
      <c r="G476" s="78"/>
      <c r="H476" s="78"/>
      <c r="I476" s="78"/>
      <c r="J476" s="77"/>
      <c r="K476" s="78"/>
      <c r="L476" s="78"/>
      <c r="M476" s="78"/>
      <c r="N476" s="78"/>
      <c r="O476" s="78"/>
      <c r="P476" s="77"/>
      <c r="Q476" s="141"/>
    </row>
    <row r="477" spans="1:17" s="75" customFormat="1" ht="15.75">
      <c r="A477" s="54"/>
      <c r="B477" s="76"/>
      <c r="C477" s="54"/>
      <c r="D477" s="54"/>
      <c r="E477" s="77"/>
      <c r="F477" s="78"/>
      <c r="G477" s="78"/>
      <c r="H477" s="78"/>
      <c r="I477" s="78"/>
      <c r="J477" s="77"/>
      <c r="K477" s="78"/>
      <c r="L477" s="78"/>
      <c r="M477" s="78"/>
      <c r="N477" s="78"/>
      <c r="O477" s="78"/>
      <c r="P477" s="77"/>
      <c r="Q477" s="141"/>
    </row>
    <row r="478" spans="1:17" s="75" customFormat="1" ht="15.75">
      <c r="A478" s="54"/>
      <c r="B478" s="76"/>
      <c r="C478" s="54"/>
      <c r="D478" s="54"/>
      <c r="E478" s="77"/>
      <c r="F478" s="78"/>
      <c r="G478" s="78"/>
      <c r="H478" s="78"/>
      <c r="I478" s="78"/>
      <c r="J478" s="77"/>
      <c r="K478" s="78"/>
      <c r="L478" s="78"/>
      <c r="M478" s="78"/>
      <c r="N478" s="78"/>
      <c r="O478" s="78"/>
      <c r="P478" s="77"/>
      <c r="Q478" s="141"/>
    </row>
    <row r="479" spans="1:17" s="75" customFormat="1" ht="15.75">
      <c r="A479" s="54"/>
      <c r="B479" s="76"/>
      <c r="C479" s="54"/>
      <c r="D479" s="54"/>
      <c r="E479" s="77"/>
      <c r="F479" s="78"/>
      <c r="G479" s="78"/>
      <c r="H479" s="78"/>
      <c r="I479" s="78"/>
      <c r="J479" s="77"/>
      <c r="K479" s="78"/>
      <c r="L479" s="78"/>
      <c r="M479" s="78"/>
      <c r="N479" s="78"/>
      <c r="O479" s="78"/>
      <c r="P479" s="77"/>
      <c r="Q479" s="141"/>
    </row>
    <row r="480" spans="1:17" s="75" customFormat="1" ht="15.75">
      <c r="A480" s="54"/>
      <c r="B480" s="76"/>
      <c r="C480" s="54"/>
      <c r="D480" s="54"/>
      <c r="E480" s="77"/>
      <c r="F480" s="78"/>
      <c r="G480" s="78"/>
      <c r="H480" s="78"/>
      <c r="I480" s="78"/>
      <c r="J480" s="77"/>
      <c r="K480" s="78"/>
      <c r="L480" s="78"/>
      <c r="M480" s="78"/>
      <c r="N480" s="78"/>
      <c r="O480" s="78"/>
      <c r="P480" s="77"/>
      <c r="Q480" s="141"/>
    </row>
    <row r="481" spans="1:17" s="75" customFormat="1" ht="15.75">
      <c r="A481" s="54"/>
      <c r="B481" s="76"/>
      <c r="C481" s="54"/>
      <c r="D481" s="54"/>
      <c r="E481" s="77"/>
      <c r="F481" s="78"/>
      <c r="G481" s="78"/>
      <c r="H481" s="78"/>
      <c r="I481" s="78"/>
      <c r="J481" s="77"/>
      <c r="K481" s="78"/>
      <c r="L481" s="78"/>
      <c r="M481" s="78"/>
      <c r="N481" s="78"/>
      <c r="O481" s="78"/>
      <c r="P481" s="77"/>
      <c r="Q481" s="141"/>
    </row>
    <row r="482" spans="1:17" s="75" customFormat="1" ht="15.75">
      <c r="A482" s="54"/>
      <c r="B482" s="76"/>
      <c r="C482" s="54"/>
      <c r="D482" s="54"/>
      <c r="E482" s="77"/>
      <c r="F482" s="78"/>
      <c r="G482" s="78"/>
      <c r="H482" s="78"/>
      <c r="I482" s="78"/>
      <c r="J482" s="77"/>
      <c r="K482" s="78"/>
      <c r="L482" s="78"/>
      <c r="M482" s="78"/>
      <c r="N482" s="78"/>
      <c r="O482" s="78"/>
      <c r="P482" s="77"/>
      <c r="Q482" s="141"/>
    </row>
    <row r="483" spans="1:17" s="75" customFormat="1" ht="15.75">
      <c r="A483" s="54"/>
      <c r="B483" s="76"/>
      <c r="C483" s="54"/>
      <c r="D483" s="54"/>
      <c r="E483" s="77"/>
      <c r="F483" s="78"/>
      <c r="G483" s="78"/>
      <c r="H483" s="78"/>
      <c r="I483" s="78"/>
      <c r="J483" s="77"/>
      <c r="K483" s="78"/>
      <c r="L483" s="78"/>
      <c r="M483" s="78"/>
      <c r="N483" s="78"/>
      <c r="O483" s="78"/>
      <c r="P483" s="77"/>
      <c r="Q483" s="141"/>
    </row>
    <row r="484" spans="1:17" s="75" customFormat="1" ht="15.75">
      <c r="A484" s="54"/>
      <c r="B484" s="76"/>
      <c r="C484" s="54"/>
      <c r="D484" s="54"/>
      <c r="E484" s="77"/>
      <c r="F484" s="78"/>
      <c r="G484" s="78"/>
      <c r="H484" s="78"/>
      <c r="I484" s="78"/>
      <c r="J484" s="77"/>
      <c r="K484" s="78"/>
      <c r="L484" s="78"/>
      <c r="M484" s="78"/>
      <c r="N484" s="78"/>
      <c r="O484" s="78"/>
      <c r="P484" s="77"/>
      <c r="Q484" s="141"/>
    </row>
    <row r="485" spans="1:17" s="75" customFormat="1" ht="15.75">
      <c r="A485" s="54"/>
      <c r="B485" s="76"/>
      <c r="C485" s="54"/>
      <c r="D485" s="54"/>
      <c r="E485" s="77"/>
      <c r="F485" s="78"/>
      <c r="G485" s="78"/>
      <c r="H485" s="78"/>
      <c r="I485" s="78"/>
      <c r="J485" s="77"/>
      <c r="K485" s="78"/>
      <c r="L485" s="78"/>
      <c r="M485" s="78"/>
      <c r="N485" s="78"/>
      <c r="O485" s="78"/>
      <c r="P485" s="77"/>
      <c r="Q485" s="141"/>
    </row>
    <row r="486" spans="1:17" s="75" customFormat="1" ht="15.75">
      <c r="A486" s="54"/>
      <c r="B486" s="76"/>
      <c r="C486" s="54"/>
      <c r="D486" s="54"/>
      <c r="E486" s="77"/>
      <c r="F486" s="78"/>
      <c r="G486" s="78"/>
      <c r="H486" s="78"/>
      <c r="I486" s="78"/>
      <c r="J486" s="77"/>
      <c r="K486" s="78"/>
      <c r="L486" s="78"/>
      <c r="M486" s="78"/>
      <c r="N486" s="78"/>
      <c r="O486" s="78"/>
      <c r="P486" s="77"/>
      <c r="Q486" s="141"/>
    </row>
    <row r="487" spans="1:17" s="75" customFormat="1" ht="15.75">
      <c r="A487" s="54"/>
      <c r="B487" s="76"/>
      <c r="C487" s="54"/>
      <c r="D487" s="54"/>
      <c r="E487" s="77"/>
      <c r="F487" s="78"/>
      <c r="G487" s="78"/>
      <c r="H487" s="78"/>
      <c r="I487" s="78"/>
      <c r="J487" s="77"/>
      <c r="K487" s="78"/>
      <c r="L487" s="78"/>
      <c r="M487" s="78"/>
      <c r="N487" s="78"/>
      <c r="O487" s="78"/>
      <c r="P487" s="77"/>
      <c r="Q487" s="141"/>
    </row>
    <row r="488" spans="1:17" s="75" customFormat="1" ht="15.75">
      <c r="A488" s="54"/>
      <c r="B488" s="76"/>
      <c r="C488" s="54"/>
      <c r="D488" s="54"/>
      <c r="E488" s="77"/>
      <c r="F488" s="78"/>
      <c r="G488" s="78"/>
      <c r="H488" s="78"/>
      <c r="I488" s="78"/>
      <c r="J488" s="77"/>
      <c r="K488" s="78"/>
      <c r="L488" s="78"/>
      <c r="M488" s="78"/>
      <c r="N488" s="78"/>
      <c r="O488" s="78"/>
      <c r="P488" s="77"/>
      <c r="Q488" s="141"/>
    </row>
    <row r="489" spans="1:17" s="75" customFormat="1" ht="15.75">
      <c r="A489" s="54"/>
      <c r="B489" s="76"/>
      <c r="C489" s="54"/>
      <c r="D489" s="54"/>
      <c r="E489" s="77"/>
      <c r="F489" s="78"/>
      <c r="G489" s="78"/>
      <c r="H489" s="78"/>
      <c r="I489" s="78"/>
      <c r="J489" s="77"/>
      <c r="K489" s="78"/>
      <c r="L489" s="78"/>
      <c r="M489" s="78"/>
      <c r="N489" s="78"/>
      <c r="O489" s="78"/>
      <c r="P489" s="77"/>
      <c r="Q489" s="141"/>
    </row>
    <row r="490" spans="1:17" s="75" customFormat="1" ht="15.75">
      <c r="A490" s="54"/>
      <c r="B490" s="76"/>
      <c r="C490" s="54"/>
      <c r="D490" s="54"/>
      <c r="E490" s="77"/>
      <c r="F490" s="78"/>
      <c r="G490" s="78"/>
      <c r="H490" s="78"/>
      <c r="I490" s="78"/>
      <c r="J490" s="77"/>
      <c r="K490" s="78"/>
      <c r="L490" s="78"/>
      <c r="M490" s="78"/>
      <c r="N490" s="78"/>
      <c r="O490" s="78"/>
      <c r="P490" s="77"/>
      <c r="Q490" s="141"/>
    </row>
    <row r="491" spans="1:17" s="75" customFormat="1" ht="15.75">
      <c r="A491" s="54"/>
      <c r="B491" s="76"/>
      <c r="C491" s="54"/>
      <c r="D491" s="54"/>
      <c r="E491" s="77"/>
      <c r="F491" s="78"/>
      <c r="G491" s="78"/>
      <c r="H491" s="78"/>
      <c r="I491" s="78"/>
      <c r="J491" s="77"/>
      <c r="K491" s="78"/>
      <c r="L491" s="78"/>
      <c r="M491" s="78"/>
      <c r="N491" s="78"/>
      <c r="O491" s="78"/>
      <c r="P491" s="77"/>
      <c r="Q491" s="141"/>
    </row>
    <row r="492" spans="1:17" s="75" customFormat="1" ht="15.75">
      <c r="A492" s="54"/>
      <c r="B492" s="76"/>
      <c r="C492" s="54"/>
      <c r="D492" s="54"/>
      <c r="E492" s="77"/>
      <c r="F492" s="78"/>
      <c r="G492" s="78"/>
      <c r="H492" s="78"/>
      <c r="I492" s="78"/>
      <c r="J492" s="77"/>
      <c r="K492" s="78"/>
      <c r="L492" s="78"/>
      <c r="M492" s="78"/>
      <c r="N492" s="78"/>
      <c r="O492" s="78"/>
      <c r="P492" s="77"/>
      <c r="Q492" s="141"/>
    </row>
    <row r="493" spans="1:17" s="75" customFormat="1" ht="15.75">
      <c r="A493" s="54"/>
      <c r="B493" s="76"/>
      <c r="C493" s="54"/>
      <c r="D493" s="54"/>
      <c r="E493" s="77"/>
      <c r="F493" s="78"/>
      <c r="G493" s="78"/>
      <c r="H493" s="78"/>
      <c r="I493" s="78"/>
      <c r="J493" s="77"/>
      <c r="K493" s="78"/>
      <c r="L493" s="78"/>
      <c r="M493" s="78"/>
      <c r="N493" s="78"/>
      <c r="O493" s="78"/>
      <c r="P493" s="77"/>
      <c r="Q493" s="141"/>
    </row>
    <row r="494" spans="1:17" s="75" customFormat="1" ht="15.75">
      <c r="A494" s="54"/>
      <c r="B494" s="76"/>
      <c r="C494" s="54"/>
      <c r="D494" s="54"/>
      <c r="E494" s="77"/>
      <c r="F494" s="78"/>
      <c r="G494" s="78"/>
      <c r="H494" s="78"/>
      <c r="I494" s="78"/>
      <c r="J494" s="77"/>
      <c r="K494" s="78"/>
      <c r="L494" s="78"/>
      <c r="M494" s="78"/>
      <c r="N494" s="78"/>
      <c r="O494" s="78"/>
      <c r="P494" s="77"/>
      <c r="Q494" s="141"/>
    </row>
    <row r="495" spans="1:17" s="75" customFormat="1" ht="15.75">
      <c r="A495" s="54"/>
      <c r="B495" s="76"/>
      <c r="C495" s="54"/>
      <c r="D495" s="54"/>
      <c r="E495" s="77"/>
      <c r="F495" s="78"/>
      <c r="G495" s="78"/>
      <c r="H495" s="78"/>
      <c r="I495" s="78"/>
      <c r="J495" s="77"/>
      <c r="K495" s="78"/>
      <c r="L495" s="78"/>
      <c r="M495" s="78"/>
      <c r="N495" s="78"/>
      <c r="O495" s="78"/>
      <c r="P495" s="77"/>
      <c r="Q495" s="141"/>
    </row>
    <row r="496" spans="1:17" s="75" customFormat="1" ht="15.75">
      <c r="A496" s="54"/>
      <c r="B496" s="76"/>
      <c r="C496" s="54"/>
      <c r="D496" s="54"/>
      <c r="E496" s="77"/>
      <c r="F496" s="78"/>
      <c r="G496" s="78"/>
      <c r="H496" s="78"/>
      <c r="I496" s="78"/>
      <c r="J496" s="77"/>
      <c r="K496" s="78"/>
      <c r="L496" s="78"/>
      <c r="M496" s="78"/>
      <c r="N496" s="78"/>
      <c r="O496" s="78"/>
      <c r="P496" s="77"/>
      <c r="Q496" s="141"/>
    </row>
    <row r="497" spans="1:17" s="75" customFormat="1" ht="15.75">
      <c r="A497" s="54"/>
      <c r="B497" s="76"/>
      <c r="C497" s="54"/>
      <c r="D497" s="54"/>
      <c r="E497" s="77"/>
      <c r="F497" s="78"/>
      <c r="G497" s="78"/>
      <c r="H497" s="78"/>
      <c r="I497" s="78"/>
      <c r="J497" s="77"/>
      <c r="K497" s="78"/>
      <c r="L497" s="78"/>
      <c r="M497" s="78"/>
      <c r="N497" s="78"/>
      <c r="O497" s="78"/>
      <c r="P497" s="77"/>
      <c r="Q497" s="141"/>
    </row>
    <row r="498" spans="1:17" s="75" customFormat="1" ht="15.75">
      <c r="A498" s="54"/>
      <c r="B498" s="76"/>
      <c r="C498" s="54"/>
      <c r="D498" s="54"/>
      <c r="E498" s="77"/>
      <c r="F498" s="78"/>
      <c r="G498" s="78"/>
      <c r="H498" s="78"/>
      <c r="I498" s="78"/>
      <c r="J498" s="77"/>
      <c r="K498" s="78"/>
      <c r="L498" s="78"/>
      <c r="M498" s="78"/>
      <c r="N498" s="78"/>
      <c r="O498" s="78"/>
      <c r="P498" s="77"/>
      <c r="Q498" s="141"/>
    </row>
    <row r="499" spans="1:17" s="75" customFormat="1" ht="15.75">
      <c r="A499" s="54"/>
      <c r="B499" s="76"/>
      <c r="C499" s="54"/>
      <c r="D499" s="54"/>
      <c r="E499" s="77"/>
      <c r="F499" s="78"/>
      <c r="G499" s="78"/>
      <c r="H499" s="78"/>
      <c r="I499" s="78"/>
      <c r="J499" s="77"/>
      <c r="K499" s="78"/>
      <c r="L499" s="78"/>
      <c r="M499" s="78"/>
      <c r="N499" s="78"/>
      <c r="O499" s="78"/>
      <c r="P499" s="77"/>
      <c r="Q499" s="141"/>
    </row>
    <row r="500" spans="1:17" s="75" customFormat="1" ht="15.75">
      <c r="A500" s="54"/>
      <c r="B500" s="76"/>
      <c r="C500" s="54"/>
      <c r="D500" s="54"/>
      <c r="E500" s="77"/>
      <c r="F500" s="78"/>
      <c r="G500" s="78"/>
      <c r="H500" s="78"/>
      <c r="I500" s="78"/>
      <c r="J500" s="77"/>
      <c r="K500" s="78"/>
      <c r="L500" s="78"/>
      <c r="M500" s="78"/>
      <c r="N500" s="78"/>
      <c r="O500" s="78"/>
      <c r="P500" s="77"/>
      <c r="Q500" s="141"/>
    </row>
    <row r="501" spans="1:17" s="75" customFormat="1" ht="15.75">
      <c r="A501" s="54"/>
      <c r="B501" s="76"/>
      <c r="C501" s="54"/>
      <c r="D501" s="54"/>
      <c r="E501" s="77"/>
      <c r="F501" s="78"/>
      <c r="G501" s="78"/>
      <c r="H501" s="78"/>
      <c r="I501" s="78"/>
      <c r="J501" s="77"/>
      <c r="K501" s="78"/>
      <c r="L501" s="78"/>
      <c r="M501" s="78"/>
      <c r="N501" s="78"/>
      <c r="O501" s="78"/>
      <c r="P501" s="77"/>
      <c r="Q501" s="141"/>
    </row>
    <row r="502" spans="1:17" s="75" customFormat="1" ht="15.75">
      <c r="A502" s="54"/>
      <c r="B502" s="76"/>
      <c r="C502" s="54"/>
      <c r="D502" s="54"/>
      <c r="E502" s="77"/>
      <c r="F502" s="78"/>
      <c r="G502" s="78"/>
      <c r="H502" s="78"/>
      <c r="I502" s="78"/>
      <c r="J502" s="77"/>
      <c r="K502" s="78"/>
      <c r="L502" s="78"/>
      <c r="M502" s="78"/>
      <c r="N502" s="78"/>
      <c r="O502" s="78"/>
      <c r="P502" s="77"/>
      <c r="Q502" s="141"/>
    </row>
    <row r="503" spans="1:17" s="75" customFormat="1" ht="15.75">
      <c r="A503" s="54"/>
      <c r="B503" s="76"/>
      <c r="C503" s="54"/>
      <c r="D503" s="54"/>
      <c r="E503" s="77"/>
      <c r="F503" s="78"/>
      <c r="G503" s="78"/>
      <c r="H503" s="78"/>
      <c r="I503" s="78"/>
      <c r="J503" s="77"/>
      <c r="K503" s="78"/>
      <c r="L503" s="78"/>
      <c r="M503" s="78"/>
      <c r="N503" s="78"/>
      <c r="O503" s="78"/>
      <c r="P503" s="77"/>
      <c r="Q503" s="141"/>
    </row>
    <row r="504" spans="1:17" s="75" customFormat="1" ht="15.75">
      <c r="A504" s="54"/>
      <c r="B504" s="76"/>
      <c r="C504" s="54"/>
      <c r="D504" s="54"/>
      <c r="E504" s="77"/>
      <c r="F504" s="78"/>
      <c r="G504" s="78"/>
      <c r="H504" s="78"/>
      <c r="I504" s="78"/>
      <c r="J504" s="77"/>
      <c r="K504" s="78"/>
      <c r="L504" s="78"/>
      <c r="M504" s="78"/>
      <c r="N504" s="78"/>
      <c r="O504" s="78"/>
      <c r="P504" s="77"/>
      <c r="Q504" s="141"/>
    </row>
    <row r="505" spans="1:17" s="75" customFormat="1" ht="15.75">
      <c r="A505" s="54"/>
      <c r="B505" s="76"/>
      <c r="C505" s="54"/>
      <c r="D505" s="54"/>
      <c r="E505" s="77"/>
      <c r="F505" s="78"/>
      <c r="G505" s="78"/>
      <c r="H505" s="78"/>
      <c r="I505" s="78"/>
      <c r="J505" s="77"/>
      <c r="K505" s="78"/>
      <c r="L505" s="78"/>
      <c r="M505" s="78"/>
      <c r="N505" s="78"/>
      <c r="O505" s="78"/>
      <c r="P505" s="77"/>
      <c r="Q505" s="141"/>
    </row>
    <row r="506" spans="1:17" s="75" customFormat="1" ht="15.75">
      <c r="A506" s="54"/>
      <c r="B506" s="76"/>
      <c r="C506" s="54"/>
      <c r="D506" s="54"/>
      <c r="E506" s="77"/>
      <c r="F506" s="78"/>
      <c r="G506" s="78"/>
      <c r="H506" s="78"/>
      <c r="I506" s="78"/>
      <c r="J506" s="77"/>
      <c r="K506" s="78"/>
      <c r="L506" s="78"/>
      <c r="M506" s="78"/>
      <c r="N506" s="78"/>
      <c r="O506" s="78"/>
      <c r="P506" s="77"/>
      <c r="Q506" s="141"/>
    </row>
    <row r="507" spans="1:17" s="75" customFormat="1" ht="15.75">
      <c r="A507" s="54"/>
      <c r="B507" s="76"/>
      <c r="C507" s="54"/>
      <c r="D507" s="54"/>
      <c r="E507" s="77"/>
      <c r="F507" s="78"/>
      <c r="G507" s="78"/>
      <c r="H507" s="78"/>
      <c r="I507" s="78"/>
      <c r="J507" s="77"/>
      <c r="K507" s="78"/>
      <c r="L507" s="78"/>
      <c r="M507" s="78"/>
      <c r="N507" s="78"/>
      <c r="O507" s="78"/>
      <c r="P507" s="77"/>
      <c r="Q507" s="141"/>
    </row>
    <row r="508" spans="1:17" s="75" customFormat="1" ht="15.75">
      <c r="A508" s="54"/>
      <c r="B508" s="76"/>
      <c r="C508" s="54"/>
      <c r="D508" s="54"/>
      <c r="E508" s="77"/>
      <c r="F508" s="78"/>
      <c r="G508" s="78"/>
      <c r="H508" s="78"/>
      <c r="I508" s="78"/>
      <c r="J508" s="77"/>
      <c r="K508" s="78"/>
      <c r="L508" s="78"/>
      <c r="M508" s="78"/>
      <c r="N508" s="78"/>
      <c r="O508" s="78"/>
      <c r="P508" s="77"/>
      <c r="Q508" s="141"/>
    </row>
    <row r="509" spans="1:17" s="75" customFormat="1" ht="15.75">
      <c r="A509" s="54"/>
      <c r="B509" s="76"/>
      <c r="C509" s="54"/>
      <c r="D509" s="54"/>
      <c r="E509" s="77"/>
      <c r="F509" s="78"/>
      <c r="G509" s="78"/>
      <c r="H509" s="78"/>
      <c r="I509" s="78"/>
      <c r="J509" s="77"/>
      <c r="K509" s="78"/>
      <c r="L509" s="78"/>
      <c r="M509" s="78"/>
      <c r="N509" s="78"/>
      <c r="O509" s="78"/>
      <c r="P509" s="77"/>
      <c r="Q509" s="141"/>
    </row>
    <row r="510" spans="1:17" s="75" customFormat="1" ht="15.75">
      <c r="A510" s="54"/>
      <c r="B510" s="76"/>
      <c r="C510" s="54"/>
      <c r="D510" s="54"/>
      <c r="E510" s="77"/>
      <c r="F510" s="78"/>
      <c r="G510" s="78"/>
      <c r="H510" s="78"/>
      <c r="I510" s="78"/>
      <c r="J510" s="77"/>
      <c r="K510" s="78"/>
      <c r="L510" s="78"/>
      <c r="M510" s="78"/>
      <c r="N510" s="78"/>
      <c r="O510" s="78"/>
      <c r="P510" s="77"/>
      <c r="Q510" s="141"/>
    </row>
    <row r="511" spans="1:17" s="75" customFormat="1" ht="15.75">
      <c r="A511" s="54"/>
      <c r="B511" s="76"/>
      <c r="C511" s="54"/>
      <c r="D511" s="54"/>
      <c r="E511" s="77"/>
      <c r="F511" s="78"/>
      <c r="G511" s="78"/>
      <c r="H511" s="78"/>
      <c r="I511" s="78"/>
      <c r="J511" s="77"/>
      <c r="K511" s="78"/>
      <c r="L511" s="78"/>
      <c r="M511" s="78"/>
      <c r="N511" s="78"/>
      <c r="O511" s="78"/>
      <c r="P511" s="77"/>
      <c r="Q511" s="141"/>
    </row>
    <row r="512" spans="1:17" s="75" customFormat="1" ht="15.75">
      <c r="A512" s="54"/>
      <c r="B512" s="76"/>
      <c r="C512" s="54"/>
      <c r="D512" s="54"/>
      <c r="E512" s="77"/>
      <c r="F512" s="78"/>
      <c r="G512" s="78"/>
      <c r="H512" s="78"/>
      <c r="I512" s="78"/>
      <c r="J512" s="77"/>
      <c r="K512" s="78"/>
      <c r="L512" s="78"/>
      <c r="M512" s="78"/>
      <c r="N512" s="78"/>
      <c r="O512" s="78"/>
      <c r="P512" s="77"/>
      <c r="Q512" s="141"/>
    </row>
    <row r="513" spans="1:17" s="75" customFormat="1" ht="15.75">
      <c r="A513" s="54"/>
      <c r="B513" s="76"/>
      <c r="C513" s="54"/>
      <c r="D513" s="54"/>
      <c r="E513" s="77"/>
      <c r="F513" s="78"/>
      <c r="G513" s="78"/>
      <c r="H513" s="78"/>
      <c r="I513" s="78"/>
      <c r="J513" s="77"/>
      <c r="K513" s="78"/>
      <c r="L513" s="78"/>
      <c r="M513" s="78"/>
      <c r="N513" s="78"/>
      <c r="O513" s="78"/>
      <c r="P513" s="77"/>
      <c r="Q513" s="141"/>
    </row>
    <row r="514" spans="1:17" s="75" customFormat="1" ht="15.75">
      <c r="A514" s="54"/>
      <c r="B514" s="76"/>
      <c r="C514" s="54"/>
      <c r="D514" s="54"/>
      <c r="E514" s="77"/>
      <c r="F514" s="78"/>
      <c r="G514" s="78"/>
      <c r="H514" s="78"/>
      <c r="I514" s="78"/>
      <c r="J514" s="77"/>
      <c r="K514" s="78"/>
      <c r="L514" s="78"/>
      <c r="M514" s="78"/>
      <c r="N514" s="78"/>
      <c r="O514" s="78"/>
      <c r="P514" s="77"/>
      <c r="Q514" s="141"/>
    </row>
    <row r="515" spans="1:17" s="75" customFormat="1" ht="15.75">
      <c r="A515" s="54"/>
      <c r="B515" s="76"/>
      <c r="C515" s="54"/>
      <c r="D515" s="54"/>
      <c r="E515" s="77"/>
      <c r="F515" s="78"/>
      <c r="G515" s="78"/>
      <c r="H515" s="78"/>
      <c r="I515" s="78"/>
      <c r="J515" s="77"/>
      <c r="K515" s="78"/>
      <c r="L515" s="78"/>
      <c r="M515" s="78"/>
      <c r="N515" s="78"/>
      <c r="O515" s="78"/>
      <c r="P515" s="77"/>
      <c r="Q515" s="141"/>
    </row>
    <row r="516" spans="1:17" s="75" customFormat="1" ht="15.75">
      <c r="A516" s="54"/>
      <c r="B516" s="76"/>
      <c r="C516" s="54"/>
      <c r="D516" s="54"/>
      <c r="E516" s="77"/>
      <c r="F516" s="78"/>
      <c r="G516" s="78"/>
      <c r="H516" s="78"/>
      <c r="I516" s="78"/>
      <c r="J516" s="77"/>
      <c r="K516" s="78"/>
      <c r="L516" s="78"/>
      <c r="M516" s="78"/>
      <c r="N516" s="78"/>
      <c r="O516" s="78"/>
      <c r="P516" s="77"/>
      <c r="Q516" s="141"/>
    </row>
    <row r="517" spans="1:17" s="75" customFormat="1" ht="15.75">
      <c r="A517" s="54"/>
      <c r="B517" s="76"/>
      <c r="C517" s="54"/>
      <c r="D517" s="54"/>
      <c r="E517" s="77"/>
      <c r="F517" s="78"/>
      <c r="G517" s="78"/>
      <c r="H517" s="78"/>
      <c r="I517" s="78"/>
      <c r="J517" s="77"/>
      <c r="K517" s="78"/>
      <c r="L517" s="78"/>
      <c r="M517" s="78"/>
      <c r="N517" s="78"/>
      <c r="O517" s="78"/>
      <c r="P517" s="77"/>
      <c r="Q517" s="141"/>
    </row>
    <row r="518" spans="1:17" s="75" customFormat="1" ht="15.75">
      <c r="A518" s="54"/>
      <c r="B518" s="76"/>
      <c r="C518" s="54"/>
      <c r="D518" s="54"/>
      <c r="E518" s="77"/>
      <c r="F518" s="78"/>
      <c r="G518" s="78"/>
      <c r="H518" s="78"/>
      <c r="I518" s="78"/>
      <c r="J518" s="77"/>
      <c r="K518" s="78"/>
      <c r="L518" s="78"/>
      <c r="M518" s="78"/>
      <c r="N518" s="78"/>
      <c r="O518" s="78"/>
      <c r="P518" s="77"/>
      <c r="Q518" s="141"/>
    </row>
    <row r="519" spans="1:17" s="75" customFormat="1" ht="15.75">
      <c r="A519" s="54"/>
      <c r="B519" s="76"/>
      <c r="C519" s="54"/>
      <c r="D519" s="54"/>
      <c r="E519" s="77"/>
      <c r="F519" s="78"/>
      <c r="G519" s="78"/>
      <c r="H519" s="78"/>
      <c r="I519" s="78"/>
      <c r="J519" s="77"/>
      <c r="K519" s="78"/>
      <c r="L519" s="78"/>
      <c r="M519" s="78"/>
      <c r="N519" s="78"/>
      <c r="O519" s="78"/>
      <c r="P519" s="77"/>
      <c r="Q519" s="141"/>
    </row>
    <row r="520" spans="1:17" s="75" customFormat="1" ht="15.75">
      <c r="A520" s="54"/>
      <c r="B520" s="76"/>
      <c r="C520" s="54"/>
      <c r="D520" s="54"/>
      <c r="E520" s="77"/>
      <c r="F520" s="78"/>
      <c r="G520" s="78"/>
      <c r="H520" s="78"/>
      <c r="I520" s="78"/>
      <c r="J520" s="77"/>
      <c r="K520" s="78"/>
      <c r="L520" s="78"/>
      <c r="M520" s="78"/>
      <c r="N520" s="78"/>
      <c r="O520" s="78"/>
      <c r="P520" s="77"/>
      <c r="Q520" s="141"/>
    </row>
    <row r="521" spans="1:17" s="75" customFormat="1" ht="15.75">
      <c r="A521" s="54"/>
      <c r="B521" s="76"/>
      <c r="C521" s="54"/>
      <c r="D521" s="54"/>
      <c r="E521" s="77"/>
      <c r="F521" s="78"/>
      <c r="G521" s="78"/>
      <c r="H521" s="78"/>
      <c r="I521" s="78"/>
      <c r="J521" s="77"/>
      <c r="K521" s="78"/>
      <c r="L521" s="78"/>
      <c r="M521" s="78"/>
      <c r="N521" s="78"/>
      <c r="O521" s="78"/>
      <c r="P521" s="77"/>
      <c r="Q521" s="141"/>
    </row>
    <row r="522" spans="1:17" s="75" customFormat="1" ht="15.75">
      <c r="A522" s="54"/>
      <c r="B522" s="76"/>
      <c r="C522" s="54"/>
      <c r="D522" s="54"/>
      <c r="E522" s="77"/>
      <c r="F522" s="78"/>
      <c r="G522" s="78"/>
      <c r="H522" s="78"/>
      <c r="I522" s="78"/>
      <c r="J522" s="77"/>
      <c r="K522" s="78"/>
      <c r="L522" s="78"/>
      <c r="M522" s="78"/>
      <c r="N522" s="78"/>
      <c r="O522" s="78"/>
      <c r="P522" s="77"/>
      <c r="Q522" s="141"/>
    </row>
    <row r="523" spans="1:17" s="75" customFormat="1" ht="15.75">
      <c r="A523" s="54"/>
      <c r="B523" s="76"/>
      <c r="C523" s="54"/>
      <c r="D523" s="54"/>
      <c r="E523" s="77"/>
      <c r="F523" s="78"/>
      <c r="G523" s="78"/>
      <c r="H523" s="78"/>
      <c r="I523" s="78"/>
      <c r="J523" s="77"/>
      <c r="K523" s="78"/>
      <c r="L523" s="78"/>
      <c r="M523" s="78"/>
      <c r="N523" s="78"/>
      <c r="O523" s="78"/>
      <c r="P523" s="77"/>
      <c r="Q523" s="141"/>
    </row>
    <row r="524" spans="1:17" s="75" customFormat="1" ht="15.75">
      <c r="A524" s="54"/>
      <c r="B524" s="76"/>
      <c r="C524" s="54"/>
      <c r="D524" s="54"/>
      <c r="E524" s="77"/>
      <c r="F524" s="78"/>
      <c r="G524" s="78"/>
      <c r="H524" s="78"/>
      <c r="I524" s="78"/>
      <c r="J524" s="77"/>
      <c r="K524" s="78"/>
      <c r="L524" s="78"/>
      <c r="M524" s="78"/>
      <c r="N524" s="78"/>
      <c r="O524" s="78"/>
      <c r="P524" s="77"/>
      <c r="Q524" s="141"/>
    </row>
    <row r="525" spans="1:17" s="75" customFormat="1" ht="15.75">
      <c r="A525" s="54"/>
      <c r="B525" s="76"/>
      <c r="C525" s="54"/>
      <c r="D525" s="54"/>
      <c r="E525" s="77"/>
      <c r="F525" s="78"/>
      <c r="G525" s="78"/>
      <c r="H525" s="78"/>
      <c r="I525" s="78"/>
      <c r="J525" s="77"/>
      <c r="K525" s="78"/>
      <c r="L525" s="78"/>
      <c r="M525" s="78"/>
      <c r="N525" s="78"/>
      <c r="O525" s="78"/>
      <c r="P525" s="77"/>
      <c r="Q525" s="141"/>
    </row>
    <row r="526" spans="1:17" s="75" customFormat="1" ht="15.75">
      <c r="A526" s="54"/>
      <c r="B526" s="76"/>
      <c r="C526" s="54"/>
      <c r="D526" s="54"/>
      <c r="E526" s="77"/>
      <c r="F526" s="78"/>
      <c r="G526" s="78"/>
      <c r="H526" s="78"/>
      <c r="I526" s="78"/>
      <c r="J526" s="77"/>
      <c r="K526" s="78"/>
      <c r="L526" s="78"/>
      <c r="M526" s="78"/>
      <c r="N526" s="78"/>
      <c r="O526" s="78"/>
      <c r="P526" s="77"/>
      <c r="Q526" s="141"/>
    </row>
    <row r="527" spans="1:17" s="75" customFormat="1" ht="15.75">
      <c r="A527" s="54"/>
      <c r="B527" s="76"/>
      <c r="C527" s="54"/>
      <c r="D527" s="54"/>
      <c r="E527" s="77"/>
      <c r="F527" s="78"/>
      <c r="G527" s="78"/>
      <c r="H527" s="78"/>
      <c r="I527" s="78"/>
      <c r="J527" s="77"/>
      <c r="K527" s="78"/>
      <c r="L527" s="78"/>
      <c r="M527" s="78"/>
      <c r="N527" s="78"/>
      <c r="O527" s="78"/>
      <c r="P527" s="77"/>
      <c r="Q527" s="141"/>
    </row>
    <row r="528" spans="1:17" s="75" customFormat="1" ht="15.75">
      <c r="A528" s="54"/>
      <c r="B528" s="76"/>
      <c r="C528" s="54"/>
      <c r="D528" s="54"/>
      <c r="E528" s="77"/>
      <c r="F528" s="78"/>
      <c r="G528" s="78"/>
      <c r="H528" s="78"/>
      <c r="I528" s="78"/>
      <c r="J528" s="77"/>
      <c r="K528" s="78"/>
      <c r="L528" s="78"/>
      <c r="M528" s="78"/>
      <c r="N528" s="78"/>
      <c r="O528" s="78"/>
      <c r="P528" s="77"/>
      <c r="Q528" s="141"/>
    </row>
    <row r="529" spans="1:17" s="75" customFormat="1" ht="15.75">
      <c r="A529" s="54"/>
      <c r="B529" s="76"/>
      <c r="C529" s="54"/>
      <c r="D529" s="54"/>
      <c r="E529" s="77"/>
      <c r="F529" s="78"/>
      <c r="G529" s="78"/>
      <c r="H529" s="78"/>
      <c r="I529" s="78"/>
      <c r="J529" s="77"/>
      <c r="K529" s="78"/>
      <c r="L529" s="78"/>
      <c r="M529" s="78"/>
      <c r="N529" s="78"/>
      <c r="O529" s="78"/>
      <c r="P529" s="77"/>
      <c r="Q529" s="141"/>
    </row>
    <row r="530" spans="1:17" s="75" customFormat="1" ht="15.75">
      <c r="A530" s="54"/>
      <c r="B530" s="76"/>
      <c r="C530" s="54"/>
      <c r="D530" s="54"/>
      <c r="E530" s="77"/>
      <c r="F530" s="78"/>
      <c r="G530" s="78"/>
      <c r="H530" s="78"/>
      <c r="I530" s="78"/>
      <c r="J530" s="77"/>
      <c r="K530" s="78"/>
      <c r="L530" s="78"/>
      <c r="M530" s="78"/>
      <c r="N530" s="78"/>
      <c r="O530" s="78"/>
      <c r="P530" s="77"/>
      <c r="Q530" s="141"/>
    </row>
    <row r="531" spans="1:17" s="75" customFormat="1" ht="15.75">
      <c r="A531" s="54"/>
      <c r="B531" s="76"/>
      <c r="C531" s="54"/>
      <c r="D531" s="54"/>
      <c r="E531" s="77"/>
      <c r="F531" s="78"/>
      <c r="G531" s="78"/>
      <c r="H531" s="78"/>
      <c r="I531" s="78"/>
      <c r="J531" s="77"/>
      <c r="K531" s="78"/>
      <c r="L531" s="78"/>
      <c r="M531" s="78"/>
      <c r="N531" s="78"/>
      <c r="O531" s="78"/>
      <c r="P531" s="77"/>
      <c r="Q531" s="141"/>
    </row>
    <row r="532" spans="1:17" s="75" customFormat="1" ht="15.75">
      <c r="A532" s="54"/>
      <c r="B532" s="76"/>
      <c r="C532" s="54"/>
      <c r="D532" s="54"/>
      <c r="E532" s="77"/>
      <c r="F532" s="78"/>
      <c r="G532" s="78"/>
      <c r="H532" s="78"/>
      <c r="I532" s="78"/>
      <c r="J532" s="77"/>
      <c r="K532" s="78"/>
      <c r="L532" s="78"/>
      <c r="M532" s="78"/>
      <c r="N532" s="78"/>
      <c r="O532" s="78"/>
      <c r="P532" s="77"/>
      <c r="Q532" s="141"/>
    </row>
    <row r="533" spans="1:17" s="75" customFormat="1" ht="15.75">
      <c r="A533" s="54"/>
      <c r="B533" s="76"/>
      <c r="C533" s="54"/>
      <c r="D533" s="54"/>
      <c r="E533" s="77"/>
      <c r="F533" s="78"/>
      <c r="G533" s="78"/>
      <c r="H533" s="78"/>
      <c r="I533" s="78"/>
      <c r="J533" s="77"/>
      <c r="K533" s="78"/>
      <c r="L533" s="78"/>
      <c r="M533" s="78"/>
      <c r="N533" s="78"/>
      <c r="O533" s="78"/>
      <c r="P533" s="77"/>
      <c r="Q533" s="141"/>
    </row>
    <row r="534" spans="1:17" s="75" customFormat="1" ht="15.75">
      <c r="A534" s="54"/>
      <c r="B534" s="76"/>
      <c r="C534" s="54"/>
      <c r="D534" s="54"/>
      <c r="E534" s="77"/>
      <c r="F534" s="78"/>
      <c r="G534" s="78"/>
      <c r="H534" s="78"/>
      <c r="I534" s="78"/>
      <c r="J534" s="77"/>
      <c r="K534" s="78"/>
      <c r="L534" s="78"/>
      <c r="M534" s="78"/>
      <c r="N534" s="78"/>
      <c r="O534" s="78"/>
      <c r="P534" s="77"/>
      <c r="Q534" s="141"/>
    </row>
    <row r="535" spans="1:17" s="75" customFormat="1" ht="15.75">
      <c r="A535" s="54"/>
      <c r="B535" s="76"/>
      <c r="C535" s="54"/>
      <c r="D535" s="54"/>
      <c r="E535" s="77"/>
      <c r="F535" s="78"/>
      <c r="G535" s="78"/>
      <c r="H535" s="78"/>
      <c r="I535" s="78"/>
      <c r="J535" s="77"/>
      <c r="K535" s="78"/>
      <c r="L535" s="78"/>
      <c r="M535" s="78"/>
      <c r="N535" s="78"/>
      <c r="O535" s="78"/>
      <c r="P535" s="77"/>
      <c r="Q535" s="141"/>
    </row>
    <row r="536" spans="1:17" s="75" customFormat="1" ht="15.75">
      <c r="A536" s="54"/>
      <c r="B536" s="76"/>
      <c r="C536" s="54"/>
      <c r="D536" s="54"/>
      <c r="E536" s="77"/>
      <c r="F536" s="78"/>
      <c r="G536" s="78"/>
      <c r="H536" s="78"/>
      <c r="I536" s="78"/>
      <c r="J536" s="77"/>
      <c r="K536" s="78"/>
      <c r="L536" s="78"/>
      <c r="M536" s="78"/>
      <c r="N536" s="78"/>
      <c r="O536" s="78"/>
      <c r="P536" s="77"/>
      <c r="Q536" s="141"/>
    </row>
    <row r="537" spans="1:17" s="75" customFormat="1" ht="15.75">
      <c r="A537" s="54"/>
      <c r="B537" s="76"/>
      <c r="C537" s="54"/>
      <c r="D537" s="54"/>
      <c r="E537" s="77"/>
      <c r="F537" s="78"/>
      <c r="G537" s="78"/>
      <c r="H537" s="78"/>
      <c r="I537" s="78"/>
      <c r="J537" s="77"/>
      <c r="K537" s="78"/>
      <c r="L537" s="78"/>
      <c r="M537" s="78"/>
      <c r="N537" s="78"/>
      <c r="O537" s="78"/>
      <c r="P537" s="77"/>
      <c r="Q537" s="141"/>
    </row>
    <row r="538" spans="1:17" s="75" customFormat="1" ht="15.75">
      <c r="A538" s="54"/>
      <c r="B538" s="76"/>
      <c r="C538" s="54"/>
      <c r="D538" s="54"/>
      <c r="E538" s="77"/>
      <c r="F538" s="78"/>
      <c r="G538" s="78"/>
      <c r="H538" s="78"/>
      <c r="I538" s="78"/>
      <c r="J538" s="77"/>
      <c r="K538" s="78"/>
      <c r="L538" s="78"/>
      <c r="M538" s="78"/>
      <c r="N538" s="78"/>
      <c r="O538" s="78"/>
      <c r="P538" s="77"/>
      <c r="Q538" s="141"/>
    </row>
    <row r="539" spans="1:17" s="75" customFormat="1" ht="15.75">
      <c r="A539" s="54"/>
      <c r="B539" s="76"/>
      <c r="C539" s="54"/>
      <c r="D539" s="54"/>
      <c r="E539" s="77"/>
      <c r="F539" s="78"/>
      <c r="G539" s="78"/>
      <c r="H539" s="78"/>
      <c r="I539" s="78"/>
      <c r="J539" s="77"/>
      <c r="K539" s="78"/>
      <c r="L539" s="78"/>
      <c r="M539" s="78"/>
      <c r="N539" s="78"/>
      <c r="O539" s="78"/>
      <c r="P539" s="77"/>
      <c r="Q539" s="141"/>
    </row>
    <row r="540" spans="1:17" s="75" customFormat="1" ht="15.75">
      <c r="A540" s="54"/>
      <c r="B540" s="76"/>
      <c r="C540" s="54"/>
      <c r="D540" s="54"/>
      <c r="E540" s="77"/>
      <c r="F540" s="78"/>
      <c r="G540" s="78"/>
      <c r="H540" s="78"/>
      <c r="I540" s="78"/>
      <c r="J540" s="77"/>
      <c r="K540" s="78"/>
      <c r="L540" s="78"/>
      <c r="M540" s="78"/>
      <c r="N540" s="78"/>
      <c r="O540" s="78"/>
      <c r="P540" s="77"/>
      <c r="Q540" s="141"/>
    </row>
    <row r="541" spans="1:17" s="75" customFormat="1" ht="15.75">
      <c r="A541" s="54"/>
      <c r="B541" s="76"/>
      <c r="C541" s="54"/>
      <c r="D541" s="54"/>
      <c r="E541" s="77"/>
      <c r="F541" s="78"/>
      <c r="G541" s="78"/>
      <c r="H541" s="78"/>
      <c r="I541" s="78"/>
      <c r="J541" s="77"/>
      <c r="K541" s="78"/>
      <c r="L541" s="78"/>
      <c r="M541" s="78"/>
      <c r="N541" s="78"/>
      <c r="O541" s="78"/>
      <c r="P541" s="77"/>
      <c r="Q541" s="141"/>
    </row>
    <row r="542" spans="1:17" s="75" customFormat="1" ht="15.75">
      <c r="A542" s="54"/>
      <c r="B542" s="76"/>
      <c r="C542" s="54"/>
      <c r="D542" s="54"/>
      <c r="E542" s="77"/>
      <c r="F542" s="78"/>
      <c r="G542" s="78"/>
      <c r="H542" s="78"/>
      <c r="I542" s="78"/>
      <c r="J542" s="77"/>
      <c r="K542" s="78"/>
      <c r="L542" s="78"/>
      <c r="M542" s="78"/>
      <c r="N542" s="78"/>
      <c r="O542" s="78"/>
      <c r="P542" s="77"/>
      <c r="Q542" s="141"/>
    </row>
    <row r="543" spans="1:17" s="75" customFormat="1" ht="15.75">
      <c r="A543" s="54"/>
      <c r="B543" s="76"/>
      <c r="C543" s="54"/>
      <c r="D543" s="54"/>
      <c r="E543" s="77"/>
      <c r="F543" s="78"/>
      <c r="G543" s="78"/>
      <c r="H543" s="78"/>
      <c r="I543" s="78"/>
      <c r="J543" s="77"/>
      <c r="K543" s="78"/>
      <c r="L543" s="78"/>
      <c r="M543" s="78"/>
      <c r="N543" s="78"/>
      <c r="O543" s="78"/>
      <c r="P543" s="77"/>
      <c r="Q543" s="141"/>
    </row>
    <row r="544" spans="1:17" s="75" customFormat="1" ht="15.75">
      <c r="A544" s="54"/>
      <c r="B544" s="76"/>
      <c r="C544" s="54"/>
      <c r="D544" s="54"/>
      <c r="E544" s="77"/>
      <c r="F544" s="78"/>
      <c r="G544" s="78"/>
      <c r="H544" s="78"/>
      <c r="I544" s="78"/>
      <c r="J544" s="77"/>
      <c r="K544" s="78"/>
      <c r="L544" s="78"/>
      <c r="M544" s="78"/>
      <c r="N544" s="78"/>
      <c r="O544" s="78"/>
      <c r="P544" s="77"/>
      <c r="Q544" s="141"/>
    </row>
    <row r="545" spans="1:17" s="75" customFormat="1" ht="15.75">
      <c r="A545" s="54"/>
      <c r="B545" s="76"/>
      <c r="C545" s="54"/>
      <c r="D545" s="54"/>
      <c r="E545" s="77"/>
      <c r="F545" s="78"/>
      <c r="G545" s="78"/>
      <c r="H545" s="78"/>
      <c r="I545" s="78"/>
      <c r="J545" s="77"/>
      <c r="K545" s="78"/>
      <c r="L545" s="78"/>
      <c r="M545" s="78"/>
      <c r="N545" s="78"/>
      <c r="O545" s="78"/>
      <c r="P545" s="77"/>
      <c r="Q545" s="141"/>
    </row>
    <row r="546" spans="1:17" s="75" customFormat="1" ht="15.75">
      <c r="A546" s="54"/>
      <c r="B546" s="76"/>
      <c r="C546" s="54"/>
      <c r="D546" s="54"/>
      <c r="E546" s="77"/>
      <c r="F546" s="78"/>
      <c r="G546" s="78"/>
      <c r="H546" s="78"/>
      <c r="I546" s="78"/>
      <c r="J546" s="77"/>
      <c r="K546" s="78"/>
      <c r="L546" s="78"/>
      <c r="M546" s="78"/>
      <c r="N546" s="78"/>
      <c r="O546" s="78"/>
      <c r="P546" s="77"/>
      <c r="Q546" s="141"/>
    </row>
    <row r="547" spans="1:17" s="75" customFormat="1" ht="15.75">
      <c r="A547" s="54"/>
      <c r="B547" s="76"/>
      <c r="C547" s="54"/>
      <c r="D547" s="54"/>
      <c r="E547" s="77"/>
      <c r="F547" s="78"/>
      <c r="G547" s="78"/>
      <c r="H547" s="78"/>
      <c r="I547" s="78"/>
      <c r="J547" s="77"/>
      <c r="K547" s="78"/>
      <c r="L547" s="78"/>
      <c r="M547" s="78"/>
      <c r="N547" s="78"/>
      <c r="O547" s="78"/>
      <c r="P547" s="77"/>
      <c r="Q547" s="141"/>
    </row>
    <row r="548" spans="1:17" s="75" customFormat="1" ht="15.75">
      <c r="A548" s="54"/>
      <c r="B548" s="76"/>
      <c r="C548" s="54"/>
      <c r="D548" s="54"/>
      <c r="E548" s="77"/>
      <c r="F548" s="78"/>
      <c r="G548" s="78"/>
      <c r="H548" s="78"/>
      <c r="I548" s="78"/>
      <c r="J548" s="77"/>
      <c r="K548" s="78"/>
      <c r="L548" s="78"/>
      <c r="M548" s="78"/>
      <c r="N548" s="78"/>
      <c r="O548" s="78"/>
      <c r="P548" s="77"/>
      <c r="Q548" s="141"/>
    </row>
    <row r="549" spans="1:17" s="75" customFormat="1" ht="15.75">
      <c r="A549" s="54"/>
      <c r="B549" s="76"/>
      <c r="C549" s="54"/>
      <c r="D549" s="54"/>
      <c r="E549" s="77"/>
      <c r="F549" s="78"/>
      <c r="G549" s="78"/>
      <c r="H549" s="78"/>
      <c r="I549" s="78"/>
      <c r="J549" s="77"/>
      <c r="K549" s="78"/>
      <c r="L549" s="78"/>
      <c r="M549" s="78"/>
      <c r="N549" s="78"/>
      <c r="O549" s="78"/>
      <c r="P549" s="77"/>
      <c r="Q549" s="141"/>
    </row>
    <row r="550" spans="1:17" s="75" customFormat="1" ht="15.75">
      <c r="A550" s="54"/>
      <c r="B550" s="76"/>
      <c r="C550" s="54"/>
      <c r="D550" s="54"/>
      <c r="E550" s="77"/>
      <c r="F550" s="78"/>
      <c r="G550" s="78"/>
      <c r="H550" s="78"/>
      <c r="I550" s="78"/>
      <c r="J550" s="77"/>
      <c r="K550" s="78"/>
      <c r="L550" s="78"/>
      <c r="M550" s="78"/>
      <c r="N550" s="78"/>
      <c r="O550" s="78"/>
      <c r="P550" s="77"/>
      <c r="Q550" s="141"/>
    </row>
    <row r="551" spans="1:17" s="75" customFormat="1" ht="15.75">
      <c r="A551" s="54"/>
      <c r="B551" s="76"/>
      <c r="C551" s="54"/>
      <c r="D551" s="54"/>
      <c r="E551" s="77"/>
      <c r="F551" s="78"/>
      <c r="G551" s="78"/>
      <c r="H551" s="78"/>
      <c r="I551" s="78"/>
      <c r="J551" s="77"/>
      <c r="K551" s="78"/>
      <c r="L551" s="78"/>
      <c r="M551" s="78"/>
      <c r="N551" s="78"/>
      <c r="O551" s="78"/>
      <c r="P551" s="77"/>
      <c r="Q551" s="141"/>
    </row>
    <row r="552" spans="1:17" s="75" customFormat="1" ht="15.75">
      <c r="A552" s="54"/>
      <c r="B552" s="76"/>
      <c r="C552" s="54"/>
      <c r="D552" s="54"/>
      <c r="E552" s="77"/>
      <c r="F552" s="78"/>
      <c r="G552" s="78"/>
      <c r="H552" s="78"/>
      <c r="I552" s="78"/>
      <c r="J552" s="77"/>
      <c r="K552" s="78"/>
      <c r="L552" s="78"/>
      <c r="M552" s="78"/>
      <c r="N552" s="78"/>
      <c r="O552" s="78"/>
      <c r="P552" s="77"/>
      <c r="Q552" s="141"/>
    </row>
    <row r="553" spans="1:17" s="75" customFormat="1" ht="15.75">
      <c r="A553" s="54"/>
      <c r="B553" s="76"/>
      <c r="C553" s="54"/>
      <c r="D553" s="54"/>
      <c r="E553" s="77"/>
      <c r="F553" s="78"/>
      <c r="G553" s="78"/>
      <c r="H553" s="78"/>
      <c r="I553" s="78"/>
      <c r="J553" s="77"/>
      <c r="K553" s="78"/>
      <c r="L553" s="78"/>
      <c r="M553" s="78"/>
      <c r="N553" s="78"/>
      <c r="O553" s="78"/>
      <c r="P553" s="77"/>
      <c r="Q553" s="141"/>
    </row>
    <row r="554" spans="1:17" s="75" customFormat="1" ht="15.75">
      <c r="A554" s="54"/>
      <c r="B554" s="76"/>
      <c r="C554" s="54"/>
      <c r="D554" s="54"/>
      <c r="E554" s="77"/>
      <c r="F554" s="78"/>
      <c r="G554" s="78"/>
      <c r="H554" s="78"/>
      <c r="I554" s="78"/>
      <c r="J554" s="77"/>
      <c r="K554" s="78"/>
      <c r="L554" s="78"/>
      <c r="M554" s="78"/>
      <c r="N554" s="78"/>
      <c r="O554" s="78"/>
      <c r="P554" s="77"/>
      <c r="Q554" s="141"/>
    </row>
    <row r="555" spans="1:17" s="75" customFormat="1" ht="15.75">
      <c r="A555" s="54"/>
      <c r="B555" s="76"/>
      <c r="C555" s="54"/>
      <c r="D555" s="54"/>
      <c r="E555" s="77"/>
      <c r="F555" s="78"/>
      <c r="G555" s="78"/>
      <c r="H555" s="78"/>
      <c r="I555" s="78"/>
      <c r="J555" s="77"/>
      <c r="K555" s="78"/>
      <c r="L555" s="78"/>
      <c r="M555" s="78"/>
      <c r="N555" s="78"/>
      <c r="O555" s="78"/>
      <c r="P555" s="77"/>
      <c r="Q555" s="141"/>
    </row>
    <row r="556" spans="1:17" s="75" customFormat="1" ht="15.75">
      <c r="A556" s="54"/>
      <c r="B556" s="76"/>
      <c r="C556" s="54"/>
      <c r="D556" s="54"/>
      <c r="E556" s="77"/>
      <c r="F556" s="78"/>
      <c r="G556" s="78"/>
      <c r="H556" s="78"/>
      <c r="I556" s="78"/>
      <c r="J556" s="77"/>
      <c r="K556" s="78"/>
      <c r="L556" s="78"/>
      <c r="M556" s="78"/>
      <c r="N556" s="78"/>
      <c r="O556" s="78"/>
      <c r="P556" s="77"/>
      <c r="Q556" s="141"/>
    </row>
    <row r="557" spans="1:17" s="75" customFormat="1" ht="15.75">
      <c r="A557" s="54"/>
      <c r="B557" s="76"/>
      <c r="C557" s="54"/>
      <c r="D557" s="54"/>
      <c r="E557" s="77"/>
      <c r="F557" s="78"/>
      <c r="G557" s="78"/>
      <c r="H557" s="78"/>
      <c r="I557" s="78"/>
      <c r="J557" s="77"/>
      <c r="K557" s="78"/>
      <c r="L557" s="78"/>
      <c r="M557" s="78"/>
      <c r="N557" s="78"/>
      <c r="O557" s="78"/>
      <c r="P557" s="77"/>
      <c r="Q557" s="141"/>
    </row>
    <row r="558" spans="1:17" s="75" customFormat="1" ht="15.75">
      <c r="A558" s="54"/>
      <c r="B558" s="76"/>
      <c r="C558" s="54"/>
      <c r="D558" s="54"/>
      <c r="E558" s="77"/>
      <c r="F558" s="78"/>
      <c r="G558" s="78"/>
      <c r="H558" s="78"/>
      <c r="I558" s="78"/>
      <c r="J558" s="77"/>
      <c r="K558" s="78"/>
      <c r="L558" s="78"/>
      <c r="M558" s="78"/>
      <c r="N558" s="78"/>
      <c r="O558" s="78"/>
      <c r="P558" s="77"/>
      <c r="Q558" s="141"/>
    </row>
    <row r="559" spans="1:17" s="75" customFormat="1" ht="15.75">
      <c r="A559" s="54"/>
      <c r="B559" s="76"/>
      <c r="C559" s="54"/>
      <c r="D559" s="54"/>
      <c r="E559" s="77"/>
      <c r="F559" s="78"/>
      <c r="G559" s="78"/>
      <c r="H559" s="78"/>
      <c r="I559" s="78"/>
      <c r="J559" s="77"/>
      <c r="K559" s="78"/>
      <c r="L559" s="78"/>
      <c r="M559" s="78"/>
      <c r="N559" s="78"/>
      <c r="O559" s="78"/>
      <c r="P559" s="77"/>
      <c r="Q559" s="141"/>
    </row>
    <row r="560" spans="1:17" s="75" customFormat="1" ht="15.75">
      <c r="A560" s="54"/>
      <c r="B560" s="76"/>
      <c r="C560" s="54"/>
      <c r="D560" s="54"/>
      <c r="E560" s="77"/>
      <c r="F560" s="78"/>
      <c r="G560" s="78"/>
      <c r="H560" s="78"/>
      <c r="I560" s="78"/>
      <c r="J560" s="77"/>
      <c r="K560" s="78"/>
      <c r="L560" s="78"/>
      <c r="M560" s="78"/>
      <c r="N560" s="78"/>
      <c r="O560" s="78"/>
      <c r="P560" s="77"/>
      <c r="Q560" s="141"/>
    </row>
    <row r="561" spans="1:17" s="75" customFormat="1" ht="15.75">
      <c r="A561" s="54"/>
      <c r="B561" s="76"/>
      <c r="C561" s="54"/>
      <c r="D561" s="54"/>
      <c r="E561" s="77"/>
      <c r="F561" s="78"/>
      <c r="G561" s="78"/>
      <c r="H561" s="78"/>
      <c r="I561" s="78"/>
      <c r="J561" s="77"/>
      <c r="K561" s="78"/>
      <c r="L561" s="78"/>
      <c r="M561" s="78"/>
      <c r="N561" s="78"/>
      <c r="O561" s="78"/>
      <c r="P561" s="77"/>
      <c r="Q561" s="141"/>
    </row>
    <row r="562" spans="1:17" s="75" customFormat="1" ht="15.75">
      <c r="A562" s="54"/>
      <c r="B562" s="76"/>
      <c r="C562" s="54"/>
      <c r="D562" s="54"/>
      <c r="E562" s="77"/>
      <c r="F562" s="78"/>
      <c r="G562" s="78"/>
      <c r="H562" s="78"/>
      <c r="I562" s="78"/>
      <c r="J562" s="77"/>
      <c r="K562" s="78"/>
      <c r="L562" s="78"/>
      <c r="M562" s="78"/>
      <c r="N562" s="78"/>
      <c r="O562" s="78"/>
      <c r="P562" s="77"/>
      <c r="Q562" s="141"/>
    </row>
    <row r="563" spans="1:17" s="75" customFormat="1" ht="15.75">
      <c r="A563" s="54"/>
      <c r="B563" s="76"/>
      <c r="C563" s="54"/>
      <c r="D563" s="54"/>
      <c r="E563" s="77"/>
      <c r="F563" s="78"/>
      <c r="G563" s="78"/>
      <c r="H563" s="78"/>
      <c r="I563" s="78"/>
      <c r="J563" s="77"/>
      <c r="K563" s="78"/>
      <c r="L563" s="78"/>
      <c r="M563" s="78"/>
      <c r="N563" s="78"/>
      <c r="O563" s="78"/>
      <c r="P563" s="77"/>
      <c r="Q563" s="141"/>
    </row>
    <row r="564" spans="1:17" s="75" customFormat="1" ht="15.75">
      <c r="A564" s="54"/>
      <c r="B564" s="76"/>
      <c r="C564" s="54"/>
      <c r="D564" s="54"/>
      <c r="E564" s="77"/>
      <c r="F564" s="78"/>
      <c r="G564" s="78"/>
      <c r="H564" s="78"/>
      <c r="I564" s="78"/>
      <c r="J564" s="77"/>
      <c r="K564" s="78"/>
      <c r="L564" s="78"/>
      <c r="M564" s="78"/>
      <c r="N564" s="78"/>
      <c r="O564" s="78"/>
      <c r="P564" s="77"/>
      <c r="Q564" s="141"/>
    </row>
    <row r="565" spans="1:17" s="75" customFormat="1" ht="15.75">
      <c r="A565" s="54"/>
      <c r="B565" s="76"/>
      <c r="C565" s="54"/>
      <c r="D565" s="54"/>
      <c r="E565" s="77"/>
      <c r="F565" s="78"/>
      <c r="G565" s="78"/>
      <c r="H565" s="78"/>
      <c r="I565" s="78"/>
      <c r="J565" s="77"/>
      <c r="K565" s="78"/>
      <c r="L565" s="78"/>
      <c r="M565" s="78"/>
      <c r="N565" s="78"/>
      <c r="O565" s="78"/>
      <c r="P565" s="77"/>
      <c r="Q565" s="141"/>
    </row>
    <row r="566" spans="1:17" s="75" customFormat="1" ht="15.75">
      <c r="A566" s="54"/>
      <c r="B566" s="76"/>
      <c r="C566" s="54"/>
      <c r="D566" s="54"/>
      <c r="E566" s="77"/>
      <c r="F566" s="78"/>
      <c r="G566" s="78"/>
      <c r="H566" s="78"/>
      <c r="I566" s="78"/>
      <c r="J566" s="77"/>
      <c r="K566" s="78"/>
      <c r="L566" s="78"/>
      <c r="M566" s="78"/>
      <c r="N566" s="78"/>
      <c r="O566" s="78"/>
      <c r="P566" s="77"/>
      <c r="Q566" s="141"/>
    </row>
    <row r="567" spans="1:17" s="75" customFormat="1" ht="15.75">
      <c r="A567" s="54"/>
      <c r="B567" s="76"/>
      <c r="C567" s="54"/>
      <c r="D567" s="54"/>
      <c r="E567" s="77"/>
      <c r="F567" s="78"/>
      <c r="G567" s="78"/>
      <c r="H567" s="78"/>
      <c r="I567" s="78"/>
      <c r="J567" s="77"/>
      <c r="K567" s="78"/>
      <c r="L567" s="78"/>
      <c r="M567" s="78"/>
      <c r="N567" s="78"/>
      <c r="O567" s="78"/>
      <c r="P567" s="77"/>
      <c r="Q567" s="141"/>
    </row>
    <row r="568" spans="1:17" s="75" customFormat="1" ht="15.75">
      <c r="A568" s="54"/>
      <c r="B568" s="76"/>
      <c r="C568" s="54"/>
      <c r="D568" s="54"/>
      <c r="E568" s="77"/>
      <c r="F568" s="78"/>
      <c r="G568" s="78"/>
      <c r="H568" s="78"/>
      <c r="I568" s="78"/>
      <c r="J568" s="77"/>
      <c r="K568" s="78"/>
      <c r="L568" s="78"/>
      <c r="M568" s="78"/>
      <c r="N568" s="78"/>
      <c r="O568" s="78"/>
      <c r="P568" s="77"/>
      <c r="Q568" s="141"/>
    </row>
    <row r="569" spans="1:17" s="75" customFormat="1" ht="15.75">
      <c r="A569" s="54"/>
      <c r="B569" s="76"/>
      <c r="C569" s="54"/>
      <c r="D569" s="54"/>
      <c r="E569" s="77"/>
      <c r="F569" s="78"/>
      <c r="G569" s="78"/>
      <c r="H569" s="78"/>
      <c r="I569" s="78"/>
      <c r="J569" s="77"/>
      <c r="K569" s="78"/>
      <c r="L569" s="78"/>
      <c r="M569" s="78"/>
      <c r="N569" s="78"/>
      <c r="O569" s="78"/>
      <c r="P569" s="77"/>
      <c r="Q569" s="141"/>
    </row>
    <row r="570" spans="1:17" s="75" customFormat="1" ht="15.75">
      <c r="A570" s="54"/>
      <c r="B570" s="76"/>
      <c r="C570" s="54"/>
      <c r="D570" s="54"/>
      <c r="E570" s="77"/>
      <c r="F570" s="78"/>
      <c r="G570" s="78"/>
      <c r="H570" s="78"/>
      <c r="I570" s="78"/>
      <c r="J570" s="77"/>
      <c r="K570" s="78"/>
      <c r="L570" s="78"/>
      <c r="M570" s="78"/>
      <c r="N570" s="78"/>
      <c r="O570" s="78"/>
      <c r="P570" s="77"/>
      <c r="Q570" s="141"/>
    </row>
    <row r="571" spans="1:17" s="75" customFormat="1" ht="15.75">
      <c r="A571" s="54"/>
      <c r="B571" s="76"/>
      <c r="C571" s="54"/>
      <c r="D571" s="54"/>
      <c r="E571" s="77"/>
      <c r="F571" s="78"/>
      <c r="G571" s="78"/>
      <c r="H571" s="78"/>
      <c r="I571" s="78"/>
      <c r="J571" s="77"/>
      <c r="K571" s="78"/>
      <c r="L571" s="78"/>
      <c r="M571" s="78"/>
      <c r="N571" s="78"/>
      <c r="O571" s="78"/>
      <c r="P571" s="77"/>
      <c r="Q571" s="141"/>
    </row>
    <row r="572" spans="1:17" s="75" customFormat="1" ht="15.75">
      <c r="A572" s="54"/>
      <c r="B572" s="76"/>
      <c r="C572" s="54"/>
      <c r="D572" s="54"/>
      <c r="E572" s="77"/>
      <c r="F572" s="78"/>
      <c r="G572" s="78"/>
      <c r="H572" s="78"/>
      <c r="I572" s="78"/>
      <c r="J572" s="77"/>
      <c r="K572" s="78"/>
      <c r="L572" s="78"/>
      <c r="M572" s="78"/>
      <c r="N572" s="78"/>
      <c r="O572" s="78"/>
      <c r="P572" s="77"/>
      <c r="Q572" s="141"/>
    </row>
    <row r="573" spans="1:17" s="75" customFormat="1" ht="15.75">
      <c r="A573" s="54"/>
      <c r="B573" s="76"/>
      <c r="C573" s="54"/>
      <c r="D573" s="54"/>
      <c r="E573" s="77"/>
      <c r="F573" s="78"/>
      <c r="G573" s="78"/>
      <c r="H573" s="78"/>
      <c r="I573" s="78"/>
      <c r="J573" s="77"/>
      <c r="K573" s="78"/>
      <c r="L573" s="78"/>
      <c r="M573" s="78"/>
      <c r="N573" s="78"/>
      <c r="O573" s="78"/>
      <c r="P573" s="77"/>
      <c r="Q573" s="141"/>
    </row>
    <row r="574" spans="1:17" s="75" customFormat="1" ht="15.75">
      <c r="A574" s="54"/>
      <c r="B574" s="76"/>
      <c r="C574" s="54"/>
      <c r="D574" s="54"/>
      <c r="E574" s="77"/>
      <c r="F574" s="78"/>
      <c r="G574" s="78"/>
      <c r="H574" s="78"/>
      <c r="I574" s="78"/>
      <c r="J574" s="77"/>
      <c r="K574" s="78"/>
      <c r="L574" s="78"/>
      <c r="M574" s="78"/>
      <c r="N574" s="78"/>
      <c r="O574" s="78"/>
      <c r="P574" s="77"/>
      <c r="Q574" s="141"/>
    </row>
    <row r="575" spans="1:17" s="75" customFormat="1" ht="15.75">
      <c r="A575" s="54"/>
      <c r="B575" s="76"/>
      <c r="C575" s="54"/>
      <c r="D575" s="54"/>
      <c r="E575" s="77"/>
      <c r="F575" s="78"/>
      <c r="G575" s="78"/>
      <c r="H575" s="78"/>
      <c r="I575" s="78"/>
      <c r="J575" s="77"/>
      <c r="K575" s="78"/>
      <c r="L575" s="78"/>
      <c r="M575" s="78"/>
      <c r="N575" s="78"/>
      <c r="O575" s="78"/>
      <c r="P575" s="77"/>
      <c r="Q575" s="141"/>
    </row>
    <row r="576" spans="1:17" s="75" customFormat="1" ht="15.75">
      <c r="A576" s="54"/>
      <c r="B576" s="76"/>
      <c r="C576" s="54"/>
      <c r="D576" s="54"/>
      <c r="E576" s="77"/>
      <c r="F576" s="78"/>
      <c r="G576" s="78"/>
      <c r="H576" s="78"/>
      <c r="I576" s="78"/>
      <c r="J576" s="77"/>
      <c r="K576" s="78"/>
      <c r="L576" s="78"/>
      <c r="M576" s="78"/>
      <c r="N576" s="78"/>
      <c r="O576" s="78"/>
      <c r="P576" s="77"/>
      <c r="Q576" s="141"/>
    </row>
    <row r="577" spans="1:17" s="75" customFormat="1" ht="15.75">
      <c r="A577" s="54"/>
      <c r="B577" s="76"/>
      <c r="C577" s="54"/>
      <c r="D577" s="54"/>
      <c r="E577" s="77"/>
      <c r="F577" s="78"/>
      <c r="G577" s="78"/>
      <c r="H577" s="78"/>
      <c r="I577" s="78"/>
      <c r="J577" s="77"/>
      <c r="K577" s="78"/>
      <c r="L577" s="78"/>
      <c r="M577" s="78"/>
      <c r="N577" s="78"/>
      <c r="O577" s="78"/>
      <c r="P577" s="77"/>
      <c r="Q577" s="141"/>
    </row>
    <row r="578" spans="1:17" s="75" customFormat="1" ht="15.75">
      <c r="A578" s="54"/>
      <c r="B578" s="76"/>
      <c r="C578" s="54"/>
      <c r="D578" s="54"/>
      <c r="E578" s="77"/>
      <c r="F578" s="78"/>
      <c r="G578" s="78"/>
      <c r="H578" s="78"/>
      <c r="I578" s="78"/>
      <c r="J578" s="77"/>
      <c r="K578" s="78"/>
      <c r="L578" s="78"/>
      <c r="M578" s="78"/>
      <c r="N578" s="78"/>
      <c r="O578" s="78"/>
      <c r="P578" s="77"/>
      <c r="Q578" s="141"/>
    </row>
    <row r="579" spans="1:17" s="75" customFormat="1" ht="15.75">
      <c r="A579" s="54"/>
      <c r="B579" s="76"/>
      <c r="C579" s="54"/>
      <c r="D579" s="54"/>
      <c r="E579" s="77"/>
      <c r="F579" s="78"/>
      <c r="G579" s="78"/>
      <c r="H579" s="78"/>
      <c r="I579" s="78"/>
      <c r="J579" s="77"/>
      <c r="K579" s="78"/>
      <c r="L579" s="78"/>
      <c r="M579" s="78"/>
      <c r="N579" s="78"/>
      <c r="O579" s="78"/>
      <c r="P579" s="77"/>
      <c r="Q579" s="141"/>
    </row>
    <row r="580" spans="1:17" s="75" customFormat="1" ht="15.75">
      <c r="A580" s="54"/>
      <c r="B580" s="76"/>
      <c r="C580" s="54"/>
      <c r="D580" s="54"/>
      <c r="E580" s="77"/>
      <c r="F580" s="78"/>
      <c r="G580" s="78"/>
      <c r="H580" s="78"/>
      <c r="I580" s="78"/>
      <c r="J580" s="77"/>
      <c r="K580" s="78"/>
      <c r="L580" s="78"/>
      <c r="M580" s="78"/>
      <c r="N580" s="78"/>
      <c r="O580" s="78"/>
      <c r="P580" s="77"/>
      <c r="Q580" s="141"/>
    </row>
    <row r="581" spans="1:17" s="75" customFormat="1" ht="15.75">
      <c r="A581" s="54"/>
      <c r="B581" s="76"/>
      <c r="C581" s="54"/>
      <c r="D581" s="54"/>
      <c r="E581" s="77"/>
      <c r="F581" s="78"/>
      <c r="G581" s="78"/>
      <c r="H581" s="78"/>
      <c r="I581" s="78"/>
      <c r="J581" s="77"/>
      <c r="K581" s="78"/>
      <c r="L581" s="78"/>
      <c r="M581" s="78"/>
      <c r="N581" s="78"/>
      <c r="O581" s="78"/>
      <c r="P581" s="77"/>
      <c r="Q581" s="141"/>
    </row>
    <row r="582" spans="1:17" s="75" customFormat="1" ht="15.75">
      <c r="A582" s="54"/>
      <c r="B582" s="76"/>
      <c r="C582" s="54"/>
      <c r="D582" s="54"/>
      <c r="E582" s="77"/>
      <c r="F582" s="78"/>
      <c r="G582" s="78"/>
      <c r="H582" s="78"/>
      <c r="I582" s="78"/>
      <c r="J582" s="77"/>
      <c r="K582" s="78"/>
      <c r="L582" s="78"/>
      <c r="M582" s="78"/>
      <c r="N582" s="78"/>
      <c r="O582" s="78"/>
      <c r="P582" s="77"/>
      <c r="Q582" s="141"/>
    </row>
    <row r="583" spans="1:17" s="75" customFormat="1" ht="15.75">
      <c r="A583" s="54"/>
      <c r="B583" s="76"/>
      <c r="C583" s="54"/>
      <c r="D583" s="54"/>
      <c r="E583" s="77"/>
      <c r="F583" s="78"/>
      <c r="G583" s="78"/>
      <c r="H583" s="78"/>
      <c r="I583" s="78"/>
      <c r="J583" s="77"/>
      <c r="K583" s="78"/>
      <c r="L583" s="78"/>
      <c r="M583" s="78"/>
      <c r="N583" s="78"/>
      <c r="O583" s="78"/>
      <c r="P583" s="77"/>
      <c r="Q583" s="141"/>
    </row>
    <row r="584" spans="1:17" s="75" customFormat="1" ht="15.75">
      <c r="A584" s="54"/>
      <c r="B584" s="76"/>
      <c r="C584" s="54"/>
      <c r="D584" s="54"/>
      <c r="E584" s="77"/>
      <c r="F584" s="78"/>
      <c r="G584" s="78"/>
      <c r="H584" s="78"/>
      <c r="I584" s="78"/>
      <c r="J584" s="77"/>
      <c r="K584" s="78"/>
      <c r="L584" s="78"/>
      <c r="M584" s="78"/>
      <c r="N584" s="78"/>
      <c r="O584" s="78"/>
      <c r="P584" s="77"/>
      <c r="Q584" s="141"/>
    </row>
    <row r="585" spans="1:17" s="75" customFormat="1" ht="15.75">
      <c r="A585" s="54"/>
      <c r="B585" s="76"/>
      <c r="C585" s="54"/>
      <c r="D585" s="54"/>
      <c r="E585" s="77"/>
      <c r="F585" s="78"/>
      <c r="G585" s="78"/>
      <c r="H585" s="78"/>
      <c r="I585" s="78"/>
      <c r="J585" s="77"/>
      <c r="K585" s="78"/>
      <c r="L585" s="78"/>
      <c r="M585" s="78"/>
      <c r="N585" s="78"/>
      <c r="O585" s="78"/>
      <c r="P585" s="77"/>
      <c r="Q585" s="141"/>
    </row>
    <row r="586" spans="1:17" s="75" customFormat="1" ht="15.75">
      <c r="A586" s="54"/>
      <c r="B586" s="76"/>
      <c r="C586" s="54"/>
      <c r="D586" s="54"/>
      <c r="E586" s="77"/>
      <c r="F586" s="78"/>
      <c r="G586" s="78"/>
      <c r="H586" s="78"/>
      <c r="I586" s="78"/>
      <c r="J586" s="77"/>
      <c r="K586" s="78"/>
      <c r="L586" s="78"/>
      <c r="M586" s="78"/>
      <c r="N586" s="78"/>
      <c r="O586" s="78"/>
      <c r="P586" s="77"/>
      <c r="Q586" s="141"/>
    </row>
    <row r="587" spans="1:17" s="75" customFormat="1" ht="15.75">
      <c r="A587" s="54"/>
      <c r="B587" s="76"/>
      <c r="C587" s="54"/>
      <c r="D587" s="54"/>
      <c r="E587" s="77"/>
      <c r="F587" s="78"/>
      <c r="G587" s="78"/>
      <c r="H587" s="78"/>
      <c r="I587" s="78"/>
      <c r="J587" s="77"/>
      <c r="K587" s="78"/>
      <c r="L587" s="78"/>
      <c r="M587" s="78"/>
      <c r="N587" s="78"/>
      <c r="O587" s="78"/>
      <c r="P587" s="77"/>
      <c r="Q587" s="141"/>
    </row>
    <row r="588" spans="1:17" s="75" customFormat="1" ht="15.75">
      <c r="A588" s="54"/>
      <c r="B588" s="76"/>
      <c r="C588" s="54"/>
      <c r="D588" s="54"/>
      <c r="E588" s="77"/>
      <c r="F588" s="78"/>
      <c r="G588" s="78"/>
      <c r="H588" s="78"/>
      <c r="I588" s="78"/>
      <c r="J588" s="77"/>
      <c r="K588" s="78"/>
      <c r="L588" s="78"/>
      <c r="M588" s="78"/>
      <c r="N588" s="78"/>
      <c r="O588" s="78"/>
      <c r="P588" s="77"/>
      <c r="Q588" s="141"/>
    </row>
    <row r="589" spans="1:17" s="75" customFormat="1" ht="15.75">
      <c r="A589" s="54"/>
      <c r="B589" s="76"/>
      <c r="C589" s="54"/>
      <c r="D589" s="54"/>
      <c r="E589" s="77"/>
      <c r="F589" s="78"/>
      <c r="G589" s="78"/>
      <c r="H589" s="78"/>
      <c r="I589" s="78"/>
      <c r="J589" s="77"/>
      <c r="K589" s="78"/>
      <c r="L589" s="78"/>
      <c r="M589" s="78"/>
      <c r="N589" s="78"/>
      <c r="O589" s="78"/>
      <c r="P589" s="77"/>
      <c r="Q589" s="141"/>
    </row>
    <row r="590" spans="1:17" s="75" customFormat="1" ht="15.75">
      <c r="A590" s="54"/>
      <c r="B590" s="76"/>
      <c r="C590" s="54"/>
      <c r="D590" s="54"/>
      <c r="E590" s="77"/>
      <c r="F590" s="78"/>
      <c r="G590" s="78"/>
      <c r="H590" s="78"/>
      <c r="I590" s="78"/>
      <c r="J590" s="77"/>
      <c r="K590" s="78"/>
      <c r="L590" s="78"/>
      <c r="M590" s="78"/>
      <c r="N590" s="78"/>
      <c r="O590" s="78"/>
      <c r="P590" s="77"/>
      <c r="Q590" s="141"/>
    </row>
  </sheetData>
  <sheetProtection/>
  <mergeCells count="39">
    <mergeCell ref="Q219:Q246"/>
    <mergeCell ref="C242:E242"/>
    <mergeCell ref="M242:O242"/>
    <mergeCell ref="B243:H243"/>
    <mergeCell ref="M243:P243"/>
    <mergeCell ref="Q92:Q125"/>
    <mergeCell ref="Q126:Q156"/>
    <mergeCell ref="Q157:Q195"/>
    <mergeCell ref="Q196:Q218"/>
    <mergeCell ref="K11:K13"/>
    <mergeCell ref="O12:O13"/>
    <mergeCell ref="L11:M11"/>
    <mergeCell ref="N11:N13"/>
    <mergeCell ref="M12:M13"/>
    <mergeCell ref="L12:L13"/>
    <mergeCell ref="L2:O2"/>
    <mergeCell ref="L5:P5"/>
    <mergeCell ref="B8:P8"/>
    <mergeCell ref="B10:B13"/>
    <mergeCell ref="D10:D13"/>
    <mergeCell ref="C10:C13"/>
    <mergeCell ref="E11:E13"/>
    <mergeCell ref="L4:P4"/>
    <mergeCell ref="J10:O10"/>
    <mergeCell ref="L6:P6"/>
    <mergeCell ref="B66:B67"/>
    <mergeCell ref="C66:C67"/>
    <mergeCell ref="P10:P13"/>
    <mergeCell ref="E10:I10"/>
    <mergeCell ref="J11:J13"/>
    <mergeCell ref="H12:H13"/>
    <mergeCell ref="G12:G13"/>
    <mergeCell ref="G11:H11"/>
    <mergeCell ref="F11:F13"/>
    <mergeCell ref="I11:I13"/>
    <mergeCell ref="Q1:Q35"/>
    <mergeCell ref="Q36:Q65"/>
    <mergeCell ref="Q66:Q77"/>
    <mergeCell ref="Q78:Q91"/>
  </mergeCells>
  <printOptions horizontalCentered="1"/>
  <pageMargins left="0.1968503937007874" right="0.1968503937007874" top="0.7086614173228347" bottom="0.4330708661417323" header="0.5118110236220472" footer="0.2362204724409449"/>
  <pageSetup fitToHeight="10" fitToWidth="1" horizontalDpi="600" verticalDpi="600" orientation="landscape" paperSize="9" scale="41" r:id="rId1"/>
  <headerFooter alignWithMargins="0">
    <oddHeader>&amp;RПродовження додатку 4</oddHeader>
  </headerFooter>
  <rowBreaks count="1" manualBreakCount="1">
    <brk id="40"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2017-03-27T09:01:09Z</cp:lastPrinted>
  <dcterms:created xsi:type="dcterms:W3CDTF">2014-01-17T10:52:16Z</dcterms:created>
  <dcterms:modified xsi:type="dcterms:W3CDTF">2017-03-27T13:29:26Z</dcterms:modified>
  <cp:category/>
  <cp:version/>
  <cp:contentType/>
  <cp:contentStatus/>
</cp:coreProperties>
</file>