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245" windowWidth="12390" windowHeight="8595" activeTab="0"/>
  </bookViews>
  <sheets>
    <sheet name="дод 6 (с) " sheetId="1" r:id="rId1"/>
  </sheets>
  <definedNames>
    <definedName name="_xlfn.AGGREGATE" hidden="1">#NAME?</definedName>
    <definedName name="_xlnm.Print_Titles" localSheetId="0">'дод 6 (с) '!$17:$17</definedName>
    <definedName name="_xlnm.Print_Area" localSheetId="0">'дод 6 (с) '!$D$1:$N$300</definedName>
  </definedNames>
  <calcPr fullCalcOnLoad="1"/>
</workbook>
</file>

<file path=xl/sharedStrings.xml><?xml version="1.0" encoding="utf-8"?>
<sst xmlns="http://schemas.openxmlformats.org/spreadsheetml/2006/main" count="678" uniqueCount="409">
  <si>
    <t xml:space="preserve">Благоустрій міст, сіл, селищ </t>
  </si>
  <si>
    <t>Інші заходи у сфері електротранспорту</t>
  </si>
  <si>
    <t>0310000</t>
  </si>
  <si>
    <t>Керівництво і управління у відповідній сфері у містах республіканського Автономної Республіки Крим та обласного значення</t>
  </si>
  <si>
    <t>0310180</t>
  </si>
  <si>
    <t>0313500</t>
  </si>
  <si>
    <t>0314200</t>
  </si>
  <si>
    <t>Утримання та навчально-тренувальна робота комунальних дитячо-юнацьких спортивних шкіл</t>
  </si>
  <si>
    <t>0315060</t>
  </si>
  <si>
    <t>Благоустрій міст, сіл, селищ</t>
  </si>
  <si>
    <t>0316640</t>
  </si>
  <si>
    <t>Сприяння розвитку малого та середнього підприємництва</t>
  </si>
  <si>
    <t>0317450</t>
  </si>
  <si>
    <t>0317470</t>
  </si>
  <si>
    <t>Заходи у сфері захисту населення і територій від надзвичайних ситуацій техногенного та природного характеру</t>
  </si>
  <si>
    <t>0317820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</si>
  <si>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</si>
  <si>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</si>
  <si>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</si>
  <si>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</si>
  <si>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</si>
  <si>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</si>
  <si>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</si>
  <si>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</si>
  <si>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</si>
  <si>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1010180</t>
  </si>
  <si>
    <t>1011010</t>
  </si>
  <si>
    <t>1011020</t>
  </si>
  <si>
    <t>1011070</t>
  </si>
  <si>
    <t>1011090</t>
  </si>
  <si>
    <t>1011170</t>
  </si>
  <si>
    <t>1011190</t>
  </si>
  <si>
    <t>1011210</t>
  </si>
  <si>
    <t xml:space="preserve">Відділ охорони здоров’я Сумської міської ради  </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</si>
  <si>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</si>
  <si>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</si>
  <si>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</si>
  <si>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</si>
  <si>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</si>
  <si>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</si>
  <si>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</si>
  <si>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</si>
  <si>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</si>
  <si>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1510000</t>
  </si>
  <si>
    <t>1510180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</si>
  <si>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</si>
  <si>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2010000</t>
  </si>
  <si>
    <t>Служба у справах дітей Сумської міської ради</t>
  </si>
  <si>
    <t>2010180</t>
  </si>
  <si>
    <t>Відділ культури та туризму Сумської міської ради</t>
  </si>
  <si>
    <t>2410000</t>
  </si>
  <si>
    <t>2410180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</si>
  <si>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</si>
  <si>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</si>
  <si>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</si>
  <si>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</si>
  <si>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</si>
  <si>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</si>
  <si>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</si>
  <si>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4110000</t>
  </si>
  <si>
    <t>4110180</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</si>
  <si>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</si>
  <si>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</si>
  <si>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</si>
  <si>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</si>
  <si>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</si>
  <si>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4116060</t>
  </si>
  <si>
    <t>Заходи з енергозбереження</t>
  </si>
  <si>
    <t>4117470</t>
  </si>
  <si>
    <t>4510180</t>
  </si>
  <si>
    <t>4510000</t>
  </si>
  <si>
    <t>Реалізація заходів щодо інвестиційного розвитку території</t>
  </si>
  <si>
    <t>4517310</t>
  </si>
  <si>
    <t>Управління капітального будівництва та дорожнього господарства Сумської міської ради</t>
  </si>
  <si>
    <t>4710000</t>
  </si>
  <si>
    <t>4716060</t>
  </si>
  <si>
    <t>4716310</t>
  </si>
  <si>
    <t>4810180</t>
  </si>
  <si>
    <t>Управління «Інспекція з благоустрою міста Суми» Сумської міської ради</t>
  </si>
  <si>
    <t>5010180</t>
  </si>
  <si>
    <t>7510000</t>
  </si>
  <si>
    <t>7510180</t>
  </si>
  <si>
    <t xml:space="preserve">Інші субвенції сільському бюджету с. Піщане </t>
  </si>
  <si>
    <t>Виконавчий комітет Сумської міської ради</t>
  </si>
  <si>
    <t xml:space="preserve">Виконання міської програми «Відкритий інформаційний простір м. Суми» на 2016-2018 роки </t>
  </si>
  <si>
    <t>Надання соціальних послуг «Центром реінтеграції бездомних осіб»</t>
  </si>
  <si>
    <t>4717470</t>
  </si>
  <si>
    <t>Впровадження засобів обліку витрат та регулювання споживання води та теплової енергії</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</si>
  <si>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</si>
  <si>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</si>
  <si>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</si>
  <si>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</si>
  <si>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</si>
  <si>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4716420</t>
  </si>
  <si>
    <t>Збереження пам’яток історії та культури</t>
  </si>
  <si>
    <t>4716421</t>
  </si>
  <si>
    <t>4610180</t>
  </si>
  <si>
    <t>Управління державного архітектурно-будівельного контролю Сумської міської ради</t>
  </si>
  <si>
    <t>0180</t>
  </si>
  <si>
    <t>0111</t>
  </si>
  <si>
    <t>Код функціональної класифікації видатків та кредитування бюджету</t>
  </si>
  <si>
    <t>1010</t>
  </si>
  <si>
    <t>0910</t>
  </si>
  <si>
    <t>1020</t>
  </si>
  <si>
    <t>0921</t>
  </si>
  <si>
    <t>1070</t>
  </si>
  <si>
    <t>0922</t>
  </si>
  <si>
    <t>1090</t>
  </si>
  <si>
    <t>0960</t>
  </si>
  <si>
    <t>1170</t>
  </si>
  <si>
    <t>0990</t>
  </si>
  <si>
    <t>1190</t>
  </si>
  <si>
    <t>1210</t>
  </si>
  <si>
    <t>2010</t>
  </si>
  <si>
    <t>0731</t>
  </si>
  <si>
    <t>2050</t>
  </si>
  <si>
    <t>0733</t>
  </si>
  <si>
    <t>2140</t>
  </si>
  <si>
    <t>0722</t>
  </si>
  <si>
    <t>2180</t>
  </si>
  <si>
    <t>0726</t>
  </si>
  <si>
    <t>0610</t>
  </si>
  <si>
    <t>6020</t>
  </si>
  <si>
    <t>6021</t>
  </si>
  <si>
    <t>6022</t>
  </si>
  <si>
    <t>0620</t>
  </si>
  <si>
    <t>6060</t>
  </si>
  <si>
    <t>6100</t>
  </si>
  <si>
    <t>4060</t>
  </si>
  <si>
    <t>0824</t>
  </si>
  <si>
    <t>4100</t>
  </si>
  <si>
    <t>4200</t>
  </si>
  <si>
    <t>0829</t>
  </si>
  <si>
    <t>0810</t>
  </si>
  <si>
    <t>5060</t>
  </si>
  <si>
    <t>6310</t>
  </si>
  <si>
    <t>0490</t>
  </si>
  <si>
    <t>6420</t>
  </si>
  <si>
    <t>6421</t>
  </si>
  <si>
    <t>0421</t>
  </si>
  <si>
    <t>6640</t>
  </si>
  <si>
    <t>0455</t>
  </si>
  <si>
    <t>7410</t>
  </si>
  <si>
    <t>0470</t>
  </si>
  <si>
    <t>7450</t>
  </si>
  <si>
    <t>0411</t>
  </si>
  <si>
    <t>7470</t>
  </si>
  <si>
    <t>7820</t>
  </si>
  <si>
    <t>0220</t>
  </si>
  <si>
    <t>0133</t>
  </si>
  <si>
    <t>8600</t>
  </si>
  <si>
    <t>2417410</t>
  </si>
  <si>
    <t>1517410</t>
  </si>
  <si>
    <t>1417410</t>
  </si>
  <si>
    <t>1017410</t>
  </si>
  <si>
    <t>1040</t>
  </si>
  <si>
    <t>3500</t>
  </si>
  <si>
    <t>7310</t>
  </si>
  <si>
    <t>Код програмної класифікації видатків та кредитування місцевих бюджетів</t>
  </si>
  <si>
    <t>4116100</t>
  </si>
  <si>
    <t xml:space="preserve">Загальний обсяг фінансування будівництва </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</si>
  <si>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</si>
  <si>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</si>
  <si>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</si>
  <si>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1010000</t>
  </si>
  <si>
    <t>КП Сумської міської ради «Електроавтотранс»</t>
  </si>
  <si>
    <t>1410000</t>
  </si>
  <si>
    <t>КП  «Зеленого будівництва» Сумської міської ради</t>
  </si>
  <si>
    <t>КП  «Спеціалізований комбінат» Сумської міської ради</t>
  </si>
  <si>
    <t>КП ЕЗО «Міськсвітло» Сумської міської ради</t>
  </si>
  <si>
    <t>КП «Міськводоканал» Сумської міської ради</t>
  </si>
  <si>
    <t>КП «Сумикомунінвест»  Сумської міської ради</t>
  </si>
  <si>
    <t>КП «Сумижилкомсервіс» Сумської міської ради</t>
  </si>
  <si>
    <t>КП «Шляхрембуд» Сумської міської ради</t>
  </si>
  <si>
    <t>Назва об’єктів відповідно  до проектно- кошторисної документації тощо</t>
  </si>
  <si>
    <t>4712010</t>
  </si>
  <si>
    <t>1. Будівництво</t>
  </si>
  <si>
    <t>Будівництво кладовища в районі 40-ї підстанції</t>
  </si>
  <si>
    <t>Полігон для складування твердих побутових відходів на території В. Бобрицької сільської ради Краснопільського району (3 черга)</t>
  </si>
  <si>
    <t xml:space="preserve">Добудова шляхопроводу по вул. 20 років Перемоги з реконструкцією дороги від вул. Прокоф'єва до                      вул. Роменської </t>
  </si>
  <si>
    <t>Будівництво глибоководної свердловини на Пришибському водозаборі</t>
  </si>
  <si>
    <t>Будівництво інженерних мереж селища Ганнівка (2 черга)</t>
  </si>
  <si>
    <t>Будівництво зливної каналізації по вул. Прокоф'єва</t>
  </si>
  <si>
    <t>Будівництво каналізацї по вул. Молодіжній</t>
  </si>
  <si>
    <t>Будівництво доріг та ліній освітлення 12 МР</t>
  </si>
  <si>
    <t>Будівництво дитячого садка у 12 МР</t>
  </si>
  <si>
    <t>Будівництво дитячих та спортивних майданчиків</t>
  </si>
  <si>
    <t>Будівництво дитячого майданчика в районі житлового будинку № 21 по вул. Гамалія</t>
  </si>
  <si>
    <t>Будівництво дитячого майданчика за адресою: м. Суми, вул. Родини Линтварьових, 70</t>
  </si>
  <si>
    <t>Будівництво спортивного майданчика за адресою: м. Суми, вул. Зарічна</t>
  </si>
  <si>
    <t>Будівництво спортивного майданчика між центральним корпусом Сумського національного аграрного університету та житловими будинками №154, 154/1</t>
  </si>
  <si>
    <t>Здорова нація - сильна громада - багата Україна</t>
  </si>
  <si>
    <t>Будівництво скверу біля будинку № 81 Б по вул. Ковпака в м. Суми</t>
  </si>
  <si>
    <t>Оновлення шкільного стадіону, будівництво дитячого майданчику на території ЗОШ №5 для забезпечення активного відпочинку й дозвілля, занять спортом мешканців Баранівки та Луки</t>
  </si>
  <si>
    <t>Тато, мама, спорт і я - щаслива, сучасна, українська сім'я</t>
  </si>
  <si>
    <t>3. Реконструкція інших об'єктів</t>
  </si>
  <si>
    <t>2. Реконструкція об'єктів житлового фонду</t>
  </si>
  <si>
    <t>Будівля Реального училища (школа № 4), м.Суми - реконструкція</t>
  </si>
  <si>
    <t>Реконструкція будівлі під дитячий садок в районі Хіммістечка</t>
  </si>
  <si>
    <t>Реконструкція будівлі ССШ № 29 по вул. Заливній, 25</t>
  </si>
  <si>
    <t>Реконструкція будівлі КУ СЗОШ І-ІІІ ступенів № 22 по вул.Ковпака, 57</t>
  </si>
  <si>
    <t>Реконструкція інженерних мереж КУ Піщанська ЗОШ І-ІІ ступенів</t>
  </si>
  <si>
    <t>Реконструкція грального поля по вул. Якіра</t>
  </si>
  <si>
    <t>Реконструкція стадіону «Авангард»</t>
  </si>
  <si>
    <t>Реконструкція водопроводу Д500 мм від Тополянського водозабору до пр. Курський</t>
  </si>
  <si>
    <t>Реконструкція водоводу від Тополянського водозабору до пожежного депо в м. Суми</t>
  </si>
  <si>
    <t>Реконструкція водоводу по пр. Курському від вул. Машинобудівників до вул. Ковпака в м. Суми</t>
  </si>
  <si>
    <t>Реконструкція водоводу по пр. Курському від вул. Ковпака до пр. Курський, 147/4  в м. Суми</t>
  </si>
  <si>
    <t>Реконструкція каналізаційного напірного колектора від діючої камери № 19 по  вул. Д. Коротченко до камери № 31 по вул. Криничній</t>
  </si>
  <si>
    <t>Реконструкція каналізаційного напірного колектора від діючої камери № 31 по  вул. Криничній до міських очисних споруд</t>
  </si>
  <si>
    <t>Реконструкція пішохідної доріжки біля оз. Чеха з влаштуванням лінії освітлення</t>
  </si>
  <si>
    <t>Реконструкція приміщення по вул. Г.Кондратьєва, 165/71 під розміщення КУ «Центр надання соціально - медичних, психологічних послуг учасникам антитерористичної операції та членам іх сімей»</t>
  </si>
  <si>
    <t>Реконструкція водолікувального комплексу по вул. Троїцька, 28</t>
  </si>
  <si>
    <t>Реконструкція дороги по вул. Ковпака</t>
  </si>
  <si>
    <t>Реконструкція дороги від Пришибської площі до  вул. Прокоф'єва</t>
  </si>
  <si>
    <t>Реконструкція Театральної площі</t>
  </si>
  <si>
    <t>Реконструкція контактної мережі по м. Суми</t>
  </si>
  <si>
    <t>Реконструкція будівлі молодіжного центру «Романтика»</t>
  </si>
  <si>
    <t>Реконструкція житлового будинку з влаштуванням пандусу по вул. Харківська, 25</t>
  </si>
  <si>
    <t>Реконструкція житлового будинку з влаштуванням пандусу по вул. Івана Сірка, 31</t>
  </si>
  <si>
    <t>Реконструкція житлового будинку з влаштуванням пандусу по вул. Інтернаціоналістів, 25</t>
  </si>
  <si>
    <t>Реконструкція житлового будинку з влаштуванням пандусу по вул. Прокоф"єва, 24Б</t>
  </si>
  <si>
    <t>Інші субвенції Краснопільському районному бюджету (на виконання умов угод про соціально - економічне співробітництво, укладених між Сумською міською радою та Великобобрицькою сільською радою)</t>
  </si>
  <si>
    <t>Спортивний майданчик для дітей та дорослих «Зоряний»</t>
  </si>
  <si>
    <t>Спортивні майданчики для міні-футболу, бадмінтону для дітей та молоді в ДП «Казка»</t>
  </si>
  <si>
    <t>Реконструкція фонтану в дитячому парку «Казка»</t>
  </si>
  <si>
    <t>Реконструкція теплиць КП «Зелене будівництво» Сумської міської ради по вул. Пролетарська,77</t>
  </si>
  <si>
    <t>Реконструкція КУ «Міський центр військово-патріотичного виховання» по вул. Петропавлівська,96</t>
  </si>
  <si>
    <t>Код типової програмної класифікації видатків та кредитування місцевих бюджетів</t>
  </si>
  <si>
    <t>Реставрація будівлі по вул. Петропавлівська, 91</t>
  </si>
  <si>
    <t>5030</t>
  </si>
  <si>
    <t>0315030</t>
  </si>
  <si>
    <t>5031</t>
  </si>
  <si>
    <t>0315031</t>
  </si>
  <si>
    <t>0315061</t>
  </si>
  <si>
    <t>5061</t>
  </si>
  <si>
    <t xml:space="preserve">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 </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</si>
  <si>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</si>
  <si>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Проведення заходів із землеустрою</t>
  </si>
  <si>
    <t>Реконструкція житлового будинку з влаштуванням пандусу по вул. Івана Сірка, 45</t>
  </si>
  <si>
    <t>4116310</t>
  </si>
  <si>
    <t>Реконструкція каналізаційного залізобетонного самотічного колектора  Д-600 мм по вул. Сєчєнова від залізничної дороги (вул. Київська) до перехрестя вул. Слобідської та вул. Вигонопоселенської</t>
  </si>
  <si>
    <t>Реконструкція каналізаційного залізобетонного самотічного колектора Д-1000 мм , який проходить по яру між пров. Степана Тимошенка (пров.Урицького) та вул. Панфілова</t>
  </si>
  <si>
    <t>Реконструкція каналізаційного залізобетонного самотічного колектора Д-600-1000 мм , який проходить по вул. Пушкіна, Садова, Засумська та Пролетарська до КНС-2 від вул. Баумана  до вул. Лугової</t>
  </si>
  <si>
    <t>Реконструкція І та ІІ черги полігону для складування твердих побутових відходів на території В.Бобрицької сільської ради Краснопільського району</t>
  </si>
  <si>
    <t>Будівництво амбулаторії по вул. Добровільна</t>
  </si>
  <si>
    <t>Я люблю Чешку</t>
  </si>
  <si>
    <t>Реконструкція операційного блоку КУ «СМКЛ № 5»</t>
  </si>
  <si>
    <t>Реконструкція приміщень КП «Муніципальний спортивний клуб з хокею на траві «Сумчанка»</t>
  </si>
  <si>
    <t xml:space="preserve">Реконструкція приміщення по вул. Шишкіна, 12 </t>
  </si>
  <si>
    <t>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 Сумської міської ради</t>
  </si>
  <si>
    <t>КП "Інфосервіс" Сумської міської ради</t>
  </si>
  <si>
    <t xml:space="preserve">0133 </t>
  </si>
  <si>
    <t>Виконання міської програми «Автоматизація муніципальних телекомунікаційних систем на 2017-2019 роки в м. Суми»</t>
  </si>
  <si>
    <t>4717410</t>
  </si>
  <si>
    <t>Внесено змін +, -</t>
  </si>
  <si>
    <t>Всього видатків з урахуванням змін</t>
  </si>
  <si>
    <t>Керівництво і управління у відповідній сфері у містах, селищах, селах</t>
  </si>
  <si>
    <t>4116420</t>
  </si>
  <si>
    <t>4116421</t>
  </si>
  <si>
    <t>Будівництво дороги по вул. Р.Корсокова                                           (від вул. Серпневої до меж житлового масиву)</t>
  </si>
  <si>
    <t>Будівництво ліній освітлення ХІІ МР</t>
  </si>
  <si>
    <t>Реконструкція нежитлових приміщень по вул. Металургів, 17</t>
  </si>
  <si>
    <t>Реконструкція будівлі комунальної установи  «Сумський дошкільний навчальний заклад № 27 «Світанок» по вул. Червонопрапорна, 23 (ДНЗ № 27) (заміна віконних блоків на енергозберігаючі, дообладнання газової котельні котлом, що працює на поновлюваних джерелах енергії (біомаса))</t>
  </si>
  <si>
    <t>Реконструкція системи опалення з установленням модульної котельні, що працює на поновлюваних джерелах енергії (біомаса) в комунальній установі «Сумська загальноосвітня школа І-ІІІ ступеня № 11 по вул. Шишкіна, 12»</t>
  </si>
  <si>
    <t>Реконструкція басейну ДНЗ № 14 по вул. Прокоф'єва, 15</t>
  </si>
  <si>
    <t>Реконструкція інфекційного відділення КУ  «Сумська міська клінічна лікарня № 4»</t>
  </si>
  <si>
    <t>4817470</t>
  </si>
  <si>
    <t>КП «Архітектура. Будівництво. Контроль» Сумської міської ради</t>
  </si>
  <si>
    <t>Будівництво скверу за адресою: м.Суми, вул. Декабристів, 80 на території ЗОШ № 25</t>
  </si>
  <si>
    <t>Реконструкція спортивного майданчика з влаштуванням штучного покриття на території КУ СЗОШ І-ІІІ ступенів          № 22 по вул. Ковпака, 57</t>
  </si>
  <si>
    <t>4117810</t>
  </si>
  <si>
    <t>7810</t>
  </si>
  <si>
    <t>0320</t>
  </si>
  <si>
    <t>Видатки на запобігання та ліквідацію надзвичайних ситуацій та наслідків стихійного лиха</t>
  </si>
  <si>
    <t>Реконструкція спортивного майданчика з влаштуванням штучного покриття на території КУ СЗОШ І-ІІІ ступенів № 6 по вул. СКД, 7</t>
  </si>
  <si>
    <t>Реконструкція ДНЗ №22 «Джерельце»</t>
  </si>
  <si>
    <t>Реконструкція спортивного майданчика з влаштуванням штучного покриття на території ДНЗ № 22  «Джерельце» по вул. Ковпака, 25</t>
  </si>
  <si>
    <t>Реконструкція спортивного майданчика з влаштуванням штучного покриття на території ДНЗ № 3  «Калинка» по вул. Герасима Кондратьєва, 124</t>
  </si>
  <si>
    <t xml:space="preserve">Утримання та проведення заходів КУ "Сумський міський центр дозвілля молоді" </t>
  </si>
  <si>
    <t>Утримання та проведення заходів КУ «Агенція промоції «Суми»</t>
  </si>
  <si>
    <t>Будівництво дитячого майданчика в районі житлового будинку № 4/1 по вул. Лесі Українки</t>
  </si>
  <si>
    <t>Будівництво дитячого майданчика в районі житлового будинку № 109 по просп. Курському</t>
  </si>
  <si>
    <t>0318370</t>
  </si>
  <si>
    <t>8370</t>
  </si>
  <si>
    <t>Субвенція з місцевого бюджету державному бюджету на виконання програм соціально-економічного та культурного розвитку регіонів</t>
  </si>
  <si>
    <t>Реконструкція системи електрозабезпечення 48-квартирного будинку по вул. Холодногірська,30/1</t>
  </si>
  <si>
    <t>Будівництво тролейбусної лінії по вул. Набережна р. Сумки</t>
  </si>
  <si>
    <t>Будівництво дитячого майданчика за адресою: м.Суми, вул. Заливна 1/2</t>
  </si>
  <si>
    <t>Реконструкція будівлі ДНЗ №2 по вул. Інтернаціоналістів,39</t>
  </si>
  <si>
    <t>Реконструкція каналізаційних мереж з перемиканням КНС №3 на самоплинний колектор по вул. Миргородській до вул. Черкаської</t>
  </si>
  <si>
    <t>Реконструкція лінії освітлення по вул. Виноградна</t>
  </si>
  <si>
    <t>Реконструкція лінії освітлення по вул. Осіння</t>
  </si>
  <si>
    <t>Реконструкція лінії освітлення по вул. Сонячна</t>
  </si>
  <si>
    <t>Реконструкція лінії освітлення віл житлового будинку №81 А по вул. Ковпака до КУ СЗОШ І-ІІІ ступенів №22 по вул. Ковпака, 57</t>
  </si>
  <si>
    <t xml:space="preserve">Виконання міської комплексної програми «Правопорядок» на період 2016-2018 роки </t>
  </si>
  <si>
    <t>Реконструкція будівлі по вул. Герасима Кондратьєва,159</t>
  </si>
  <si>
    <t>4116430</t>
  </si>
  <si>
    <t>6430</t>
  </si>
  <si>
    <t>0443</t>
  </si>
  <si>
    <t>Розробка схем та проетних рішень масового застосування</t>
  </si>
  <si>
    <t>Будівництво скейт-парку в міському парку                                         ім. І.М. Кожедуба</t>
  </si>
  <si>
    <t>Будівництво дитячого майданчика в районі житлового будинку № 11 по вул. Липнянській</t>
  </si>
  <si>
    <t>Будівництво дитячого майданчика в районі житлового будинку № 20 по вул. СКД</t>
  </si>
  <si>
    <t>Будівництво дитячого майданчика в районі житлових будинків № 25, 25а, 27, 27/1 по вул. Прокоф'єва</t>
  </si>
  <si>
    <t>Реконструкція будівлі міжшкільного навчально-виробничого комбінату з влаштуванням туалету по                                     вул. М.Раскової, 72</t>
  </si>
  <si>
    <t>Реконструкція Сумської дитячої художньої школи              ім. М.Г. Лисенка з добудовою класів скульптури по                вул. Псільська, 7 в м. Суми</t>
  </si>
  <si>
    <t>Будівництво дитячого майданчика в районі житлового будинку № 37 по вул.  Холодногірська</t>
  </si>
  <si>
    <t>Будівництво дитячого майданчика в районі житлового будинку № 7 по вул.  Кутузова</t>
  </si>
  <si>
    <t>Будівництво дитячого майданчика в районі житлового будинку № 10 по вул. К. Зеленко</t>
  </si>
  <si>
    <t>Будівництво дитячого майданчика в районі житлового будинку № 26 по вул.  Івана Харитоненка</t>
  </si>
  <si>
    <t>Будівництво дитячого майданчика в районі житлового будинку № 41 по вул. Ковпака</t>
  </si>
  <si>
    <t>Будівництво дитячого майданчика в районі житлового будинку № 133 по просп. Курському</t>
  </si>
  <si>
    <t>Будівництво дитячого майданчика в районі житлового будинку № 17 по вул. Металургів</t>
  </si>
  <si>
    <t>Будівництво дитячого майданчика в районі житлових будинків № 13, 15, 17 по вул. Лермонтова</t>
  </si>
  <si>
    <t>Будівництво дитячого майданчика в районі житлового будинку № 38 по вул. Набережна р. Стрілки</t>
  </si>
  <si>
    <t>Будівництво дитячого майданчика в районі житлового будинку № 20 по вул. Люблінська</t>
  </si>
  <si>
    <t>Будівництво дитячого майданчика в районі житлового будинку № 13 по вул. М. Вовчка</t>
  </si>
  <si>
    <t>Будівництво дитячого майданчика в районі житлового будинку № 19 по вул. М. Вовчка</t>
  </si>
  <si>
    <t>Будівництво спортивного майданчику біля будинку № 81Б по вул. Ковпака</t>
  </si>
  <si>
    <t>Реставрація покрівлі та фасаду житлового будинку по вул.Соборна, 32 в м. Суми</t>
  </si>
  <si>
    <t>до  міського  бюджету  на   2017  рік»</t>
  </si>
  <si>
    <t xml:space="preserve">Виконання міської Програми «Соціальні служби готові прийти на допомогу на 2016-2018 роки» </t>
  </si>
  <si>
    <t>Реставрація споруди  «Альтанка»</t>
  </si>
  <si>
    <t>Будівництво дитячого майданчика в районі житлового будинку № 24 по вул. Гулака Артемовського</t>
  </si>
  <si>
    <t>Будівництво дитячого майданчика в районі житлового будинку № 23/1 по вул. Горького</t>
  </si>
  <si>
    <t>Будівництво дитячого майданчика в районі житлових будинків № 46  та № 48 по вул. Г.Кондратьєва</t>
  </si>
  <si>
    <t>Будівництво дитячого майданчика за адресою: с. Піщане, вул. Вигонопоселенська, буд. 51</t>
  </si>
  <si>
    <t>Будівництво дитячого майданчика за адресою: с. Піщане, вул. Леніна, буд. 9а</t>
  </si>
  <si>
    <t>Будівництво дитячого майданчика по вул. Героїв Сумщини</t>
  </si>
  <si>
    <t>Будівництво дитячого майданчика біля пішохідного мосту в парку ім. Кожедуба</t>
  </si>
  <si>
    <t>Будівництво дитячого майданчика в районі житлового будинку № 48А по вул. Прокоф'єва</t>
  </si>
  <si>
    <t>Будівництво дитячого майданчика в районі житлового будинку № 2/9 по вул. Котляревського</t>
  </si>
  <si>
    <t>Будівництво дитячого майданчика в районі житлового будинку № 3/1 по вул. Котляревського</t>
  </si>
  <si>
    <t>Будівництво дитячого майданчика в районі житлового будинку № 81 по вул. Роменська</t>
  </si>
  <si>
    <t>Будівництво дитячого майданчика в районі житлового будинку № 92/1 по вул. Роменська</t>
  </si>
  <si>
    <t>Будівництво дитячого майданчика в районі житлового будинку № 9 по вул. Зв'язківців</t>
  </si>
  <si>
    <t>Будівництво дитячого майданчика в районі житлового будинку № 58 по вул. 1-а Оболонська</t>
  </si>
  <si>
    <t>Будівництво дитячого майданчику в районі житлового будинку № 1 по вул. Заливна</t>
  </si>
  <si>
    <t>Будівництво дитячого майданчика в районі житлового будинку № 11 по просп. М.Лушпи</t>
  </si>
  <si>
    <t>Будівництво дитячого майданчика в районі житлового будинку № 23 по вул. СКД</t>
  </si>
  <si>
    <t>Будівництво дитячого майданчика в районі житлового будинку № 8 по вул. Івана Сірка</t>
  </si>
  <si>
    <t>Будівництво дитячого майданчика на території ДНЗ № 27 по вул. Баранівська, 23</t>
  </si>
  <si>
    <t>Будівництво дитячого майданчика в районі житлового будинку № 32 по вул. Доватора</t>
  </si>
  <si>
    <t>Будівництво дитячого майданчика в районі житлового будинку № 25 по вул. Реміснича</t>
  </si>
  <si>
    <t>Будівництво дитячого майданчика в районі житлового будинку № 25 по вул. Горького</t>
  </si>
  <si>
    <t>Будівництво дитячого майданчика в районі житлового будинку № 17 по вул. Лермонтова</t>
  </si>
  <si>
    <t>Будівництво дитячого майданчика в районі житлового будинку № 10 по вул. Реміснича</t>
  </si>
  <si>
    <t>Будівництво дитячого майданчика в районі житлового будинку № 28 по вул. Леваневського</t>
  </si>
  <si>
    <t>Будівництво дитячого майданчика в районі житлового будинку № 41 по вул. Троїцька</t>
  </si>
  <si>
    <t>Будівництво дитячого майданчика в районі житлового будинку № 16 по вул. Д.Косаренка</t>
  </si>
  <si>
    <t>Будівництво дитячого майданчика в районі житлового будинку № 9 по вул. Конотопська</t>
  </si>
  <si>
    <t>Будівництво дитячого майданчика в районі житлового будинку № 12 по вул. Іллінська</t>
  </si>
  <si>
    <t>Будівництво дитячого майданчика в районі житлового будинку № 51/1 по вул. Іллінська</t>
  </si>
  <si>
    <t>Будівництво дитячого майданчика по вул. 2-га Замостянська</t>
  </si>
  <si>
    <t>Будівництво дитячого майданчика в районі житлового будинку № 3 по вул. Мірошніченко</t>
  </si>
  <si>
    <t>Будівництво дитячого майданчика в районі житлового будинку № 51 по просп. М.Лушпи</t>
  </si>
  <si>
    <t>Будівництво дитячого майданчика в районі житлового будинку № 39/2 по просп. М.Лушпи</t>
  </si>
  <si>
    <t>Будівництво дитячого майданчика в районі житлового будинку № 44 по вул. Героїв Крут</t>
  </si>
  <si>
    <t>Будівництво дитячого майданчика в районі житлового будинку № 25 по вул. І. Сірка</t>
  </si>
  <si>
    <t>Будівництво дитячого майданчика в районі житлового будинку № 27 по просп. М.Лушпи</t>
  </si>
  <si>
    <t>Будівництво дитячого майданчика в районі житлового будинку № 5 по вул. Миру</t>
  </si>
  <si>
    <t>Будівництво дитячого майданчика в районі житлового будинку № 39, 39/1, 39/2, 45 по вул. Прокоф'єва</t>
  </si>
  <si>
    <t>Будівництво дитячого майданчика в районі житлового будинку № 129 по вул. Петропавлівська</t>
  </si>
  <si>
    <t>Будівництво дитячого майданчика в районі житлового будинку № 4 по вул. Олександра Олеся</t>
  </si>
  <si>
    <t>Інші видатки, в т.ч.:</t>
  </si>
  <si>
    <t>Iншi культурно-освiтнi заклади та заходи, в т.ч.:</t>
  </si>
  <si>
    <t>Розвиток дитячо-юнацького та резервного спорту, в т.ч.:</t>
  </si>
  <si>
    <t>Інші заходи з розвитку фізичної культури та спорту, в т.ч.:</t>
  </si>
  <si>
    <t>Внески до статутного капіталу суб’єктів господарювання, в т.ч.:</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</si>
  <si>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 в т.ч.:</t>
  </si>
  <si>
    <t>Надання соціальних та реабілітаційних послуг громадянам похилого віку, інвалідам, дітям-інвалідам в установах соціального обслуговування, в т.ч.:</t>
  </si>
  <si>
    <t>Інші установи та заклади, в т.ч.:</t>
  </si>
  <si>
    <t>Капітальний ремонт об’єктів житлового господарства, в т.ч.:</t>
  </si>
  <si>
    <t>Будівництво скейт-парку в міському парку  ім. І.М. Кожедуба</t>
  </si>
  <si>
    <t>Збереження, розвиток, реконструкція та реставрація пам’яток історії та культури, в т.ч.:</t>
  </si>
  <si>
    <t>Інші субвенції, в т.ч.:</t>
  </si>
  <si>
    <t>Будівництво дороги по вул. Р.Корсокова  (від вул. Серпневої до меж житлового масиву)</t>
  </si>
  <si>
    <t>Реконструкція спортивного майданчика з влаштуванням штучного покриття на території КУ СЗОШ І-ІІІ ступенів   № 22 по вул. Ковпака, 57</t>
  </si>
  <si>
    <t>тис. грн.</t>
  </si>
  <si>
    <t>Всього за рахунок коштів бюджету розвитку міського бюджету:</t>
  </si>
  <si>
    <t>Видатки передбачені на проведення природоохоронних заходів:</t>
  </si>
  <si>
    <t>Утримання та розвиток інфраструктури доріг  (головний розпорядник бюджетних коштів - управління капітального будівництва та дорожнього господарства Сумської міської ради), в т.ч.:</t>
  </si>
  <si>
    <t>Найменування головного розпорядника, відповідального виконавця, бюджетної програми або напряму видатків згідно з типовою відомчою/ТПКВКМБ /ТКВКБМС</t>
  </si>
  <si>
    <t>Перелік об'єктів, видатки на які у 2017 році</t>
  </si>
  <si>
    <t>будуть проводитися за рахунок коштів бюджету розвитку та інших коштів міського бюджету</t>
  </si>
  <si>
    <t xml:space="preserve">Добудова шляхопроводу по вул. 20 років Перемоги з реконструкцією дороги від вул. Прокоф'єва до вул. Роменської </t>
  </si>
  <si>
    <t>Реконструкція Сумської дитячої художньої школи ім. М.Г. Лисенка з добудовою класів скульптури по  вул. Псільська, 7  в м. Суми</t>
  </si>
  <si>
    <t>Реконструкція будівлі міжшкільного навчально-виробничого комбінату з влаштуванням туалету по  вул. М.Раскової, 72</t>
  </si>
  <si>
    <t>1011100</t>
  </si>
  <si>
    <t>1100</t>
  </si>
  <si>
    <t>0930</t>
  </si>
  <si>
    <t>Підготовка робітничих кадрів професійно-технічними закладами та іншими закладами освіти</t>
  </si>
  <si>
    <t>Придбання об'єкта монументальної скульптури  «Олімпійця - ходока»</t>
  </si>
  <si>
    <t>Реконструкція аварійного самотічного колектора Д 400 мм по вул. Білопільській шлях від КНС-4 до району Тепличного</t>
  </si>
  <si>
    <t>Будівництво спортивного майдачика з благоустроєм прилеглої території по вул. Інтернаціоналістів, 6 м.Суми</t>
  </si>
  <si>
    <t>Будівництво спортивних майданчиків зі штучним покриттям на території Сумських шкіл</t>
  </si>
  <si>
    <t>Будівництво дитячого майданчика за адресою: м. Суми, вул. Кругова, 25</t>
  </si>
  <si>
    <t>Реконструкція спортивного майданчика в районі житлового будинку № 12 по вул. Шишкіна в м. Суми Сумська міська рада</t>
  </si>
  <si>
    <t xml:space="preserve">Реконструкція багатофункціонального спортивного майданчика по вул. Новомістенській, 4, м. Суми </t>
  </si>
  <si>
    <t xml:space="preserve">Реконструкція багатофункціонального спортивного майданчика по вул. Засумській на території комунальної установи Сумська гімназія №1, м. Суми, Сумської області  </t>
  </si>
  <si>
    <t xml:space="preserve">Реконструкція волейбольного майданчику в парку культури та відпочинку імені І.М. Кожедуба, м. Суми </t>
  </si>
  <si>
    <t>Реконструкція будівель КУ "Сумська міська клінічна лікарня №5" ( двоповерхова будівля поліклініки, чотирьохповерхова будівля хірургічного корпусу, приміщення інфекційного відділення) з заміною вікон на металопластикові та дверей на металеві з утепленням покрівлі та заміною покрівельного покриття</t>
  </si>
  <si>
    <t xml:space="preserve">                                Додаток 2</t>
  </si>
  <si>
    <t>Сумської міської ради</t>
  </si>
  <si>
    <t>С.А. Липова</t>
  </si>
  <si>
    <t>Директор департаменту фінансів, економіки та інвестицій</t>
  </si>
  <si>
    <t>до рішення виконавчого комітету</t>
  </si>
  <si>
    <t xml:space="preserve">              від  16.05.2017   № 245</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</si>
</sst>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FC19]d\ mmmm\ yyyy\ \г\."/>
  </numFmts>
  <fonts count="58">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0"/>
      <color indexed="8"/>
      <name val="Arial"/>
      <family val="2"/>
    </font>
    <font>
      <sz val="22"/>
      <color indexed="8"/>
      <name val="Times New Roman"/>
      <family val="1"/>
    </font>
    <font>
      <b/>
      <sz val="22"/>
      <color indexed="8"/>
      <name val="Times New Roman"/>
      <family val="1"/>
    </font>
    <font>
      <sz val="8"/>
      <name val="Times New Roman"/>
      <family val="1"/>
    </font>
    <font>
      <sz val="16"/>
      <color indexed="8"/>
      <name val="Times New Roman"/>
      <family val="1"/>
    </font>
    <font>
      <b/>
      <sz val="16"/>
      <color indexed="8"/>
      <name val="Times New Roman"/>
      <family val="1"/>
    </font>
    <font>
      <b/>
      <i/>
      <sz val="16"/>
      <color indexed="8"/>
      <name val="Times New Roman"/>
      <family val="1"/>
    </font>
    <font>
      <i/>
      <sz val="16"/>
      <color indexed="8"/>
      <name val="Times New Roman"/>
      <family val="1"/>
    </font>
    <font>
      <sz val="16"/>
      <name val="Times New Roman"/>
      <family val="1"/>
    </font>
    <font>
      <i/>
      <sz val="16"/>
      <name val="Times New Roman"/>
      <family val="1"/>
    </font>
    <font>
      <b/>
      <sz val="16"/>
      <name val="Times New Roman"/>
      <family val="1"/>
    </font>
    <font>
      <sz val="22"/>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12" fillId="2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19" fillId="0" borderId="0">
      <alignment/>
      <protection/>
    </xf>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37"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3" fillId="44" borderId="1" applyNumberFormat="0" applyAlignment="0" applyProtection="0"/>
    <xf numFmtId="0" fontId="6" fillId="7" borderId="2" applyNumberFormat="0" applyAlignment="0" applyProtection="0"/>
    <xf numFmtId="0" fontId="7" fillId="45" borderId="3" applyNumberFormat="0" applyAlignment="0" applyProtection="0"/>
    <xf numFmtId="0" fontId="14" fillId="45" borderId="2" applyNumberFormat="0" applyAlignment="0" applyProtection="0"/>
    <xf numFmtId="0" fontId="20"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4" fillId="46" borderId="0" applyNumberFormat="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9" fillId="0" borderId="0">
      <alignment/>
      <protection/>
    </xf>
    <xf numFmtId="0" fontId="21" fillId="0" borderId="0">
      <alignment/>
      <protection/>
    </xf>
    <xf numFmtId="0" fontId="19" fillId="0" borderId="0">
      <alignment/>
      <protection/>
    </xf>
    <xf numFmtId="0" fontId="19"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3" fillId="0" borderId="0">
      <alignment vertical="top"/>
      <protection/>
    </xf>
    <xf numFmtId="0" fontId="48" fillId="0" borderId="7" applyNumberFormat="0" applyFill="0" applyAlignment="0" applyProtection="0"/>
    <xf numFmtId="0" fontId="11" fillId="0" borderId="8" applyNumberFormat="0" applyFill="0" applyAlignment="0" applyProtection="0"/>
    <xf numFmtId="0" fontId="49" fillId="47" borderId="9" applyNumberFormat="0" applyAlignment="0" applyProtection="0"/>
    <xf numFmtId="0" fontId="9" fillId="48" borderId="10" applyNumberFormat="0" applyAlignment="0" applyProtection="0"/>
    <xf numFmtId="0" fontId="50" fillId="0" borderId="0" applyNumberFormat="0" applyFill="0" applyBorder="0" applyAlignment="0" applyProtection="0"/>
    <xf numFmtId="0" fontId="15" fillId="0" borderId="0" applyNumberFormat="0" applyFill="0" applyBorder="0" applyAlignment="0" applyProtection="0"/>
    <xf numFmtId="0" fontId="16" fillId="49" borderId="0" applyNumberFormat="0" applyBorder="0" applyAlignment="0" applyProtection="0"/>
    <xf numFmtId="0" fontId="51" fillId="50" borderId="1" applyNumberFormat="0" applyAlignment="0" applyProtection="0"/>
    <xf numFmtId="0" fontId="19" fillId="0" borderId="0">
      <alignment/>
      <protection/>
    </xf>
    <xf numFmtId="0" fontId="22" fillId="0" borderId="0" applyNumberFormat="0" applyFill="0" applyBorder="0" applyAlignment="0" applyProtection="0"/>
    <xf numFmtId="0" fontId="52" fillId="0" borderId="11" applyNumberFormat="0" applyFill="0" applyAlignment="0" applyProtection="0"/>
    <xf numFmtId="0" fontId="5" fillId="3" borderId="0" applyNumberFormat="0" applyBorder="0" applyAlignment="0" applyProtection="0"/>
    <xf numFmtId="0" fontId="53" fillId="51" borderId="0" applyNumberFormat="0" applyBorder="0" applyAlignment="0" applyProtection="0"/>
    <xf numFmtId="0" fontId="10" fillId="0" borderId="0" applyNumberFormat="0" applyFill="0" applyBorder="0" applyAlignment="0" applyProtection="0"/>
    <xf numFmtId="0" fontId="13" fillId="52" borderId="12" applyNumberFormat="0" applyFont="0" applyAlignment="0" applyProtection="0"/>
    <xf numFmtId="0" fontId="0" fillId="53" borderId="13" applyNumberFormat="0" applyFont="0" applyAlignment="0" applyProtection="0"/>
    <xf numFmtId="191" fontId="1" fillId="0" borderId="0" applyFont="0" applyFill="0" applyBorder="0" applyAlignment="0" applyProtection="0"/>
    <xf numFmtId="0" fontId="54" fillId="50" borderId="14" applyNumberFormat="0" applyAlignment="0" applyProtection="0"/>
    <xf numFmtId="0" fontId="17" fillId="0" borderId="15" applyNumberFormat="0" applyFill="0" applyAlignment="0" applyProtection="0"/>
    <xf numFmtId="0" fontId="55" fillId="54" borderId="0" applyNumberFormat="0" applyBorder="0" applyAlignment="0" applyProtection="0"/>
    <xf numFmtId="0" fontId="18" fillId="0" borderId="0">
      <alignment/>
      <protection/>
    </xf>
    <xf numFmtId="0" fontId="56" fillId="0" borderId="0" applyNumberFormat="0" applyFill="0" applyBorder="0" applyAlignment="0" applyProtection="0"/>
    <xf numFmtId="0" fontId="57"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21">
    <xf numFmtId="0" fontId="0" fillId="0" borderId="0" xfId="0" applyAlignment="1">
      <alignment/>
    </xf>
    <xf numFmtId="0" fontId="33" fillId="0" borderId="16" xfId="0" applyFont="1" applyFill="1" applyBorder="1" applyAlignment="1">
      <alignment horizontal="left" vertical="center" wrapText="1"/>
    </xf>
    <xf numFmtId="0" fontId="31" fillId="0" borderId="16" xfId="0" applyFont="1" applyFill="1" applyBorder="1" applyAlignment="1">
      <alignment horizontal="left" vertical="center" wrapText="1"/>
    </xf>
    <xf numFmtId="0" fontId="32" fillId="0" borderId="16" xfId="0" applyFont="1" applyFill="1" applyBorder="1" applyAlignment="1">
      <alignment horizontal="left" vertical="center" wrapText="1"/>
    </xf>
    <xf numFmtId="192" fontId="27" fillId="0" borderId="16" xfId="0" applyNumberFormat="1" applyFont="1" applyFill="1" applyBorder="1" applyAlignment="1">
      <alignment vertical="center"/>
    </xf>
    <xf numFmtId="0" fontId="27" fillId="0" borderId="0" xfId="0" applyNumberFormat="1" applyFont="1" applyFill="1" applyAlignment="1" applyProtection="1">
      <alignment horizontal="center"/>
      <protection/>
    </xf>
    <xf numFmtId="0" fontId="27" fillId="0" borderId="0" xfId="0" applyNumberFormat="1" applyFont="1" applyFill="1" applyAlignment="1" applyProtection="1">
      <alignment/>
      <protection/>
    </xf>
    <xf numFmtId="0" fontId="27" fillId="0" borderId="0" xfId="0" applyFont="1" applyFill="1" applyAlignment="1">
      <alignment/>
    </xf>
    <xf numFmtId="0" fontId="27" fillId="0" borderId="0" xfId="0" applyFont="1" applyFill="1" applyBorder="1" applyAlignment="1">
      <alignment/>
    </xf>
    <xf numFmtId="0" fontId="27" fillId="0" borderId="0" xfId="0" applyNumberFormat="1" applyFont="1" applyFill="1" applyAlignment="1" applyProtection="1">
      <alignment horizontal="left"/>
      <protection/>
    </xf>
    <xf numFmtId="0" fontId="27" fillId="0" borderId="0" xfId="0" applyFont="1" applyFill="1" applyAlignment="1">
      <alignment horizontal="left" vertical="center"/>
    </xf>
    <xf numFmtId="0" fontId="27" fillId="0" borderId="0" xfId="0" applyFont="1" applyFill="1" applyBorder="1" applyAlignment="1">
      <alignment horizontal="left" vertical="center"/>
    </xf>
    <xf numFmtId="0" fontId="27" fillId="0" borderId="0" xfId="0" applyFont="1" applyFill="1" applyBorder="1" applyAlignment="1">
      <alignment vertical="center"/>
    </xf>
    <xf numFmtId="0" fontId="27" fillId="0" borderId="0" xfId="0" applyFont="1" applyFill="1" applyAlignment="1">
      <alignment/>
    </xf>
    <xf numFmtId="0" fontId="27" fillId="0" borderId="0" xfId="0" applyFont="1" applyFill="1" applyAlignment="1">
      <alignment horizontal="left" vertical="center" wrapText="1"/>
    </xf>
    <xf numFmtId="0" fontId="27" fillId="0" borderId="0" xfId="0" applyFont="1" applyFill="1" applyBorder="1" applyAlignment="1">
      <alignment horizontal="left" vertical="center" wrapText="1"/>
    </xf>
    <xf numFmtId="0" fontId="25" fillId="0" borderId="0" xfId="0" applyNumberFormat="1" applyFont="1" applyFill="1" applyAlignment="1" applyProtection="1">
      <alignment horizontal="center"/>
      <protection/>
    </xf>
    <xf numFmtId="0" fontId="25" fillId="0" borderId="0" xfId="0" applyFont="1" applyFill="1" applyAlignment="1">
      <alignment horizontal="left" vertical="center" wrapText="1"/>
    </xf>
    <xf numFmtId="0" fontId="25" fillId="0" borderId="0" xfId="0" applyFont="1" applyFill="1" applyBorder="1" applyAlignment="1">
      <alignment horizontal="left" vertical="center" wrapText="1"/>
    </xf>
    <xf numFmtId="0" fontId="25" fillId="0" borderId="0" xfId="0" applyFont="1" applyFill="1" applyBorder="1" applyAlignment="1">
      <alignment/>
    </xf>
    <xf numFmtId="0" fontId="25" fillId="0" borderId="0" xfId="0" applyFont="1" applyFill="1" applyAlignment="1">
      <alignment/>
    </xf>
    <xf numFmtId="0" fontId="25" fillId="0" borderId="0" xfId="0" applyNumberFormat="1" applyFont="1" applyFill="1" applyBorder="1" applyAlignment="1" applyProtection="1">
      <alignment vertical="top" wrapText="1"/>
      <protection/>
    </xf>
    <xf numFmtId="0" fontId="25" fillId="0" borderId="0" xfId="0" applyFont="1" applyFill="1" applyAlignment="1">
      <alignment vertical="center"/>
    </xf>
    <xf numFmtId="0" fontId="27" fillId="0" borderId="0" xfId="0" applyNumberFormat="1" applyFont="1" applyFill="1" applyAlignment="1" applyProtection="1">
      <alignment vertical="top"/>
      <protection/>
    </xf>
    <xf numFmtId="0" fontId="27" fillId="0" borderId="17" xfId="0" applyFont="1" applyFill="1" applyBorder="1" applyAlignment="1">
      <alignment horizontal="center"/>
    </xf>
    <xf numFmtId="0" fontId="27" fillId="0" borderId="0" xfId="0" applyFont="1" applyFill="1" applyBorder="1" applyAlignment="1">
      <alignment horizontal="center"/>
    </xf>
    <xf numFmtId="0" fontId="27" fillId="0" borderId="0" xfId="0" applyFont="1" applyFill="1" applyAlignment="1">
      <alignment horizontal="center"/>
    </xf>
    <xf numFmtId="0" fontId="27" fillId="0" borderId="0" xfId="0" applyFont="1" applyFill="1" applyAlignment="1">
      <alignment horizontal="right"/>
    </xf>
    <xf numFmtId="0" fontId="28" fillId="0" borderId="0" xfId="0" applyFont="1" applyFill="1" applyAlignment="1">
      <alignment/>
    </xf>
    <xf numFmtId="0" fontId="28" fillId="0" borderId="0" xfId="0" applyFont="1" applyFill="1" applyBorder="1" applyAlignment="1">
      <alignment/>
    </xf>
    <xf numFmtId="0" fontId="27" fillId="0" borderId="16" xfId="0" applyNumberFormat="1" applyFont="1" applyFill="1" applyBorder="1" applyAlignment="1" applyProtection="1">
      <alignment horizontal="center" vertical="center" wrapText="1"/>
      <protection/>
    </xf>
    <xf numFmtId="0" fontId="27" fillId="0" borderId="16" xfId="0" applyFont="1" applyFill="1" applyBorder="1" applyAlignment="1">
      <alignment horizontal="center" vertical="center" wrapText="1"/>
    </xf>
    <xf numFmtId="0" fontId="27" fillId="0" borderId="16" xfId="0" applyFont="1" applyFill="1" applyBorder="1" applyAlignment="1">
      <alignment horizontal="center"/>
    </xf>
    <xf numFmtId="49" fontId="29" fillId="0" borderId="16" xfId="0" applyNumberFormat="1" applyFont="1" applyFill="1" applyBorder="1" applyAlignment="1" applyProtection="1">
      <alignment horizontal="center" vertical="center"/>
      <protection/>
    </xf>
    <xf numFmtId="49" fontId="30" fillId="0" borderId="16" xfId="0" applyNumberFormat="1" applyFont="1" applyFill="1" applyBorder="1" applyAlignment="1" applyProtection="1">
      <alignment horizontal="center" vertical="center"/>
      <protection/>
    </xf>
    <xf numFmtId="0" fontId="28" fillId="0" borderId="16" xfId="0" applyFont="1" applyFill="1" applyBorder="1" applyAlignment="1">
      <alignment vertical="center" wrapText="1"/>
    </xf>
    <xf numFmtId="0" fontId="29" fillId="0" borderId="16" xfId="0" applyFont="1" applyFill="1" applyBorder="1" applyAlignment="1">
      <alignment vertical="center" wrapText="1"/>
    </xf>
    <xf numFmtId="192" fontId="27" fillId="0" borderId="16" xfId="0" applyNumberFormat="1" applyFont="1" applyFill="1" applyBorder="1" applyAlignment="1">
      <alignment horizontal="center" vertical="center" wrapText="1"/>
    </xf>
    <xf numFmtId="4" fontId="28" fillId="0" borderId="16" xfId="95" applyNumberFormat="1" applyFont="1" applyFill="1" applyBorder="1" applyAlignment="1">
      <alignment vertical="center"/>
      <protection/>
    </xf>
    <xf numFmtId="192" fontId="28" fillId="0" borderId="16" xfId="95" applyNumberFormat="1" applyFont="1" applyFill="1" applyBorder="1" applyAlignment="1">
      <alignment vertical="center"/>
      <protection/>
    </xf>
    <xf numFmtId="0" fontId="30" fillId="0" borderId="0" xfId="0" applyFont="1" applyFill="1" applyAlignment="1">
      <alignment vertical="center"/>
    </xf>
    <xf numFmtId="192" fontId="30" fillId="0" borderId="0" xfId="0" applyNumberFormat="1" applyFont="1" applyFill="1" applyAlignment="1">
      <alignment vertical="center"/>
    </xf>
    <xf numFmtId="0" fontId="30" fillId="0" borderId="0" xfId="0" applyFont="1" applyFill="1" applyBorder="1" applyAlignment="1">
      <alignment vertical="center"/>
    </xf>
    <xf numFmtId="49" fontId="27" fillId="0" borderId="16" xfId="0" applyNumberFormat="1" applyFont="1" applyFill="1" applyBorder="1" applyAlignment="1" applyProtection="1">
      <alignment horizontal="center" vertical="center"/>
      <protection/>
    </xf>
    <xf numFmtId="0" fontId="27" fillId="0" borderId="16" xfId="0" applyFont="1" applyFill="1" applyBorder="1" applyAlignment="1">
      <alignment horizontal="left" vertical="center" wrapText="1"/>
    </xf>
    <xf numFmtId="4" fontId="27" fillId="0" borderId="16" xfId="95" applyNumberFormat="1" applyFont="1" applyFill="1" applyBorder="1" applyAlignment="1">
      <alignment vertical="center"/>
      <protection/>
    </xf>
    <xf numFmtId="0" fontId="27" fillId="0" borderId="0" xfId="0" applyFont="1" applyFill="1" applyAlignment="1">
      <alignment vertical="center"/>
    </xf>
    <xf numFmtId="0" fontId="27" fillId="0" borderId="16" xfId="0" applyFont="1" applyFill="1" applyBorder="1" applyAlignment="1">
      <alignment/>
    </xf>
    <xf numFmtId="192" fontId="27" fillId="0" borderId="16" xfId="95" applyNumberFormat="1" applyFont="1" applyFill="1" applyBorder="1" applyAlignment="1">
      <alignment vertical="center"/>
      <protection/>
    </xf>
    <xf numFmtId="0" fontId="30" fillId="0" borderId="16" xfId="0" applyFont="1" applyFill="1" applyBorder="1" applyAlignment="1">
      <alignment horizontal="left" vertical="center" wrapText="1"/>
    </xf>
    <xf numFmtId="4" fontId="30" fillId="0" borderId="16" xfId="95" applyNumberFormat="1" applyFont="1" applyFill="1" applyBorder="1" applyAlignment="1">
      <alignment vertical="center"/>
      <protection/>
    </xf>
    <xf numFmtId="0" fontId="30" fillId="0" borderId="16" xfId="0" applyFont="1" applyFill="1" applyBorder="1" applyAlignment="1">
      <alignment horizontal="center" vertical="center"/>
    </xf>
    <xf numFmtId="192" fontId="30" fillId="0" borderId="16" xfId="0" applyNumberFormat="1" applyFont="1" applyFill="1" applyBorder="1" applyAlignment="1">
      <alignment vertical="center"/>
    </xf>
    <xf numFmtId="49" fontId="30" fillId="0" borderId="16" xfId="0" applyNumberFormat="1" applyFont="1" applyFill="1" applyBorder="1" applyAlignment="1">
      <alignment horizontal="center" vertical="center"/>
    </xf>
    <xf numFmtId="0" fontId="30" fillId="0" borderId="16" xfId="0" applyFont="1" applyFill="1" applyBorder="1" applyAlignment="1">
      <alignment vertical="center" wrapText="1"/>
    </xf>
    <xf numFmtId="192" fontId="30" fillId="0" borderId="16" xfId="95" applyNumberFormat="1" applyFont="1" applyFill="1" applyBorder="1" applyAlignment="1">
      <alignment vertical="center"/>
      <protection/>
    </xf>
    <xf numFmtId="0" fontId="30" fillId="0" borderId="16" xfId="0" applyFont="1" applyFill="1" applyBorder="1" applyAlignment="1">
      <alignment vertical="center"/>
    </xf>
    <xf numFmtId="49" fontId="27" fillId="0" borderId="16" xfId="0" applyNumberFormat="1" applyFont="1" applyFill="1" applyBorder="1" applyAlignment="1">
      <alignment horizontal="center" vertical="center"/>
    </xf>
    <xf numFmtId="0" fontId="27" fillId="0" borderId="16" xfId="0" applyFont="1" applyFill="1" applyBorder="1" applyAlignment="1">
      <alignment vertical="center"/>
    </xf>
    <xf numFmtId="49" fontId="30" fillId="0" borderId="16" xfId="0" applyNumberFormat="1" applyFont="1" applyFill="1" applyBorder="1" applyAlignment="1">
      <alignment horizontal="left" vertical="center" wrapText="1"/>
    </xf>
    <xf numFmtId="49" fontId="28" fillId="0" borderId="16" xfId="0" applyNumberFormat="1" applyFont="1" applyFill="1" applyBorder="1" applyAlignment="1">
      <alignment horizontal="center" vertical="center"/>
    </xf>
    <xf numFmtId="0" fontId="28" fillId="0" borderId="16" xfId="0" applyFont="1" applyFill="1" applyBorder="1" applyAlignment="1">
      <alignment horizontal="left" vertical="center" wrapText="1"/>
    </xf>
    <xf numFmtId="49" fontId="28" fillId="0" borderId="16" xfId="0" applyNumberFormat="1" applyFont="1" applyFill="1" applyBorder="1" applyAlignment="1" applyProtection="1">
      <alignment horizontal="center" vertical="center"/>
      <protection/>
    </xf>
    <xf numFmtId="0" fontId="27" fillId="0" borderId="16" xfId="0" applyNumberFormat="1" applyFont="1" applyFill="1" applyBorder="1" applyAlignment="1" applyProtection="1">
      <alignment horizontal="center" vertical="center"/>
      <protection/>
    </xf>
    <xf numFmtId="4" fontId="27" fillId="0" borderId="16" xfId="0" applyNumberFormat="1" applyFont="1" applyFill="1" applyBorder="1" applyAlignment="1">
      <alignment vertical="center"/>
    </xf>
    <xf numFmtId="0" fontId="30" fillId="0" borderId="16" xfId="0" applyNumberFormat="1" applyFont="1" applyFill="1" applyBorder="1" applyAlignment="1" applyProtection="1">
      <alignment horizontal="center" vertical="center"/>
      <protection/>
    </xf>
    <xf numFmtId="4" fontId="30" fillId="0" borderId="16" xfId="0" applyNumberFormat="1" applyFont="1" applyFill="1" applyBorder="1" applyAlignment="1">
      <alignment vertical="center"/>
    </xf>
    <xf numFmtId="0" fontId="29" fillId="0" borderId="16" xfId="0" applyFont="1" applyFill="1" applyBorder="1" applyAlignment="1">
      <alignment horizontal="left" vertical="center" wrapText="1"/>
    </xf>
    <xf numFmtId="4" fontId="29" fillId="0" borderId="16" xfId="95" applyNumberFormat="1" applyFont="1" applyFill="1" applyBorder="1" applyAlignment="1">
      <alignment vertical="center"/>
      <protection/>
    </xf>
    <xf numFmtId="0" fontId="28" fillId="0" borderId="0" xfId="0" applyFont="1" applyFill="1" applyAlignment="1">
      <alignment vertical="center"/>
    </xf>
    <xf numFmtId="0" fontId="28" fillId="0" borderId="0" xfId="0" applyFont="1" applyFill="1" applyBorder="1" applyAlignment="1">
      <alignment vertical="center"/>
    </xf>
    <xf numFmtId="0" fontId="27" fillId="0" borderId="16" xfId="0" applyFont="1" applyFill="1" applyBorder="1" applyAlignment="1">
      <alignment horizontal="left" wrapText="1"/>
    </xf>
    <xf numFmtId="192" fontId="28" fillId="0" borderId="16" xfId="0" applyNumberFormat="1" applyFont="1" applyFill="1" applyBorder="1" applyAlignment="1">
      <alignment vertical="center"/>
    </xf>
    <xf numFmtId="0" fontId="27" fillId="0" borderId="16" xfId="0" applyFont="1" applyFill="1" applyBorder="1" applyAlignment="1">
      <alignment vertical="center" wrapText="1"/>
    </xf>
    <xf numFmtId="4" fontId="30" fillId="0" borderId="16" xfId="0" applyNumberFormat="1" applyFont="1" applyFill="1" applyBorder="1" applyAlignment="1">
      <alignment vertical="center" wrapText="1"/>
    </xf>
    <xf numFmtId="0" fontId="28" fillId="0" borderId="16" xfId="0" applyNumberFormat="1" applyFont="1" applyFill="1" applyBorder="1" applyAlignment="1" applyProtection="1">
      <alignment horizontal="center" vertical="center"/>
      <protection/>
    </xf>
    <xf numFmtId="3" fontId="28" fillId="0" borderId="16" xfId="0" applyNumberFormat="1" applyFont="1" applyFill="1" applyBorder="1" applyAlignment="1">
      <alignment horizontal="right" vertical="center" wrapText="1"/>
    </xf>
    <xf numFmtId="4" fontId="28" fillId="0" borderId="16" xfId="0" applyNumberFormat="1" applyFont="1" applyFill="1" applyBorder="1" applyAlignment="1">
      <alignment horizontal="right" vertical="center" wrapText="1"/>
    </xf>
    <xf numFmtId="192" fontId="28" fillId="0" borderId="16" xfId="0" applyNumberFormat="1" applyFont="1" applyFill="1" applyBorder="1" applyAlignment="1">
      <alignment horizontal="right" vertical="center" wrapText="1"/>
    </xf>
    <xf numFmtId="3" fontId="27" fillId="0" borderId="16" xfId="95" applyNumberFormat="1" applyFont="1" applyFill="1" applyBorder="1" applyAlignment="1">
      <alignment vertical="center"/>
      <protection/>
    </xf>
    <xf numFmtId="195" fontId="27" fillId="0" borderId="16" xfId="95" applyNumberFormat="1" applyFont="1" applyFill="1" applyBorder="1" applyAlignment="1">
      <alignment horizontal="center" vertical="center"/>
      <protection/>
    </xf>
    <xf numFmtId="192" fontId="27" fillId="0" borderId="16" xfId="0" applyNumberFormat="1" applyFont="1" applyFill="1" applyBorder="1" applyAlignment="1" applyProtection="1">
      <alignment horizontal="center" vertical="center" wrapText="1"/>
      <protection/>
    </xf>
    <xf numFmtId="0" fontId="27" fillId="0" borderId="16" xfId="0" applyFont="1" applyFill="1" applyBorder="1" applyAlignment="1">
      <alignment horizontal="justify" vertical="center" wrapText="1"/>
    </xf>
    <xf numFmtId="4" fontId="31" fillId="0" borderId="16" xfId="95" applyNumberFormat="1" applyFont="1" applyFill="1" applyBorder="1" applyAlignment="1">
      <alignment vertical="center"/>
      <protection/>
    </xf>
    <xf numFmtId="0" fontId="31" fillId="0" borderId="16" xfId="0" applyFont="1" applyFill="1" applyBorder="1" applyAlignment="1">
      <alignment horizontal="justify" vertical="center" wrapText="1"/>
    </xf>
    <xf numFmtId="3" fontId="28" fillId="0" borderId="16" xfId="95" applyNumberFormat="1" applyFont="1" applyFill="1" applyBorder="1" applyAlignment="1">
      <alignment vertical="center"/>
      <protection/>
    </xf>
    <xf numFmtId="195" fontId="28" fillId="0" borderId="16" xfId="95" applyNumberFormat="1" applyFont="1" applyFill="1" applyBorder="1" applyAlignment="1">
      <alignment horizontal="center" vertical="center"/>
      <protection/>
    </xf>
    <xf numFmtId="195" fontId="28" fillId="0" borderId="16" xfId="0" applyNumberFormat="1" applyFont="1" applyFill="1" applyBorder="1" applyAlignment="1">
      <alignment horizontal="center" vertical="center" wrapText="1"/>
    </xf>
    <xf numFmtId="195" fontId="27" fillId="0" borderId="16" xfId="0" applyNumberFormat="1" applyFont="1" applyFill="1" applyBorder="1" applyAlignment="1">
      <alignment horizontal="center" vertical="center" wrapText="1"/>
    </xf>
    <xf numFmtId="0" fontId="30" fillId="0" borderId="16" xfId="0" applyFont="1" applyFill="1" applyBorder="1" applyAlignment="1">
      <alignment horizontal="justify" vertical="center" wrapText="1"/>
    </xf>
    <xf numFmtId="195" fontId="30" fillId="0" borderId="16" xfId="0" applyNumberFormat="1" applyFont="1" applyFill="1" applyBorder="1" applyAlignment="1">
      <alignment horizontal="center" vertical="center" wrapText="1"/>
    </xf>
    <xf numFmtId="192" fontId="30" fillId="0" borderId="16" xfId="0" applyNumberFormat="1" applyFont="1" applyFill="1" applyBorder="1" applyAlignment="1">
      <alignment horizontal="center" vertical="center" wrapText="1"/>
    </xf>
    <xf numFmtId="192" fontId="30" fillId="0" borderId="16" xfId="0" applyNumberFormat="1" applyFont="1" applyFill="1" applyBorder="1" applyAlignment="1" applyProtection="1">
      <alignment horizontal="center" vertical="center" wrapText="1"/>
      <protection/>
    </xf>
    <xf numFmtId="0" fontId="27" fillId="0" borderId="0" xfId="0" applyFont="1" applyFill="1" applyAlignment="1">
      <alignment horizontal="center" vertical="center"/>
    </xf>
    <xf numFmtId="0" fontId="27" fillId="0" borderId="0" xfId="0" applyFont="1" applyFill="1" applyBorder="1" applyAlignment="1">
      <alignment horizontal="center" vertical="center"/>
    </xf>
    <xf numFmtId="4" fontId="30" fillId="0" borderId="16" xfId="0" applyNumberFormat="1" applyFont="1" applyFill="1" applyBorder="1" applyAlignment="1">
      <alignment horizontal="center" vertical="center" wrapText="1"/>
    </xf>
    <xf numFmtId="4" fontId="32" fillId="0" borderId="16" xfId="95" applyNumberFormat="1" applyFont="1" applyFill="1" applyBorder="1" applyAlignment="1">
      <alignment vertical="center"/>
      <protection/>
    </xf>
    <xf numFmtId="0" fontId="28" fillId="0" borderId="16" xfId="0" applyFont="1" applyFill="1" applyBorder="1" applyAlignment="1">
      <alignment vertical="center"/>
    </xf>
    <xf numFmtId="4" fontId="27" fillId="0" borderId="0" xfId="0" applyNumberFormat="1" applyFont="1" applyFill="1" applyAlignment="1" applyProtection="1">
      <alignment/>
      <protection/>
    </xf>
    <xf numFmtId="0" fontId="27" fillId="0" borderId="0" xfId="0" applyFont="1" applyFill="1" applyAlignment="1">
      <alignment vertical="top"/>
    </xf>
    <xf numFmtId="1" fontId="28" fillId="0" borderId="0" xfId="0" applyNumberFormat="1" applyFont="1" applyFill="1" applyBorder="1" applyAlignment="1">
      <alignment horizontal="center" vertical="center"/>
    </xf>
    <xf numFmtId="0" fontId="27" fillId="0" borderId="0" xfId="0" applyFont="1" applyFill="1" applyBorder="1" applyAlignment="1">
      <alignment vertical="center" textRotation="180"/>
    </xf>
    <xf numFmtId="2" fontId="27" fillId="0" borderId="0" xfId="0" applyNumberFormat="1" applyFont="1" applyFill="1" applyBorder="1" applyAlignment="1">
      <alignment horizontal="center" vertical="center"/>
    </xf>
    <xf numFmtId="0" fontId="27" fillId="0" borderId="0" xfId="0" applyFont="1" applyFill="1" applyBorder="1" applyAlignment="1">
      <alignment wrapText="1"/>
    </xf>
    <xf numFmtId="0" fontId="27" fillId="0" borderId="0" xfId="0" applyNumberFormat="1" applyFont="1" applyFill="1" applyBorder="1" applyAlignment="1" applyProtection="1">
      <alignment horizontal="center"/>
      <protection/>
    </xf>
    <xf numFmtId="0" fontId="27" fillId="0" borderId="0" xfId="0" applyFont="1" applyFill="1" applyBorder="1" applyAlignment="1">
      <alignment/>
    </xf>
    <xf numFmtId="0" fontId="27" fillId="0" borderId="0" xfId="0" applyNumberFormat="1" applyFont="1" applyFill="1" applyBorder="1" applyAlignment="1" applyProtection="1">
      <alignment/>
      <protection/>
    </xf>
    <xf numFmtId="0" fontId="25" fillId="0" borderId="0" xfId="0" applyFont="1" applyFill="1" applyBorder="1" applyAlignment="1">
      <alignment vertical="center"/>
    </xf>
    <xf numFmtId="2" fontId="25" fillId="0" borderId="0" xfId="0" applyNumberFormat="1" applyFont="1" applyFill="1" applyBorder="1" applyAlignment="1">
      <alignment horizontal="left" vertical="center" wrapText="1"/>
    </xf>
    <xf numFmtId="0" fontId="25" fillId="0" borderId="0" xfId="0" applyFont="1" applyFill="1" applyAlignment="1">
      <alignment horizontal="left"/>
    </xf>
    <xf numFmtId="0" fontId="28" fillId="0" borderId="16" xfId="0" applyNumberFormat="1" applyFont="1" applyFill="1" applyBorder="1" applyAlignment="1" applyProtection="1">
      <alignment horizontal="center" vertical="center" wrapText="1"/>
      <protection/>
    </xf>
    <xf numFmtId="0" fontId="28" fillId="0" borderId="16" xfId="0" applyFont="1" applyFill="1" applyBorder="1" applyAlignment="1">
      <alignment horizontal="center" vertical="center" wrapText="1"/>
    </xf>
    <xf numFmtId="0" fontId="24" fillId="0" borderId="0" xfId="0" applyNumberFormat="1" applyFont="1" applyFill="1" applyAlignment="1" applyProtection="1">
      <alignment horizontal="left"/>
      <protection/>
    </xf>
    <xf numFmtId="0" fontId="24" fillId="0" borderId="0" xfId="0" applyNumberFormat="1" applyFont="1" applyFill="1" applyAlignment="1" applyProtection="1">
      <alignment horizontal="center"/>
      <protection/>
    </xf>
    <xf numFmtId="0" fontId="25" fillId="0" borderId="0" xfId="0" applyNumberFormat="1" applyFont="1" applyFill="1" applyAlignment="1" applyProtection="1">
      <alignment horizontal="center"/>
      <protection/>
    </xf>
    <xf numFmtId="0" fontId="24" fillId="0" borderId="0" xfId="0" applyNumberFormat="1" applyFont="1" applyFill="1" applyAlignment="1" applyProtection="1">
      <alignment/>
      <protection/>
    </xf>
    <xf numFmtId="0" fontId="34" fillId="0" borderId="0" xfId="0" applyFont="1" applyAlignment="1">
      <alignment/>
    </xf>
    <xf numFmtId="0" fontId="27" fillId="0" borderId="0" xfId="0" applyNumberFormat="1" applyFont="1" applyFill="1" applyAlignment="1" applyProtection="1">
      <alignment horizontal="left"/>
      <protection/>
    </xf>
    <xf numFmtId="0" fontId="25" fillId="0" borderId="0" xfId="0" applyFont="1" applyFill="1" applyBorder="1" applyAlignment="1">
      <alignment horizontal="center" vertical="center"/>
    </xf>
    <xf numFmtId="14" fontId="27" fillId="0" borderId="0" xfId="0" applyNumberFormat="1" applyFont="1" applyFill="1" applyBorder="1" applyAlignment="1">
      <alignment horizontal="left"/>
    </xf>
    <xf numFmtId="0" fontId="27" fillId="0" borderId="0" xfId="0" applyFont="1" applyFill="1" applyBorder="1" applyAlignment="1">
      <alignment horizontal="left" vertical="distributed" wrapText="1"/>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Y301"/>
  <sheetViews>
    <sheetView showGridLines="0" showZeros="0" tabSelected="1" view="pageBreakPreview" zoomScale="60" zoomScaleNormal="70" zoomScalePageLayoutView="0" workbookViewId="0" topLeftCell="D1">
      <selection activeCell="H3" sqref="H3:N3"/>
    </sheetView>
  </sheetViews>
  <sheetFormatPr defaultColWidth="9.16015625" defaultRowHeight="12.75"/>
  <cols>
    <col min="1" max="1" width="17.16015625" style="5" hidden="1" customWidth="1"/>
    <col min="2" max="2" width="18" style="5" hidden="1" customWidth="1"/>
    <col min="3" max="3" width="19.66015625" style="5" hidden="1" customWidth="1"/>
    <col min="4" max="4" width="172.16015625" style="6" customWidth="1"/>
    <col min="5" max="5" width="59" style="6" hidden="1" customWidth="1"/>
    <col min="6" max="6" width="23.83203125" style="6" hidden="1" customWidth="1"/>
    <col min="7" max="8" width="28.83203125" style="6" customWidth="1"/>
    <col min="9" max="9" width="18" style="6" hidden="1" customWidth="1"/>
    <col min="10" max="10" width="28.83203125" style="6" customWidth="1"/>
    <col min="11" max="11" width="27.16015625" style="6" hidden="1" customWidth="1"/>
    <col min="12" max="12" width="22.5" style="94" hidden="1" customWidth="1"/>
    <col min="13" max="13" width="26.83203125" style="13" hidden="1" customWidth="1"/>
    <col min="14" max="14" width="38" style="7" customWidth="1"/>
    <col min="15" max="15" width="21.83203125" style="8" customWidth="1"/>
    <col min="16" max="16" width="16.66015625" style="7" customWidth="1"/>
    <col min="17" max="103" width="9.16015625" style="8" customWidth="1"/>
    <col min="104" max="16384" width="9.16015625" style="7" customWidth="1"/>
  </cols>
  <sheetData>
    <row r="1" spans="8:14" ht="27.75">
      <c r="H1" s="112" t="s">
        <v>403</v>
      </c>
      <c r="I1" s="112"/>
      <c r="J1" s="112"/>
      <c r="K1" s="112"/>
      <c r="L1" s="112"/>
      <c r="M1" s="112"/>
      <c r="N1" s="112"/>
    </row>
    <row r="2" spans="8:14" ht="27" customHeight="1">
      <c r="H2" s="113" t="s">
        <v>407</v>
      </c>
      <c r="I2" s="113"/>
      <c r="J2" s="113"/>
      <c r="K2" s="113"/>
      <c r="L2" s="113"/>
      <c r="M2" s="113"/>
      <c r="N2" s="113"/>
    </row>
    <row r="3" spans="8:18" ht="27.75">
      <c r="H3" s="115" t="s">
        <v>408</v>
      </c>
      <c r="I3" s="116"/>
      <c r="J3" s="116"/>
      <c r="K3" s="116"/>
      <c r="L3" s="116"/>
      <c r="M3" s="116"/>
      <c r="N3" s="116"/>
      <c r="O3" s="11"/>
      <c r="P3" s="10"/>
      <c r="Q3" s="11"/>
      <c r="R3" s="11"/>
    </row>
    <row r="4" spans="9:18" ht="20.25">
      <c r="I4" s="9" t="s">
        <v>321</v>
      </c>
      <c r="J4" s="9"/>
      <c r="K4" s="9"/>
      <c r="L4" s="9"/>
      <c r="M4" s="9"/>
      <c r="N4" s="10"/>
      <c r="O4" s="11"/>
      <c r="P4" s="10"/>
      <c r="Q4" s="11"/>
      <c r="R4" s="11"/>
    </row>
    <row r="5" spans="9:18" ht="20.25">
      <c r="I5" s="117"/>
      <c r="J5" s="117"/>
      <c r="K5" s="117"/>
      <c r="L5" s="117"/>
      <c r="M5" s="117"/>
      <c r="N5" s="10"/>
      <c r="O5" s="11"/>
      <c r="P5" s="10"/>
      <c r="Q5" s="11"/>
      <c r="R5" s="11"/>
    </row>
    <row r="6" spans="12:18" ht="24" customHeight="1">
      <c r="L6" s="12"/>
      <c r="N6" s="10"/>
      <c r="O6" s="11"/>
      <c r="P6" s="10"/>
      <c r="Q6" s="11"/>
      <c r="R6" s="11"/>
    </row>
    <row r="7" spans="12:18" ht="20.25">
      <c r="L7" s="12"/>
      <c r="N7" s="14"/>
      <c r="O7" s="15"/>
      <c r="P7" s="14"/>
      <c r="Q7" s="15"/>
      <c r="R7" s="15"/>
    </row>
    <row r="8" spans="12:18" ht="20.25">
      <c r="L8" s="12"/>
      <c r="N8" s="14"/>
      <c r="O8" s="15"/>
      <c r="P8" s="14"/>
      <c r="Q8" s="15"/>
      <c r="R8" s="15"/>
    </row>
    <row r="9" spans="12:18" ht="20.25">
      <c r="L9" s="12"/>
      <c r="N9" s="14"/>
      <c r="O9" s="15"/>
      <c r="P9" s="14"/>
      <c r="Q9" s="15"/>
      <c r="R9" s="15"/>
    </row>
    <row r="10" spans="1:103" s="20" customFormat="1" ht="29.25" customHeight="1">
      <c r="A10" s="16"/>
      <c r="B10" s="16"/>
      <c r="C10" s="16"/>
      <c r="D10" s="114" t="s">
        <v>384</v>
      </c>
      <c r="E10" s="114"/>
      <c r="F10" s="114"/>
      <c r="G10" s="114"/>
      <c r="H10" s="114"/>
      <c r="I10" s="114"/>
      <c r="J10" s="114"/>
      <c r="K10" s="114"/>
      <c r="L10" s="114"/>
      <c r="M10" s="114"/>
      <c r="N10" s="114"/>
      <c r="O10" s="18"/>
      <c r="P10" s="17"/>
      <c r="Q10" s="18"/>
      <c r="R10" s="18"/>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row>
    <row r="11" spans="1:103" s="20" customFormat="1" ht="37.5" customHeight="1">
      <c r="A11" s="21"/>
      <c r="B11" s="21"/>
      <c r="C11" s="21"/>
      <c r="D11" s="114" t="s">
        <v>385</v>
      </c>
      <c r="E11" s="114"/>
      <c r="F11" s="114"/>
      <c r="G11" s="114"/>
      <c r="H11" s="114"/>
      <c r="I11" s="114"/>
      <c r="J11" s="114"/>
      <c r="K11" s="114"/>
      <c r="L11" s="114"/>
      <c r="M11" s="114"/>
      <c r="N11" s="114"/>
      <c r="O11" s="107"/>
      <c r="P11" s="22"/>
      <c r="Q11" s="22"/>
      <c r="R11" s="22"/>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row>
    <row r="12" spans="4:18" ht="20.25">
      <c r="D12" s="23"/>
      <c r="E12" s="23"/>
      <c r="F12" s="23"/>
      <c r="G12" s="23"/>
      <c r="H12" s="23"/>
      <c r="I12" s="23"/>
      <c r="J12" s="23"/>
      <c r="L12" s="12"/>
      <c r="N12" s="10"/>
      <c r="O12" s="11"/>
      <c r="P12" s="10"/>
      <c r="Q12" s="11"/>
      <c r="R12" s="11"/>
    </row>
    <row r="13" spans="4:18" ht="20.25">
      <c r="D13" s="23"/>
      <c r="E13" s="23"/>
      <c r="F13" s="23"/>
      <c r="G13" s="23"/>
      <c r="H13" s="23"/>
      <c r="I13" s="23"/>
      <c r="J13" s="23"/>
      <c r="L13" s="12"/>
      <c r="N13" s="10"/>
      <c r="O13" s="11"/>
      <c r="P13" s="10"/>
      <c r="Q13" s="11"/>
      <c r="R13" s="11"/>
    </row>
    <row r="14" spans="4:14" ht="20.25">
      <c r="D14" s="24"/>
      <c r="E14" s="25"/>
      <c r="F14" s="25"/>
      <c r="G14" s="25"/>
      <c r="H14" s="25"/>
      <c r="I14" s="25"/>
      <c r="J14" s="25"/>
      <c r="K14" s="26"/>
      <c r="L14" s="12"/>
      <c r="M14" s="26"/>
      <c r="N14" s="27" t="s">
        <v>379</v>
      </c>
    </row>
    <row r="15" spans="1:103" s="28" customFormat="1" ht="45" customHeight="1">
      <c r="A15" s="110" t="s">
        <v>158</v>
      </c>
      <c r="B15" s="110" t="s">
        <v>228</v>
      </c>
      <c r="C15" s="110" t="s">
        <v>100</v>
      </c>
      <c r="D15" s="110" t="s">
        <v>383</v>
      </c>
      <c r="E15" s="111" t="s">
        <v>174</v>
      </c>
      <c r="F15" s="110" t="s">
        <v>160</v>
      </c>
      <c r="G15" s="110" t="s">
        <v>160</v>
      </c>
      <c r="H15" s="110" t="s">
        <v>161</v>
      </c>
      <c r="I15" s="110" t="s">
        <v>162</v>
      </c>
      <c r="J15" s="110" t="s">
        <v>162</v>
      </c>
      <c r="K15" s="110" t="s">
        <v>163</v>
      </c>
      <c r="L15" s="111" t="s">
        <v>255</v>
      </c>
      <c r="M15" s="111" t="s">
        <v>256</v>
      </c>
      <c r="N15" s="110" t="s">
        <v>163</v>
      </c>
      <c r="O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row>
    <row r="16" spans="1:103" s="28" customFormat="1" ht="89.25" customHeight="1">
      <c r="A16" s="110"/>
      <c r="B16" s="110"/>
      <c r="C16" s="110"/>
      <c r="D16" s="110"/>
      <c r="E16" s="111"/>
      <c r="F16" s="110"/>
      <c r="G16" s="110"/>
      <c r="H16" s="110"/>
      <c r="I16" s="110"/>
      <c r="J16" s="110"/>
      <c r="K16" s="110"/>
      <c r="L16" s="111"/>
      <c r="M16" s="111"/>
      <c r="N16" s="110"/>
      <c r="O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row>
    <row r="17" spans="1:103" s="26" customFormat="1" ht="20.25">
      <c r="A17" s="30"/>
      <c r="B17" s="30"/>
      <c r="C17" s="30"/>
      <c r="D17" s="30">
        <v>1</v>
      </c>
      <c r="E17" s="31"/>
      <c r="F17" s="30"/>
      <c r="G17" s="30">
        <v>2</v>
      </c>
      <c r="H17" s="30">
        <v>3</v>
      </c>
      <c r="I17" s="30"/>
      <c r="J17" s="30">
        <v>4</v>
      </c>
      <c r="K17" s="30"/>
      <c r="L17" s="30"/>
      <c r="M17" s="30"/>
      <c r="N17" s="32">
        <v>5</v>
      </c>
      <c r="O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row>
    <row r="18" spans="1:103" s="40" customFormat="1" ht="27.75" customHeight="1">
      <c r="A18" s="33" t="s">
        <v>2</v>
      </c>
      <c r="B18" s="34"/>
      <c r="C18" s="34"/>
      <c r="D18" s="35" t="s">
        <v>83</v>
      </c>
      <c r="E18" s="36"/>
      <c r="F18" s="36"/>
      <c r="G18" s="37">
        <f>ROUND(F18/1000,1)</f>
        <v>0</v>
      </c>
      <c r="H18" s="36"/>
      <c r="I18" s="36"/>
      <c r="J18" s="30">
        <f aca="true" t="shared" si="0" ref="J18:J82">ROUND(I18/1000,1)</f>
        <v>0</v>
      </c>
      <c r="K18" s="38">
        <f>K19+K22+K25+K27+K29+K31+K34+K36+K20+K30+K35</f>
        <v>59568418</v>
      </c>
      <c r="L18" s="38">
        <f>L19+L22+L25+L27+L29+L31+L34+L36+L20+L30+L35</f>
        <v>500000</v>
      </c>
      <c r="M18" s="38">
        <f>M19+M22+M25+M27+M29+M31+M34+M36+M20+M30+M35</f>
        <v>60068418</v>
      </c>
      <c r="N18" s="39">
        <f>N19+N22+N25+N27+N29+N31+N34+N36+N20+N30+N35</f>
        <v>60094.2</v>
      </c>
      <c r="O18" s="42"/>
      <c r="P18" s="41"/>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row>
    <row r="19" spans="1:103" s="46" customFormat="1" ht="25.5" customHeight="1">
      <c r="A19" s="43" t="s">
        <v>4</v>
      </c>
      <c r="B19" s="43" t="s">
        <v>98</v>
      </c>
      <c r="C19" s="43" t="s">
        <v>99</v>
      </c>
      <c r="D19" s="44" t="s">
        <v>257</v>
      </c>
      <c r="E19" s="44"/>
      <c r="F19" s="44"/>
      <c r="G19" s="37">
        <f aca="true" t="shared" si="1" ref="G19:G83">ROUND(F19/1000,1)</f>
        <v>0</v>
      </c>
      <c r="H19" s="44"/>
      <c r="I19" s="44"/>
      <c r="J19" s="30">
        <f t="shared" si="0"/>
        <v>0</v>
      </c>
      <c r="K19" s="45">
        <f>2000000+2500000-635300+500000+400000</f>
        <v>4764700</v>
      </c>
      <c r="L19" s="45"/>
      <c r="M19" s="45">
        <f>K19+L19</f>
        <v>4764700</v>
      </c>
      <c r="N19" s="4">
        <f>ROUND(M19/1000,1)+61.2-55.4</f>
        <v>4770.5</v>
      </c>
      <c r="O19" s="12"/>
      <c r="P19" s="41"/>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row>
    <row r="20" spans="1:103" s="46" customFormat="1" ht="26.25" customHeight="1">
      <c r="A20" s="43" t="s">
        <v>5</v>
      </c>
      <c r="B20" s="43" t="s">
        <v>156</v>
      </c>
      <c r="C20" s="43" t="s">
        <v>155</v>
      </c>
      <c r="D20" s="47" t="s">
        <v>365</v>
      </c>
      <c r="E20" s="47"/>
      <c r="F20" s="44"/>
      <c r="G20" s="37">
        <f t="shared" si="1"/>
        <v>0</v>
      </c>
      <c r="H20" s="44"/>
      <c r="I20" s="44"/>
      <c r="J20" s="30">
        <f t="shared" si="0"/>
        <v>0</v>
      </c>
      <c r="K20" s="45">
        <f>K21</f>
        <v>10000</v>
      </c>
      <c r="L20" s="45">
        <f>L21</f>
        <v>0</v>
      </c>
      <c r="M20" s="45">
        <f>M21</f>
        <v>10000</v>
      </c>
      <c r="N20" s="48">
        <f>N21</f>
        <v>10</v>
      </c>
      <c r="O20" s="12"/>
      <c r="P20" s="41"/>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row>
    <row r="21" spans="1:103" s="40" customFormat="1" ht="32.25" customHeight="1">
      <c r="A21" s="34" t="s">
        <v>5</v>
      </c>
      <c r="B21" s="34" t="s">
        <v>156</v>
      </c>
      <c r="C21" s="34" t="s">
        <v>155</v>
      </c>
      <c r="D21" s="49" t="s">
        <v>322</v>
      </c>
      <c r="E21" s="49"/>
      <c r="F21" s="49"/>
      <c r="G21" s="37">
        <f t="shared" si="1"/>
        <v>0</v>
      </c>
      <c r="H21" s="49"/>
      <c r="I21" s="49"/>
      <c r="J21" s="30">
        <f t="shared" si="0"/>
        <v>0</v>
      </c>
      <c r="K21" s="50">
        <v>10000</v>
      </c>
      <c r="L21" s="51"/>
      <c r="M21" s="50">
        <f aca="true" t="shared" si="2" ref="M21:M81">K21+L21</f>
        <v>10000</v>
      </c>
      <c r="N21" s="52">
        <f aca="true" t="shared" si="3" ref="N21:N83">ROUND(M21/1000,1)</f>
        <v>10</v>
      </c>
      <c r="O21" s="42"/>
      <c r="P21" s="41"/>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row>
    <row r="22" spans="1:103" s="46" customFormat="1" ht="26.25" customHeight="1">
      <c r="A22" s="43" t="s">
        <v>6</v>
      </c>
      <c r="B22" s="43" t="s">
        <v>131</v>
      </c>
      <c r="C22" s="43" t="s">
        <v>132</v>
      </c>
      <c r="D22" s="44" t="s">
        <v>366</v>
      </c>
      <c r="E22" s="44"/>
      <c r="F22" s="44"/>
      <c r="G22" s="37">
        <f t="shared" si="1"/>
        <v>0</v>
      </c>
      <c r="H22" s="44"/>
      <c r="I22" s="44"/>
      <c r="J22" s="30">
        <f t="shared" si="0"/>
        <v>0</v>
      </c>
      <c r="K22" s="45">
        <f>K23+K24</f>
        <v>122000</v>
      </c>
      <c r="L22" s="45">
        <f>L23+L24</f>
        <v>0</v>
      </c>
      <c r="M22" s="45">
        <f>M23+M24</f>
        <v>122000</v>
      </c>
      <c r="N22" s="4">
        <f t="shared" si="3"/>
        <v>122</v>
      </c>
      <c r="O22" s="12"/>
      <c r="P22" s="41"/>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row>
    <row r="23" spans="1:103" s="46" customFormat="1" ht="22.5" customHeight="1">
      <c r="A23" s="34" t="s">
        <v>6</v>
      </c>
      <c r="B23" s="34" t="s">
        <v>131</v>
      </c>
      <c r="C23" s="53" t="s">
        <v>132</v>
      </c>
      <c r="D23" s="54" t="s">
        <v>279</v>
      </c>
      <c r="E23" s="54"/>
      <c r="F23" s="54"/>
      <c r="G23" s="37">
        <f t="shared" si="1"/>
        <v>0</v>
      </c>
      <c r="H23" s="54"/>
      <c r="I23" s="54"/>
      <c r="J23" s="30">
        <f t="shared" si="0"/>
        <v>0</v>
      </c>
      <c r="K23" s="55">
        <f>80000+22000</f>
        <v>102000</v>
      </c>
      <c r="L23" s="55"/>
      <c r="M23" s="50">
        <f t="shared" si="2"/>
        <v>102000</v>
      </c>
      <c r="N23" s="52">
        <f t="shared" si="3"/>
        <v>102</v>
      </c>
      <c r="O23" s="12"/>
      <c r="P23" s="41"/>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row>
    <row r="24" spans="1:103" s="46" customFormat="1" ht="36" customHeight="1">
      <c r="A24" s="34" t="s">
        <v>6</v>
      </c>
      <c r="B24" s="34" t="s">
        <v>131</v>
      </c>
      <c r="C24" s="53" t="s">
        <v>132</v>
      </c>
      <c r="D24" s="54" t="s">
        <v>280</v>
      </c>
      <c r="E24" s="54"/>
      <c r="F24" s="54"/>
      <c r="G24" s="37">
        <f t="shared" si="1"/>
        <v>0</v>
      </c>
      <c r="H24" s="54"/>
      <c r="I24" s="54"/>
      <c r="J24" s="30">
        <f t="shared" si="0"/>
        <v>0</v>
      </c>
      <c r="K24" s="55">
        <v>20000</v>
      </c>
      <c r="L24" s="56"/>
      <c r="M24" s="50">
        <f t="shared" si="2"/>
        <v>20000</v>
      </c>
      <c r="N24" s="52">
        <f t="shared" si="3"/>
        <v>20</v>
      </c>
      <c r="O24" s="12"/>
      <c r="P24" s="41"/>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row>
    <row r="25" spans="1:103" s="46" customFormat="1" ht="28.5" customHeight="1">
      <c r="A25" s="57" t="s">
        <v>231</v>
      </c>
      <c r="B25" s="57" t="s">
        <v>230</v>
      </c>
      <c r="C25" s="57"/>
      <c r="D25" s="44" t="s">
        <v>367</v>
      </c>
      <c r="E25" s="44"/>
      <c r="F25" s="44"/>
      <c r="G25" s="37">
        <f t="shared" si="1"/>
        <v>0</v>
      </c>
      <c r="H25" s="44"/>
      <c r="I25" s="44"/>
      <c r="J25" s="30">
        <f t="shared" si="0"/>
        <v>0</v>
      </c>
      <c r="K25" s="45">
        <f>K26</f>
        <v>249000</v>
      </c>
      <c r="L25" s="45">
        <f>L26</f>
        <v>0</v>
      </c>
      <c r="M25" s="45">
        <f>M26</f>
        <v>249000</v>
      </c>
      <c r="N25" s="48">
        <f>N26</f>
        <v>249</v>
      </c>
      <c r="O25" s="12"/>
      <c r="P25" s="41"/>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row>
    <row r="26" spans="1:103" s="40" customFormat="1" ht="33.75" customHeight="1">
      <c r="A26" s="53" t="s">
        <v>233</v>
      </c>
      <c r="B26" s="53" t="s">
        <v>232</v>
      </c>
      <c r="C26" s="53" t="s">
        <v>133</v>
      </c>
      <c r="D26" s="49" t="s">
        <v>7</v>
      </c>
      <c r="E26" s="49"/>
      <c r="F26" s="49"/>
      <c r="G26" s="37">
        <f t="shared" si="1"/>
        <v>0</v>
      </c>
      <c r="H26" s="49"/>
      <c r="I26" s="49"/>
      <c r="J26" s="30">
        <f t="shared" si="0"/>
        <v>0</v>
      </c>
      <c r="K26" s="55">
        <f>239000+10000</f>
        <v>249000</v>
      </c>
      <c r="L26" s="55"/>
      <c r="M26" s="50">
        <f t="shared" si="2"/>
        <v>249000</v>
      </c>
      <c r="N26" s="52">
        <f t="shared" si="3"/>
        <v>249</v>
      </c>
      <c r="O26" s="42"/>
      <c r="P26" s="41"/>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row>
    <row r="27" spans="1:103" s="40" customFormat="1" ht="32.25" customHeight="1">
      <c r="A27" s="57" t="s">
        <v>8</v>
      </c>
      <c r="B27" s="57" t="s">
        <v>134</v>
      </c>
      <c r="C27" s="57"/>
      <c r="D27" s="44" t="s">
        <v>368</v>
      </c>
      <c r="E27" s="44"/>
      <c r="F27" s="44"/>
      <c r="G27" s="37">
        <f t="shared" si="1"/>
        <v>0</v>
      </c>
      <c r="H27" s="44"/>
      <c r="I27" s="44"/>
      <c r="J27" s="30">
        <f t="shared" si="0"/>
        <v>0</v>
      </c>
      <c r="K27" s="48">
        <f>K28</f>
        <v>39000</v>
      </c>
      <c r="L27" s="48">
        <f>L28</f>
        <v>0</v>
      </c>
      <c r="M27" s="48">
        <f>M28</f>
        <v>39000</v>
      </c>
      <c r="N27" s="48">
        <f>N28</f>
        <v>39</v>
      </c>
      <c r="O27" s="42"/>
      <c r="P27" s="41"/>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row>
    <row r="28" spans="1:103" s="40" customFormat="1" ht="46.5" customHeight="1">
      <c r="A28" s="53" t="s">
        <v>234</v>
      </c>
      <c r="B28" s="53" t="s">
        <v>235</v>
      </c>
      <c r="C28" s="53" t="s">
        <v>133</v>
      </c>
      <c r="D28" s="49" t="s">
        <v>236</v>
      </c>
      <c r="E28" s="49"/>
      <c r="F28" s="49"/>
      <c r="G28" s="37">
        <f t="shared" si="1"/>
        <v>0</v>
      </c>
      <c r="H28" s="49"/>
      <c r="I28" s="49"/>
      <c r="J28" s="30">
        <f t="shared" si="0"/>
        <v>0</v>
      </c>
      <c r="K28" s="55">
        <v>39000</v>
      </c>
      <c r="L28" s="56"/>
      <c r="M28" s="50">
        <f t="shared" si="2"/>
        <v>39000</v>
      </c>
      <c r="N28" s="52">
        <f t="shared" si="3"/>
        <v>39</v>
      </c>
      <c r="O28" s="42"/>
      <c r="P28" s="41"/>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row>
    <row r="29" spans="1:103" s="46" customFormat="1" ht="27.75" customHeight="1">
      <c r="A29" s="57" t="s">
        <v>10</v>
      </c>
      <c r="B29" s="57" t="s">
        <v>140</v>
      </c>
      <c r="C29" s="57" t="s">
        <v>141</v>
      </c>
      <c r="D29" s="44" t="s">
        <v>1</v>
      </c>
      <c r="E29" s="44"/>
      <c r="F29" s="44"/>
      <c r="G29" s="37">
        <f t="shared" si="1"/>
        <v>0</v>
      </c>
      <c r="H29" s="44"/>
      <c r="I29" s="44"/>
      <c r="J29" s="30">
        <f t="shared" si="0"/>
        <v>0</v>
      </c>
      <c r="K29" s="45">
        <f>2000000-565600</f>
        <v>1434400</v>
      </c>
      <c r="L29" s="45"/>
      <c r="M29" s="45">
        <f t="shared" si="2"/>
        <v>1434400</v>
      </c>
      <c r="N29" s="4">
        <f t="shared" si="3"/>
        <v>1434.4</v>
      </c>
      <c r="O29" s="12"/>
      <c r="P29" s="41"/>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row>
    <row r="30" spans="1:103" s="46" customFormat="1" ht="27.75" customHeight="1">
      <c r="A30" s="57" t="s">
        <v>12</v>
      </c>
      <c r="B30" s="57" t="s">
        <v>144</v>
      </c>
      <c r="C30" s="57" t="s">
        <v>145</v>
      </c>
      <c r="D30" s="44" t="s">
        <v>11</v>
      </c>
      <c r="E30" s="44"/>
      <c r="F30" s="44"/>
      <c r="G30" s="37">
        <f t="shared" si="1"/>
        <v>0</v>
      </c>
      <c r="H30" s="44"/>
      <c r="I30" s="44"/>
      <c r="J30" s="30">
        <f t="shared" si="0"/>
        <v>0</v>
      </c>
      <c r="K30" s="45">
        <v>32000</v>
      </c>
      <c r="L30" s="58"/>
      <c r="M30" s="45">
        <f t="shared" si="2"/>
        <v>32000</v>
      </c>
      <c r="N30" s="4">
        <f t="shared" si="3"/>
        <v>32</v>
      </c>
      <c r="O30" s="12"/>
      <c r="P30" s="41"/>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row>
    <row r="31" spans="1:103" s="46" customFormat="1" ht="27.75" customHeight="1">
      <c r="A31" s="57" t="s">
        <v>13</v>
      </c>
      <c r="B31" s="57" t="s">
        <v>146</v>
      </c>
      <c r="C31" s="57" t="s">
        <v>136</v>
      </c>
      <c r="D31" s="44" t="s">
        <v>369</v>
      </c>
      <c r="E31" s="44"/>
      <c r="F31" s="44"/>
      <c r="G31" s="37">
        <f t="shared" si="1"/>
        <v>0</v>
      </c>
      <c r="H31" s="44"/>
      <c r="I31" s="44"/>
      <c r="J31" s="30">
        <f t="shared" si="0"/>
        <v>0</v>
      </c>
      <c r="K31" s="45">
        <f>K32+K33</f>
        <v>47925600</v>
      </c>
      <c r="L31" s="45">
        <f>L32+L33</f>
        <v>0</v>
      </c>
      <c r="M31" s="45">
        <f>M32+M33</f>
        <v>47925600</v>
      </c>
      <c r="N31" s="48">
        <f>N32+N33</f>
        <v>47925.6</v>
      </c>
      <c r="O31" s="12"/>
      <c r="P31" s="41"/>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row>
    <row r="32" spans="1:103" s="40" customFormat="1" ht="36.75" customHeight="1">
      <c r="A32" s="53"/>
      <c r="B32" s="53"/>
      <c r="C32" s="53"/>
      <c r="D32" s="49" t="s">
        <v>165</v>
      </c>
      <c r="E32" s="49" t="s">
        <v>165</v>
      </c>
      <c r="F32" s="49"/>
      <c r="G32" s="37">
        <f t="shared" si="1"/>
        <v>0</v>
      </c>
      <c r="H32" s="49"/>
      <c r="I32" s="49"/>
      <c r="J32" s="30">
        <f t="shared" si="0"/>
        <v>0</v>
      </c>
      <c r="K32" s="50">
        <f>9100000+20000000+14269600</f>
        <v>43369600</v>
      </c>
      <c r="L32" s="50"/>
      <c r="M32" s="50">
        <f t="shared" si="2"/>
        <v>43369600</v>
      </c>
      <c r="N32" s="52">
        <f t="shared" si="3"/>
        <v>43369.6</v>
      </c>
      <c r="O32" s="42"/>
      <c r="P32" s="41"/>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row>
    <row r="33" spans="1:103" s="40" customFormat="1" ht="36" customHeight="1">
      <c r="A33" s="53"/>
      <c r="B33" s="53"/>
      <c r="C33" s="53"/>
      <c r="D33" s="49" t="s">
        <v>251</v>
      </c>
      <c r="E33" s="49" t="s">
        <v>251</v>
      </c>
      <c r="F33" s="49"/>
      <c r="G33" s="37">
        <f t="shared" si="1"/>
        <v>0</v>
      </c>
      <c r="H33" s="49"/>
      <c r="I33" s="49"/>
      <c r="J33" s="30">
        <f t="shared" si="0"/>
        <v>0</v>
      </c>
      <c r="K33" s="50">
        <f>1082000+3474000</f>
        <v>4556000</v>
      </c>
      <c r="L33" s="50"/>
      <c r="M33" s="50">
        <f t="shared" si="2"/>
        <v>4556000</v>
      </c>
      <c r="N33" s="52">
        <f t="shared" si="3"/>
        <v>4556</v>
      </c>
      <c r="O33" s="42"/>
      <c r="P33" s="41"/>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row>
    <row r="34" spans="1:103" s="46" customFormat="1" ht="51" customHeight="1">
      <c r="A34" s="57" t="s">
        <v>15</v>
      </c>
      <c r="B34" s="57" t="s">
        <v>147</v>
      </c>
      <c r="C34" s="57" t="s">
        <v>148</v>
      </c>
      <c r="D34" s="44" t="s">
        <v>14</v>
      </c>
      <c r="E34" s="44"/>
      <c r="F34" s="44"/>
      <c r="G34" s="37">
        <f t="shared" si="1"/>
        <v>0</v>
      </c>
      <c r="H34" s="44"/>
      <c r="I34" s="44"/>
      <c r="J34" s="30">
        <f t="shared" si="0"/>
        <v>0</v>
      </c>
      <c r="K34" s="45">
        <v>385000</v>
      </c>
      <c r="L34" s="58"/>
      <c r="M34" s="45">
        <f t="shared" si="2"/>
        <v>385000</v>
      </c>
      <c r="N34" s="4">
        <f t="shared" si="3"/>
        <v>385</v>
      </c>
      <c r="O34" s="12"/>
      <c r="P34" s="41"/>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row>
    <row r="35" spans="1:103" s="46" customFormat="1" ht="51.75" customHeight="1">
      <c r="A35" s="57" t="s">
        <v>283</v>
      </c>
      <c r="B35" s="57" t="s">
        <v>284</v>
      </c>
      <c r="C35" s="57" t="s">
        <v>98</v>
      </c>
      <c r="D35" s="44" t="s">
        <v>285</v>
      </c>
      <c r="E35" s="44"/>
      <c r="F35" s="44"/>
      <c r="G35" s="37">
        <f t="shared" si="1"/>
        <v>0</v>
      </c>
      <c r="H35" s="44"/>
      <c r="I35" s="44"/>
      <c r="J35" s="30">
        <f t="shared" si="0"/>
        <v>0</v>
      </c>
      <c r="K35" s="45">
        <v>1320000</v>
      </c>
      <c r="L35" s="45">
        <v>500000</v>
      </c>
      <c r="M35" s="45">
        <f t="shared" si="2"/>
        <v>1820000</v>
      </c>
      <c r="N35" s="4">
        <f>ROUND(M35/1000,1)+20</f>
        <v>1840</v>
      </c>
      <c r="O35" s="12"/>
      <c r="P35" s="41"/>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row>
    <row r="36" spans="1:103" s="46" customFormat="1" ht="30.75" customHeight="1">
      <c r="A36" s="57" t="s">
        <v>16</v>
      </c>
      <c r="B36" s="57" t="s">
        <v>150</v>
      </c>
      <c r="C36" s="57" t="s">
        <v>149</v>
      </c>
      <c r="D36" s="44" t="s">
        <v>365</v>
      </c>
      <c r="E36" s="44"/>
      <c r="F36" s="44"/>
      <c r="G36" s="37">
        <f t="shared" si="1"/>
        <v>0</v>
      </c>
      <c r="H36" s="44"/>
      <c r="I36" s="44"/>
      <c r="J36" s="30">
        <f t="shared" si="0"/>
        <v>0</v>
      </c>
      <c r="K36" s="45">
        <f>K38+K37+K39</f>
        <v>3286718</v>
      </c>
      <c r="L36" s="45">
        <f>L38+L37+L39</f>
        <v>0</v>
      </c>
      <c r="M36" s="45">
        <f>M38+M37+M39</f>
        <v>3286718</v>
      </c>
      <c r="N36" s="48">
        <f>N38+N37+N39</f>
        <v>3286.7</v>
      </c>
      <c r="O36" s="12"/>
      <c r="P36" s="41"/>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row>
    <row r="37" spans="1:103" s="40" customFormat="1" ht="40.5" customHeight="1">
      <c r="A37" s="53" t="s">
        <v>16</v>
      </c>
      <c r="B37" s="53" t="s">
        <v>150</v>
      </c>
      <c r="C37" s="53" t="s">
        <v>252</v>
      </c>
      <c r="D37" s="59" t="s">
        <v>253</v>
      </c>
      <c r="E37" s="49"/>
      <c r="F37" s="49"/>
      <c r="G37" s="37">
        <f t="shared" si="1"/>
        <v>0</v>
      </c>
      <c r="H37" s="49"/>
      <c r="I37" s="49"/>
      <c r="J37" s="30">
        <f t="shared" si="0"/>
        <v>0</v>
      </c>
      <c r="K37" s="50">
        <f>90000+2993718</f>
        <v>3083718</v>
      </c>
      <c r="L37" s="55"/>
      <c r="M37" s="50">
        <f t="shared" si="2"/>
        <v>3083718</v>
      </c>
      <c r="N37" s="52">
        <f t="shared" si="3"/>
        <v>3083.7</v>
      </c>
      <c r="O37" s="42"/>
      <c r="P37" s="41"/>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row>
    <row r="38" spans="1:103" s="46" customFormat="1" ht="30" customHeight="1">
      <c r="A38" s="53" t="s">
        <v>16</v>
      </c>
      <c r="B38" s="53" t="s">
        <v>150</v>
      </c>
      <c r="C38" s="53" t="s">
        <v>149</v>
      </c>
      <c r="D38" s="59" t="s">
        <v>84</v>
      </c>
      <c r="E38" s="59"/>
      <c r="F38" s="59"/>
      <c r="G38" s="37">
        <f t="shared" si="1"/>
        <v>0</v>
      </c>
      <c r="H38" s="59"/>
      <c r="I38" s="59"/>
      <c r="J38" s="30">
        <f t="shared" si="0"/>
        <v>0</v>
      </c>
      <c r="K38" s="50">
        <v>26000</v>
      </c>
      <c r="L38" s="56"/>
      <c r="M38" s="50">
        <f t="shared" si="2"/>
        <v>26000</v>
      </c>
      <c r="N38" s="52">
        <f t="shared" si="3"/>
        <v>26</v>
      </c>
      <c r="O38" s="12"/>
      <c r="P38" s="41"/>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row>
    <row r="39" spans="1:103" s="46" customFormat="1" ht="30" customHeight="1">
      <c r="A39" s="53" t="s">
        <v>16</v>
      </c>
      <c r="B39" s="53" t="s">
        <v>150</v>
      </c>
      <c r="C39" s="53" t="s">
        <v>149</v>
      </c>
      <c r="D39" s="59" t="s">
        <v>295</v>
      </c>
      <c r="E39" s="59"/>
      <c r="F39" s="59"/>
      <c r="G39" s="37">
        <f t="shared" si="1"/>
        <v>0</v>
      </c>
      <c r="H39" s="59"/>
      <c r="I39" s="59"/>
      <c r="J39" s="30">
        <f t="shared" si="0"/>
        <v>0</v>
      </c>
      <c r="K39" s="50">
        <v>177000</v>
      </c>
      <c r="L39" s="55"/>
      <c r="M39" s="50">
        <f t="shared" si="2"/>
        <v>177000</v>
      </c>
      <c r="N39" s="52">
        <f t="shared" si="3"/>
        <v>177</v>
      </c>
      <c r="O39" s="12"/>
      <c r="P39" s="41"/>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row>
    <row r="40" spans="1:103" s="46" customFormat="1" ht="29.25" customHeight="1">
      <c r="A40" s="60" t="s">
        <v>164</v>
      </c>
      <c r="B40" s="57"/>
      <c r="C40" s="57"/>
      <c r="D40" s="61" t="s">
        <v>17</v>
      </c>
      <c r="E40" s="61"/>
      <c r="F40" s="61"/>
      <c r="G40" s="37">
        <f t="shared" si="1"/>
        <v>0</v>
      </c>
      <c r="H40" s="61"/>
      <c r="I40" s="61"/>
      <c r="J40" s="30">
        <f t="shared" si="0"/>
        <v>0</v>
      </c>
      <c r="K40" s="38">
        <f>K41+K42+K43+K44+K45+K47+K48+K49+K50</f>
        <v>18068394</v>
      </c>
      <c r="L40" s="38">
        <f>L41+L42+L43+L44+L45+L47+L48+L49+L50</f>
        <v>40625</v>
      </c>
      <c r="M40" s="38">
        <f>M41+M42+M43+M44+M45+M47+M48+M49+M50</f>
        <v>18109019</v>
      </c>
      <c r="N40" s="39">
        <f>N41+N42+N43+N44+N45+N47+N48+N49+N50+N46</f>
        <v>18865.4</v>
      </c>
      <c r="O40" s="12"/>
      <c r="P40" s="41"/>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row>
    <row r="41" spans="1:103" s="46" customFormat="1" ht="31.5" customHeight="1">
      <c r="A41" s="43" t="s">
        <v>25</v>
      </c>
      <c r="B41" s="43" t="s">
        <v>98</v>
      </c>
      <c r="C41" s="43" t="s">
        <v>99</v>
      </c>
      <c r="D41" s="44" t="s">
        <v>257</v>
      </c>
      <c r="E41" s="44"/>
      <c r="F41" s="44"/>
      <c r="G41" s="37">
        <f t="shared" si="1"/>
        <v>0</v>
      </c>
      <c r="H41" s="44"/>
      <c r="I41" s="44"/>
      <c r="J41" s="30">
        <f t="shared" si="0"/>
        <v>0</v>
      </c>
      <c r="K41" s="45">
        <f>26000-6500</f>
        <v>19500</v>
      </c>
      <c r="L41" s="45"/>
      <c r="M41" s="45">
        <f t="shared" si="2"/>
        <v>19500</v>
      </c>
      <c r="N41" s="4">
        <f>ROUND(M41/1000,1)-3.5</f>
        <v>16</v>
      </c>
      <c r="O41" s="12"/>
      <c r="P41" s="41"/>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row>
    <row r="42" spans="1:103" s="46" customFormat="1" ht="31.5" customHeight="1">
      <c r="A42" s="43" t="s">
        <v>26</v>
      </c>
      <c r="B42" s="43" t="s">
        <v>101</v>
      </c>
      <c r="C42" s="43" t="s">
        <v>102</v>
      </c>
      <c r="D42" s="44" t="s">
        <v>18</v>
      </c>
      <c r="E42" s="44"/>
      <c r="F42" s="44"/>
      <c r="G42" s="37">
        <f t="shared" si="1"/>
        <v>0</v>
      </c>
      <c r="H42" s="44"/>
      <c r="I42" s="44"/>
      <c r="J42" s="30">
        <f t="shared" si="0"/>
        <v>0</v>
      </c>
      <c r="K42" s="45">
        <f>4227000+46000+188000+188000</f>
        <v>4649000</v>
      </c>
      <c r="L42" s="45"/>
      <c r="M42" s="45">
        <f t="shared" si="2"/>
        <v>4649000</v>
      </c>
      <c r="N42" s="4">
        <f>ROUND(M42/1000,1)+16.6+20+17+17.9</f>
        <v>4720.5</v>
      </c>
      <c r="O42" s="12"/>
      <c r="P42" s="41"/>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row>
    <row r="43" spans="1:103" s="46" customFormat="1" ht="50.25" customHeight="1">
      <c r="A43" s="43" t="s">
        <v>27</v>
      </c>
      <c r="B43" s="43" t="s">
        <v>103</v>
      </c>
      <c r="C43" s="43" t="s">
        <v>104</v>
      </c>
      <c r="D43" s="44" t="s">
        <v>19</v>
      </c>
      <c r="E43" s="44"/>
      <c r="F43" s="44"/>
      <c r="G43" s="37">
        <f t="shared" si="1"/>
        <v>0</v>
      </c>
      <c r="H43" s="44"/>
      <c r="I43" s="44"/>
      <c r="J43" s="30">
        <f t="shared" si="0"/>
        <v>0</v>
      </c>
      <c r="K43" s="45">
        <f>6800000+11000+500000+50000+1271434</f>
        <v>8632434</v>
      </c>
      <c r="L43" s="45">
        <f>22625+18000</f>
        <v>40625</v>
      </c>
      <c r="M43" s="45">
        <f t="shared" si="2"/>
        <v>8673059</v>
      </c>
      <c r="N43" s="4">
        <f>ROUND(M43/1000,1)-0.1+30+7.9+10+40.7+117.1+129</f>
        <v>9007.7</v>
      </c>
      <c r="O43" s="12"/>
      <c r="P43" s="41"/>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row>
    <row r="44" spans="1:103" s="46" customFormat="1" ht="54" customHeight="1">
      <c r="A44" s="43" t="s">
        <v>28</v>
      </c>
      <c r="B44" s="43" t="s">
        <v>105</v>
      </c>
      <c r="C44" s="43" t="s">
        <v>106</v>
      </c>
      <c r="D44" s="44" t="s">
        <v>20</v>
      </c>
      <c r="E44" s="44"/>
      <c r="F44" s="44"/>
      <c r="G44" s="37">
        <f t="shared" si="1"/>
        <v>0</v>
      </c>
      <c r="H44" s="44"/>
      <c r="I44" s="44"/>
      <c r="J44" s="30">
        <f t="shared" si="0"/>
        <v>0</v>
      </c>
      <c r="K44" s="45">
        <v>150000</v>
      </c>
      <c r="L44" s="45"/>
      <c r="M44" s="45">
        <f t="shared" si="2"/>
        <v>150000</v>
      </c>
      <c r="N44" s="4">
        <f>ROUND(M44/1000,1)</f>
        <v>150</v>
      </c>
      <c r="O44" s="12"/>
      <c r="P44" s="41"/>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row>
    <row r="45" spans="1:103" s="46" customFormat="1" ht="33" customHeight="1">
      <c r="A45" s="43" t="s">
        <v>29</v>
      </c>
      <c r="B45" s="43" t="s">
        <v>107</v>
      </c>
      <c r="C45" s="43" t="s">
        <v>108</v>
      </c>
      <c r="D45" s="44" t="s">
        <v>21</v>
      </c>
      <c r="E45" s="44"/>
      <c r="F45" s="44"/>
      <c r="G45" s="37">
        <f t="shared" si="1"/>
        <v>0</v>
      </c>
      <c r="H45" s="44"/>
      <c r="I45" s="44"/>
      <c r="J45" s="30">
        <f t="shared" si="0"/>
        <v>0</v>
      </c>
      <c r="K45" s="45">
        <v>600000</v>
      </c>
      <c r="L45" s="58"/>
      <c r="M45" s="45">
        <f t="shared" si="2"/>
        <v>600000</v>
      </c>
      <c r="N45" s="4">
        <f t="shared" si="3"/>
        <v>600</v>
      </c>
      <c r="O45" s="12"/>
      <c r="P45" s="41"/>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row>
    <row r="46" spans="1:103" s="46" customFormat="1" ht="33" customHeight="1">
      <c r="A46" s="43" t="s">
        <v>389</v>
      </c>
      <c r="B46" s="43" t="s">
        <v>390</v>
      </c>
      <c r="C46" s="43" t="s">
        <v>391</v>
      </c>
      <c r="D46" s="44" t="s">
        <v>392</v>
      </c>
      <c r="E46" s="44"/>
      <c r="F46" s="44"/>
      <c r="G46" s="37"/>
      <c r="H46" s="44"/>
      <c r="I46" s="44"/>
      <c r="J46" s="30"/>
      <c r="K46" s="45"/>
      <c r="L46" s="58"/>
      <c r="M46" s="45"/>
      <c r="N46" s="4">
        <v>330</v>
      </c>
      <c r="O46" s="12"/>
      <c r="P46" s="41"/>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row>
    <row r="47" spans="1:103" s="46" customFormat="1" ht="33" customHeight="1">
      <c r="A47" s="43" t="s">
        <v>30</v>
      </c>
      <c r="B47" s="43" t="s">
        <v>109</v>
      </c>
      <c r="C47" s="43" t="s">
        <v>110</v>
      </c>
      <c r="D47" s="44" t="s">
        <v>22</v>
      </c>
      <c r="E47" s="44"/>
      <c r="F47" s="44"/>
      <c r="G47" s="37">
        <f t="shared" si="1"/>
        <v>0</v>
      </c>
      <c r="H47" s="44"/>
      <c r="I47" s="44"/>
      <c r="J47" s="30">
        <f t="shared" si="0"/>
        <v>0</v>
      </c>
      <c r="K47" s="45">
        <v>23000</v>
      </c>
      <c r="L47" s="58"/>
      <c r="M47" s="45">
        <f t="shared" si="2"/>
        <v>23000</v>
      </c>
      <c r="N47" s="4">
        <f>ROUND(M47/1000,1)-11.8</f>
        <v>11.2</v>
      </c>
      <c r="O47" s="12"/>
      <c r="P47" s="41"/>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row>
    <row r="48" spans="1:103" s="46" customFormat="1" ht="33" customHeight="1">
      <c r="A48" s="43" t="s">
        <v>31</v>
      </c>
      <c r="B48" s="43" t="s">
        <v>111</v>
      </c>
      <c r="C48" s="43" t="s">
        <v>110</v>
      </c>
      <c r="D48" s="44" t="s">
        <v>23</v>
      </c>
      <c r="E48" s="44"/>
      <c r="F48" s="44"/>
      <c r="G48" s="37">
        <f t="shared" si="1"/>
        <v>0</v>
      </c>
      <c r="H48" s="44"/>
      <c r="I48" s="44"/>
      <c r="J48" s="30">
        <f t="shared" si="0"/>
        <v>0</v>
      </c>
      <c r="K48" s="45">
        <v>50000</v>
      </c>
      <c r="L48" s="58"/>
      <c r="M48" s="45">
        <f t="shared" si="2"/>
        <v>50000</v>
      </c>
      <c r="N48" s="4">
        <f t="shared" si="3"/>
        <v>50</v>
      </c>
      <c r="O48" s="12"/>
      <c r="P48" s="41"/>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row>
    <row r="49" spans="1:103" s="46" customFormat="1" ht="33" customHeight="1">
      <c r="A49" s="43" t="s">
        <v>32</v>
      </c>
      <c r="B49" s="43" t="s">
        <v>112</v>
      </c>
      <c r="C49" s="43" t="s">
        <v>110</v>
      </c>
      <c r="D49" s="44" t="s">
        <v>24</v>
      </c>
      <c r="E49" s="44"/>
      <c r="F49" s="44"/>
      <c r="G49" s="37">
        <f t="shared" si="1"/>
        <v>0</v>
      </c>
      <c r="H49" s="44"/>
      <c r="I49" s="44"/>
      <c r="J49" s="30">
        <f t="shared" si="0"/>
        <v>0</v>
      </c>
      <c r="K49" s="45">
        <v>150000</v>
      </c>
      <c r="L49" s="58"/>
      <c r="M49" s="45">
        <f t="shared" si="2"/>
        <v>150000</v>
      </c>
      <c r="N49" s="4">
        <f>ROUND(M49/1000,1)+17.5</f>
        <v>167.5</v>
      </c>
      <c r="O49" s="12"/>
      <c r="P49" s="41"/>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row>
    <row r="50" spans="1:103" s="40" customFormat="1" ht="33" customHeight="1">
      <c r="A50" s="43" t="s">
        <v>154</v>
      </c>
      <c r="B50" s="43" t="s">
        <v>142</v>
      </c>
      <c r="C50" s="43" t="s">
        <v>143</v>
      </c>
      <c r="D50" s="44" t="s">
        <v>67</v>
      </c>
      <c r="E50" s="44"/>
      <c r="F50" s="44"/>
      <c r="G50" s="37">
        <f t="shared" si="1"/>
        <v>0</v>
      </c>
      <c r="H50" s="44"/>
      <c r="I50" s="44"/>
      <c r="J50" s="30">
        <f t="shared" si="0"/>
        <v>0</v>
      </c>
      <c r="K50" s="45">
        <v>3794460</v>
      </c>
      <c r="L50" s="58"/>
      <c r="M50" s="45">
        <f t="shared" si="2"/>
        <v>3794460</v>
      </c>
      <c r="N50" s="4">
        <f>ROUND(M50/1000,1)+18</f>
        <v>3812.5</v>
      </c>
      <c r="O50" s="42"/>
      <c r="P50" s="41"/>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row>
    <row r="51" spans="1:103" s="46" customFormat="1" ht="33" customHeight="1">
      <c r="A51" s="62" t="s">
        <v>166</v>
      </c>
      <c r="B51" s="43"/>
      <c r="C51" s="43"/>
      <c r="D51" s="61" t="s">
        <v>33</v>
      </c>
      <c r="E51" s="61"/>
      <c r="F51" s="61"/>
      <c r="G51" s="37">
        <f t="shared" si="1"/>
        <v>0</v>
      </c>
      <c r="H51" s="61"/>
      <c r="I51" s="61"/>
      <c r="J51" s="30">
        <f t="shared" si="0"/>
        <v>0</v>
      </c>
      <c r="K51" s="38">
        <f>K52+K53+K54+K55+K56+K57</f>
        <v>37836050</v>
      </c>
      <c r="L51" s="38">
        <f>L52+L53+L54+L55+L56+L57</f>
        <v>149408</v>
      </c>
      <c r="M51" s="38">
        <f>M52+M53+M54+M55+M56+M57</f>
        <v>37985458</v>
      </c>
      <c r="N51" s="39">
        <f>N52+N53+N54+N55+N56+N57</f>
        <v>37615.4</v>
      </c>
      <c r="O51" s="12"/>
      <c r="P51" s="41"/>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row>
    <row r="52" spans="1:103" s="46" customFormat="1" ht="33" customHeight="1">
      <c r="A52" s="43" t="s">
        <v>34</v>
      </c>
      <c r="B52" s="43" t="s">
        <v>98</v>
      </c>
      <c r="C52" s="43" t="s">
        <v>99</v>
      </c>
      <c r="D52" s="44" t="s">
        <v>257</v>
      </c>
      <c r="E52" s="44"/>
      <c r="F52" s="44"/>
      <c r="G52" s="37">
        <f t="shared" si="1"/>
        <v>0</v>
      </c>
      <c r="H52" s="44"/>
      <c r="I52" s="44"/>
      <c r="J52" s="30">
        <f t="shared" si="0"/>
        <v>0</v>
      </c>
      <c r="K52" s="45">
        <v>13000</v>
      </c>
      <c r="L52" s="58"/>
      <c r="M52" s="45">
        <f t="shared" si="2"/>
        <v>13000</v>
      </c>
      <c r="N52" s="4">
        <f t="shared" si="3"/>
        <v>13</v>
      </c>
      <c r="O52" s="12"/>
      <c r="P52" s="41"/>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row>
    <row r="53" spans="1:103" s="46" customFormat="1" ht="33" customHeight="1">
      <c r="A53" s="43" t="s">
        <v>36</v>
      </c>
      <c r="B53" s="43" t="s">
        <v>113</v>
      </c>
      <c r="C53" s="43" t="s">
        <v>114</v>
      </c>
      <c r="D53" s="44" t="s">
        <v>35</v>
      </c>
      <c r="E53" s="44"/>
      <c r="F53" s="44"/>
      <c r="G53" s="37">
        <f t="shared" si="1"/>
        <v>0</v>
      </c>
      <c r="H53" s="44"/>
      <c r="I53" s="44"/>
      <c r="J53" s="30">
        <f t="shared" si="0"/>
        <v>0</v>
      </c>
      <c r="K53" s="45">
        <f>22150000+2500000+3000000+2025000+723050</f>
        <v>30398050</v>
      </c>
      <c r="L53" s="45">
        <v>12300</v>
      </c>
      <c r="M53" s="45">
        <f t="shared" si="2"/>
        <v>30410350</v>
      </c>
      <c r="N53" s="4">
        <f>ROUND(M53/1000,1)+67-489.1+10</f>
        <v>29998.300000000003</v>
      </c>
      <c r="O53" s="12"/>
      <c r="P53" s="41"/>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row>
    <row r="54" spans="1:103" s="46" customFormat="1" ht="33" customHeight="1">
      <c r="A54" s="43" t="s">
        <v>38</v>
      </c>
      <c r="B54" s="43" t="s">
        <v>115</v>
      </c>
      <c r="C54" s="43" t="s">
        <v>116</v>
      </c>
      <c r="D54" s="44" t="s">
        <v>37</v>
      </c>
      <c r="E54" s="44"/>
      <c r="F54" s="44"/>
      <c r="G54" s="37">
        <f t="shared" si="1"/>
        <v>0</v>
      </c>
      <c r="H54" s="44"/>
      <c r="I54" s="44"/>
      <c r="J54" s="30">
        <f t="shared" si="0"/>
        <v>0</v>
      </c>
      <c r="K54" s="45">
        <v>3500000</v>
      </c>
      <c r="L54" s="58"/>
      <c r="M54" s="45">
        <f t="shared" si="2"/>
        <v>3500000</v>
      </c>
      <c r="N54" s="4">
        <f t="shared" si="3"/>
        <v>3500</v>
      </c>
      <c r="O54" s="12"/>
      <c r="P54" s="41"/>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row>
    <row r="55" spans="1:103" s="46" customFormat="1" ht="33" customHeight="1">
      <c r="A55" s="43" t="s">
        <v>40</v>
      </c>
      <c r="B55" s="43" t="s">
        <v>117</v>
      </c>
      <c r="C55" s="43" t="s">
        <v>118</v>
      </c>
      <c r="D55" s="44" t="s">
        <v>39</v>
      </c>
      <c r="E55" s="44"/>
      <c r="F55" s="44"/>
      <c r="G55" s="37">
        <f t="shared" si="1"/>
        <v>0</v>
      </c>
      <c r="H55" s="44"/>
      <c r="I55" s="44"/>
      <c r="J55" s="30">
        <f t="shared" si="0"/>
        <v>0</v>
      </c>
      <c r="K55" s="45">
        <v>1000000</v>
      </c>
      <c r="L55" s="58"/>
      <c r="M55" s="45">
        <f t="shared" si="2"/>
        <v>1000000</v>
      </c>
      <c r="N55" s="4">
        <f t="shared" si="3"/>
        <v>1000</v>
      </c>
      <c r="O55" s="12"/>
      <c r="P55" s="41"/>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row>
    <row r="56" spans="1:103" s="46" customFormat="1" ht="33" customHeight="1">
      <c r="A56" s="43" t="s">
        <v>42</v>
      </c>
      <c r="B56" s="43" t="s">
        <v>119</v>
      </c>
      <c r="C56" s="43" t="s">
        <v>120</v>
      </c>
      <c r="D56" s="44" t="s">
        <v>41</v>
      </c>
      <c r="E56" s="44"/>
      <c r="F56" s="44"/>
      <c r="G56" s="37">
        <f t="shared" si="1"/>
        <v>0</v>
      </c>
      <c r="H56" s="44"/>
      <c r="I56" s="44"/>
      <c r="J56" s="30">
        <f t="shared" si="0"/>
        <v>0</v>
      </c>
      <c r="K56" s="45">
        <f>1250000+475000</f>
        <v>1725000</v>
      </c>
      <c r="L56" s="45">
        <v>137108</v>
      </c>
      <c r="M56" s="45">
        <f t="shared" si="2"/>
        <v>1862108</v>
      </c>
      <c r="N56" s="4">
        <f t="shared" si="3"/>
        <v>1862.1</v>
      </c>
      <c r="O56" s="12"/>
      <c r="P56" s="41"/>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row>
    <row r="57" spans="1:103" s="40" customFormat="1" ht="33" customHeight="1">
      <c r="A57" s="43" t="s">
        <v>153</v>
      </c>
      <c r="B57" s="43" t="s">
        <v>142</v>
      </c>
      <c r="C57" s="43" t="s">
        <v>143</v>
      </c>
      <c r="D57" s="44" t="s">
        <v>67</v>
      </c>
      <c r="E57" s="44"/>
      <c r="F57" s="44"/>
      <c r="G57" s="37">
        <f t="shared" si="1"/>
        <v>0</v>
      </c>
      <c r="H57" s="44"/>
      <c r="I57" s="44"/>
      <c r="J57" s="30">
        <f t="shared" si="0"/>
        <v>0</v>
      </c>
      <c r="K57" s="45">
        <v>1200000</v>
      </c>
      <c r="L57" s="58"/>
      <c r="M57" s="45">
        <f t="shared" si="2"/>
        <v>1200000</v>
      </c>
      <c r="N57" s="4">
        <f>ROUND(M57/1000,1)+42</f>
        <v>1242</v>
      </c>
      <c r="O57" s="42"/>
      <c r="P57" s="41"/>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row>
    <row r="58" spans="1:103" s="46" customFormat="1" ht="36.75" customHeight="1">
      <c r="A58" s="62" t="s">
        <v>43</v>
      </c>
      <c r="B58" s="43"/>
      <c r="C58" s="43"/>
      <c r="D58" s="61" t="s">
        <v>88</v>
      </c>
      <c r="E58" s="61"/>
      <c r="F58" s="61"/>
      <c r="G58" s="37">
        <f t="shared" si="1"/>
        <v>0</v>
      </c>
      <c r="H58" s="61"/>
      <c r="I58" s="61"/>
      <c r="J58" s="30">
        <f t="shared" si="0"/>
        <v>0</v>
      </c>
      <c r="K58" s="38">
        <f>K59+K60+K62+K64+K67</f>
        <v>1580015</v>
      </c>
      <c r="L58" s="38">
        <f>L59+L60+L62+L64+L67</f>
        <v>0</v>
      </c>
      <c r="M58" s="38">
        <f>M59+M60+M62+M64+M67</f>
        <v>1580015</v>
      </c>
      <c r="N58" s="39">
        <f>N59+N60+N62+N64+N67</f>
        <v>1984.8</v>
      </c>
      <c r="O58" s="12"/>
      <c r="P58" s="41"/>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row>
    <row r="59" spans="1:103" s="46" customFormat="1" ht="40.5">
      <c r="A59" s="43" t="s">
        <v>44</v>
      </c>
      <c r="B59" s="43" t="s">
        <v>98</v>
      </c>
      <c r="C59" s="43" t="s">
        <v>99</v>
      </c>
      <c r="D59" s="44" t="s">
        <v>3</v>
      </c>
      <c r="E59" s="44"/>
      <c r="F59" s="44"/>
      <c r="G59" s="37">
        <f t="shared" si="1"/>
        <v>0</v>
      </c>
      <c r="H59" s="44"/>
      <c r="I59" s="44"/>
      <c r="J59" s="30">
        <f t="shared" si="0"/>
        <v>0</v>
      </c>
      <c r="K59" s="45">
        <v>250000</v>
      </c>
      <c r="L59" s="58"/>
      <c r="M59" s="45">
        <f t="shared" si="2"/>
        <v>250000</v>
      </c>
      <c r="N59" s="4">
        <f>ROUND(M59/1000,1)+404.8</f>
        <v>654.8</v>
      </c>
      <c r="O59" s="12"/>
      <c r="P59" s="41"/>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row>
    <row r="60" spans="1:103" s="58" customFormat="1" ht="121.5">
      <c r="A60" s="63">
        <v>1513030</v>
      </c>
      <c r="B60" s="63">
        <v>3030</v>
      </c>
      <c r="C60" s="63">
        <v>1030</v>
      </c>
      <c r="D60" s="44" t="s">
        <v>370</v>
      </c>
      <c r="E60" s="44"/>
      <c r="F60" s="44"/>
      <c r="G60" s="37">
        <f t="shared" si="1"/>
        <v>0</v>
      </c>
      <c r="H60" s="44"/>
      <c r="I60" s="44"/>
      <c r="J60" s="30">
        <f t="shared" si="0"/>
        <v>0</v>
      </c>
      <c r="K60" s="64">
        <f>K61</f>
        <v>154612</v>
      </c>
      <c r="L60" s="64">
        <f>L61</f>
        <v>0</v>
      </c>
      <c r="M60" s="64">
        <f>M61</f>
        <v>154612</v>
      </c>
      <c r="N60" s="4">
        <f>N61</f>
        <v>154.6</v>
      </c>
      <c r="O60" s="12"/>
      <c r="P60" s="41"/>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row>
    <row r="61" spans="1:16" s="12" customFormat="1" ht="141.75">
      <c r="A61" s="65">
        <v>1513031</v>
      </c>
      <c r="B61" s="65">
        <v>3031</v>
      </c>
      <c r="C61" s="65">
        <v>1030</v>
      </c>
      <c r="D61" s="49" t="s">
        <v>237</v>
      </c>
      <c r="E61" s="49"/>
      <c r="F61" s="49"/>
      <c r="G61" s="37">
        <f t="shared" si="1"/>
        <v>0</v>
      </c>
      <c r="H61" s="49"/>
      <c r="I61" s="49"/>
      <c r="J61" s="30">
        <f t="shared" si="0"/>
        <v>0</v>
      </c>
      <c r="K61" s="66">
        <f>150000+4612</f>
        <v>154612</v>
      </c>
      <c r="L61" s="66"/>
      <c r="M61" s="50">
        <f t="shared" si="2"/>
        <v>154612</v>
      </c>
      <c r="N61" s="52">
        <f t="shared" si="3"/>
        <v>154.6</v>
      </c>
      <c r="P61" s="41"/>
    </row>
    <row r="62" spans="1:103" s="46" customFormat="1" ht="45.75" customHeight="1">
      <c r="A62" s="63">
        <v>1513100</v>
      </c>
      <c r="B62" s="63">
        <v>3100</v>
      </c>
      <c r="C62" s="63"/>
      <c r="D62" s="44" t="s">
        <v>371</v>
      </c>
      <c r="E62" s="44"/>
      <c r="F62" s="44"/>
      <c r="G62" s="37">
        <f t="shared" si="1"/>
        <v>0</v>
      </c>
      <c r="H62" s="44"/>
      <c r="I62" s="44"/>
      <c r="J62" s="30">
        <f t="shared" si="0"/>
        <v>0</v>
      </c>
      <c r="K62" s="64">
        <f>K63</f>
        <v>17903</v>
      </c>
      <c r="L62" s="64">
        <f>L63</f>
        <v>0</v>
      </c>
      <c r="M62" s="64">
        <f>M63</f>
        <v>17903</v>
      </c>
      <c r="N62" s="4">
        <f>N63</f>
        <v>17.9</v>
      </c>
      <c r="O62" s="12"/>
      <c r="P62" s="41"/>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row>
    <row r="63" spans="1:103" s="40" customFormat="1" ht="40.5">
      <c r="A63" s="65">
        <v>1513104</v>
      </c>
      <c r="B63" s="65">
        <v>3104</v>
      </c>
      <c r="C63" s="65">
        <v>1020</v>
      </c>
      <c r="D63" s="49" t="s">
        <v>45</v>
      </c>
      <c r="E63" s="49"/>
      <c r="F63" s="49"/>
      <c r="G63" s="37">
        <f t="shared" si="1"/>
        <v>0</v>
      </c>
      <c r="H63" s="49"/>
      <c r="I63" s="49"/>
      <c r="J63" s="30">
        <f t="shared" si="0"/>
        <v>0</v>
      </c>
      <c r="K63" s="50">
        <f>10000+7903</f>
        <v>17903</v>
      </c>
      <c r="L63" s="50"/>
      <c r="M63" s="50">
        <f t="shared" si="2"/>
        <v>17903</v>
      </c>
      <c r="N63" s="52">
        <f t="shared" si="3"/>
        <v>17.9</v>
      </c>
      <c r="O63" s="42"/>
      <c r="P63" s="41"/>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row>
    <row r="64" spans="1:103" s="46" customFormat="1" ht="31.5" customHeight="1">
      <c r="A64" s="63">
        <v>1513300</v>
      </c>
      <c r="B64" s="63">
        <v>3300</v>
      </c>
      <c r="C64" s="63">
        <v>1090</v>
      </c>
      <c r="D64" s="44" t="s">
        <v>372</v>
      </c>
      <c r="E64" s="44"/>
      <c r="F64" s="44"/>
      <c r="G64" s="37">
        <f t="shared" si="1"/>
        <v>0</v>
      </c>
      <c r="H64" s="44"/>
      <c r="I64" s="44"/>
      <c r="J64" s="30">
        <f t="shared" si="0"/>
        <v>0</v>
      </c>
      <c r="K64" s="45">
        <f>K65+K66</f>
        <v>857500</v>
      </c>
      <c r="L64" s="45">
        <f>L65+L66</f>
        <v>0</v>
      </c>
      <c r="M64" s="45">
        <f>M65+M66</f>
        <v>857500</v>
      </c>
      <c r="N64" s="48">
        <f>N65+N66</f>
        <v>857.5</v>
      </c>
      <c r="O64" s="12"/>
      <c r="P64" s="41"/>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row>
    <row r="65" spans="1:103" s="46" customFormat="1" ht="25.5" customHeight="1">
      <c r="A65" s="65">
        <v>1513300</v>
      </c>
      <c r="B65" s="65">
        <v>3300</v>
      </c>
      <c r="C65" s="53" t="s">
        <v>107</v>
      </c>
      <c r="D65" s="49" t="s">
        <v>85</v>
      </c>
      <c r="E65" s="49"/>
      <c r="F65" s="49"/>
      <c r="G65" s="37">
        <f t="shared" si="1"/>
        <v>0</v>
      </c>
      <c r="H65" s="49"/>
      <c r="I65" s="49"/>
      <c r="J65" s="30">
        <f t="shared" si="0"/>
        <v>0</v>
      </c>
      <c r="K65" s="50">
        <v>257500</v>
      </c>
      <c r="L65" s="56"/>
      <c r="M65" s="50">
        <f t="shared" si="2"/>
        <v>257500</v>
      </c>
      <c r="N65" s="52">
        <f t="shared" si="3"/>
        <v>257.5</v>
      </c>
      <c r="O65" s="12"/>
      <c r="P65" s="41"/>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row>
    <row r="66" spans="1:103" s="46" customFormat="1" ht="40.5">
      <c r="A66" s="65">
        <v>1513300</v>
      </c>
      <c r="B66" s="65">
        <v>3300</v>
      </c>
      <c r="C66" s="53" t="s">
        <v>107</v>
      </c>
      <c r="D66" s="49" t="s">
        <v>250</v>
      </c>
      <c r="E66" s="49"/>
      <c r="F66" s="49"/>
      <c r="G66" s="37">
        <f t="shared" si="1"/>
        <v>0</v>
      </c>
      <c r="H66" s="49"/>
      <c r="I66" s="49"/>
      <c r="J66" s="30">
        <f t="shared" si="0"/>
        <v>0</v>
      </c>
      <c r="K66" s="50">
        <v>600000</v>
      </c>
      <c r="L66" s="56"/>
      <c r="M66" s="50">
        <f t="shared" si="2"/>
        <v>600000</v>
      </c>
      <c r="N66" s="52">
        <f t="shared" si="3"/>
        <v>600</v>
      </c>
      <c r="O66" s="12"/>
      <c r="P66" s="41"/>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row>
    <row r="67" spans="1:103" s="40" customFormat="1" ht="25.5" customHeight="1">
      <c r="A67" s="43" t="s">
        <v>152</v>
      </c>
      <c r="B67" s="43" t="s">
        <v>142</v>
      </c>
      <c r="C67" s="43" t="s">
        <v>143</v>
      </c>
      <c r="D67" s="44" t="s">
        <v>67</v>
      </c>
      <c r="E67" s="44"/>
      <c r="F67" s="44"/>
      <c r="G67" s="37">
        <f t="shared" si="1"/>
        <v>0</v>
      </c>
      <c r="H67" s="44"/>
      <c r="I67" s="44"/>
      <c r="J67" s="30">
        <f t="shared" si="0"/>
        <v>0</v>
      </c>
      <c r="K67" s="45">
        <v>300000</v>
      </c>
      <c r="L67" s="58"/>
      <c r="M67" s="45">
        <f t="shared" si="2"/>
        <v>300000</v>
      </c>
      <c r="N67" s="4">
        <f t="shared" si="3"/>
        <v>300</v>
      </c>
      <c r="O67" s="42"/>
      <c r="P67" s="41"/>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row>
    <row r="68" spans="1:103" s="46" customFormat="1" ht="29.25" customHeight="1">
      <c r="A68" s="60" t="s">
        <v>46</v>
      </c>
      <c r="B68" s="57"/>
      <c r="C68" s="57"/>
      <c r="D68" s="61" t="s">
        <v>47</v>
      </c>
      <c r="E68" s="61"/>
      <c r="F68" s="61"/>
      <c r="G68" s="37">
        <f t="shared" si="1"/>
        <v>0</v>
      </c>
      <c r="H68" s="61"/>
      <c r="I68" s="61"/>
      <c r="J68" s="30">
        <f t="shared" si="0"/>
        <v>0</v>
      </c>
      <c r="K68" s="38">
        <f>K69</f>
        <v>376000</v>
      </c>
      <c r="L68" s="38">
        <f>L69</f>
        <v>0</v>
      </c>
      <c r="M68" s="38">
        <f>M69</f>
        <v>376000</v>
      </c>
      <c r="N68" s="39">
        <f>N69</f>
        <v>376</v>
      </c>
      <c r="O68" s="12"/>
      <c r="P68" s="41"/>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row>
    <row r="69" spans="1:103" s="46" customFormat="1" ht="29.25" customHeight="1">
      <c r="A69" s="43" t="s">
        <v>48</v>
      </c>
      <c r="B69" s="43" t="s">
        <v>98</v>
      </c>
      <c r="C69" s="43" t="s">
        <v>99</v>
      </c>
      <c r="D69" s="44" t="s">
        <v>257</v>
      </c>
      <c r="E69" s="44"/>
      <c r="F69" s="44"/>
      <c r="G69" s="37">
        <f t="shared" si="1"/>
        <v>0</v>
      </c>
      <c r="H69" s="44"/>
      <c r="I69" s="44"/>
      <c r="J69" s="30">
        <f t="shared" si="0"/>
        <v>0</v>
      </c>
      <c r="K69" s="45">
        <f>26000+350000</f>
        <v>376000</v>
      </c>
      <c r="L69" s="45"/>
      <c r="M69" s="45">
        <f t="shared" si="2"/>
        <v>376000</v>
      </c>
      <c r="N69" s="4">
        <f t="shared" si="3"/>
        <v>376</v>
      </c>
      <c r="O69" s="12"/>
      <c r="P69" s="41"/>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row>
    <row r="70" spans="1:103" s="46" customFormat="1" ht="37.5" customHeight="1">
      <c r="A70" s="43" t="s">
        <v>50</v>
      </c>
      <c r="B70" s="43"/>
      <c r="C70" s="43"/>
      <c r="D70" s="61" t="s">
        <v>49</v>
      </c>
      <c r="E70" s="61"/>
      <c r="F70" s="61"/>
      <c r="G70" s="37">
        <f t="shared" si="1"/>
        <v>0</v>
      </c>
      <c r="H70" s="61"/>
      <c r="I70" s="61"/>
      <c r="J70" s="30">
        <f t="shared" si="0"/>
        <v>0</v>
      </c>
      <c r="K70" s="38">
        <f>K71+K72+K73+K74+K76</f>
        <v>4828427</v>
      </c>
      <c r="L70" s="38">
        <f>L71+L72+L73+L74+L76</f>
        <v>0</v>
      </c>
      <c r="M70" s="38">
        <f>M71+M72+M73+M74+M76</f>
        <v>4828427</v>
      </c>
      <c r="N70" s="39">
        <f>N71+N72+N73+N74+N76</f>
        <v>4831.4</v>
      </c>
      <c r="O70" s="12"/>
      <c r="P70" s="41"/>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row>
    <row r="71" spans="1:103" s="46" customFormat="1" ht="27.75" customHeight="1">
      <c r="A71" s="43" t="s">
        <v>51</v>
      </c>
      <c r="B71" s="43" t="s">
        <v>98</v>
      </c>
      <c r="C71" s="43" t="s">
        <v>99</v>
      </c>
      <c r="D71" s="44" t="s">
        <v>257</v>
      </c>
      <c r="E71" s="44"/>
      <c r="F71" s="44"/>
      <c r="G71" s="37">
        <f t="shared" si="1"/>
        <v>0</v>
      </c>
      <c r="H71" s="44"/>
      <c r="I71" s="44"/>
      <c r="J71" s="30">
        <f t="shared" si="0"/>
        <v>0</v>
      </c>
      <c r="K71" s="45">
        <f>13000+241500</f>
        <v>254500</v>
      </c>
      <c r="L71" s="45"/>
      <c r="M71" s="45">
        <f t="shared" si="2"/>
        <v>254500</v>
      </c>
      <c r="N71" s="4">
        <f t="shared" si="3"/>
        <v>254.5</v>
      </c>
      <c r="O71" s="12"/>
      <c r="P71" s="41"/>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row>
    <row r="72" spans="1:103" s="46" customFormat="1" ht="27.75" customHeight="1">
      <c r="A72" s="43" t="s">
        <v>53</v>
      </c>
      <c r="B72" s="43" t="s">
        <v>128</v>
      </c>
      <c r="C72" s="43" t="s">
        <v>129</v>
      </c>
      <c r="D72" s="44" t="s">
        <v>52</v>
      </c>
      <c r="E72" s="44"/>
      <c r="F72" s="44"/>
      <c r="G72" s="37">
        <f t="shared" si="1"/>
        <v>0</v>
      </c>
      <c r="H72" s="44"/>
      <c r="I72" s="44"/>
      <c r="J72" s="30">
        <f t="shared" si="0"/>
        <v>0</v>
      </c>
      <c r="K72" s="45">
        <f>460000+600000+995000</f>
        <v>2055000</v>
      </c>
      <c r="L72" s="64"/>
      <c r="M72" s="45">
        <f t="shared" si="2"/>
        <v>2055000</v>
      </c>
      <c r="N72" s="4">
        <f>ROUND(M72/1000,1)+3</f>
        <v>2058</v>
      </c>
      <c r="O72" s="12"/>
      <c r="P72" s="41"/>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row>
    <row r="73" spans="1:103" s="46" customFormat="1" ht="27.75" customHeight="1">
      <c r="A73" s="43" t="s">
        <v>55</v>
      </c>
      <c r="B73" s="43" t="s">
        <v>130</v>
      </c>
      <c r="C73" s="43" t="s">
        <v>108</v>
      </c>
      <c r="D73" s="44" t="s">
        <v>54</v>
      </c>
      <c r="E73" s="44"/>
      <c r="F73" s="44"/>
      <c r="G73" s="37">
        <f t="shared" si="1"/>
        <v>0</v>
      </c>
      <c r="H73" s="44"/>
      <c r="I73" s="44"/>
      <c r="J73" s="30">
        <f t="shared" si="0"/>
        <v>0</v>
      </c>
      <c r="K73" s="45">
        <f>50000+250000+300000-192573</f>
        <v>407427</v>
      </c>
      <c r="L73" s="45"/>
      <c r="M73" s="45">
        <f t="shared" si="2"/>
        <v>407427</v>
      </c>
      <c r="N73" s="4">
        <f t="shared" si="3"/>
        <v>407.4</v>
      </c>
      <c r="O73" s="12"/>
      <c r="P73" s="41"/>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row>
    <row r="74" spans="1:103" s="46" customFormat="1" ht="27.75" customHeight="1">
      <c r="A74" s="43" t="s">
        <v>56</v>
      </c>
      <c r="B74" s="43" t="s">
        <v>131</v>
      </c>
      <c r="C74" s="43" t="s">
        <v>132</v>
      </c>
      <c r="D74" s="44" t="s">
        <v>366</v>
      </c>
      <c r="E74" s="44"/>
      <c r="F74" s="44"/>
      <c r="G74" s="37">
        <f t="shared" si="1"/>
        <v>0</v>
      </c>
      <c r="H74" s="44"/>
      <c r="I74" s="44"/>
      <c r="J74" s="30">
        <f t="shared" si="0"/>
        <v>0</v>
      </c>
      <c r="K74" s="45">
        <f>K75</f>
        <v>309500</v>
      </c>
      <c r="L74" s="45">
        <f>L75</f>
        <v>0</v>
      </c>
      <c r="M74" s="45">
        <f>M75</f>
        <v>309500</v>
      </c>
      <c r="N74" s="4">
        <f t="shared" si="3"/>
        <v>309.5</v>
      </c>
      <c r="O74" s="12"/>
      <c r="P74" s="41"/>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row>
    <row r="75" spans="1:103" s="46" customFormat="1" ht="27.75" customHeight="1">
      <c r="A75" s="34" t="s">
        <v>56</v>
      </c>
      <c r="B75" s="34" t="s">
        <v>131</v>
      </c>
      <c r="C75" s="53" t="s">
        <v>132</v>
      </c>
      <c r="D75" s="49" t="s">
        <v>57</v>
      </c>
      <c r="E75" s="49"/>
      <c r="F75" s="49"/>
      <c r="G75" s="37">
        <f t="shared" si="1"/>
        <v>0</v>
      </c>
      <c r="H75" s="49"/>
      <c r="I75" s="49"/>
      <c r="J75" s="30">
        <f t="shared" si="0"/>
        <v>0</v>
      </c>
      <c r="K75" s="50">
        <f>51000+258500</f>
        <v>309500</v>
      </c>
      <c r="L75" s="50"/>
      <c r="M75" s="50">
        <f t="shared" si="2"/>
        <v>309500</v>
      </c>
      <c r="N75" s="52">
        <f t="shared" si="3"/>
        <v>309.5</v>
      </c>
      <c r="O75" s="12"/>
      <c r="P75" s="41"/>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row>
    <row r="76" spans="1:103" s="46" customFormat="1" ht="27.75" customHeight="1">
      <c r="A76" s="43" t="s">
        <v>151</v>
      </c>
      <c r="B76" s="43" t="s">
        <v>142</v>
      </c>
      <c r="C76" s="43" t="s">
        <v>143</v>
      </c>
      <c r="D76" s="44" t="s">
        <v>67</v>
      </c>
      <c r="E76" s="44"/>
      <c r="F76" s="44"/>
      <c r="G76" s="37">
        <f t="shared" si="1"/>
        <v>0</v>
      </c>
      <c r="H76" s="44"/>
      <c r="I76" s="44"/>
      <c r="J76" s="30">
        <f t="shared" si="0"/>
        <v>0</v>
      </c>
      <c r="K76" s="45">
        <f>1088000+439000+275000</f>
        <v>1802000</v>
      </c>
      <c r="L76" s="45"/>
      <c r="M76" s="45">
        <f t="shared" si="2"/>
        <v>1802000</v>
      </c>
      <c r="N76" s="4">
        <f t="shared" si="3"/>
        <v>1802</v>
      </c>
      <c r="O76" s="12"/>
      <c r="P76" s="41"/>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row>
    <row r="77" spans="1:103" s="40" customFormat="1" ht="33" customHeight="1">
      <c r="A77" s="33" t="s">
        <v>59</v>
      </c>
      <c r="B77" s="34"/>
      <c r="C77" s="34"/>
      <c r="D77" s="61" t="s">
        <v>58</v>
      </c>
      <c r="E77" s="67"/>
      <c r="F77" s="67"/>
      <c r="G77" s="37">
        <f t="shared" si="1"/>
        <v>0</v>
      </c>
      <c r="H77" s="67"/>
      <c r="I77" s="67"/>
      <c r="J77" s="30">
        <f t="shared" si="0"/>
        <v>0</v>
      </c>
      <c r="K77" s="68">
        <f>K78+K79+K82+K101+K109+K83+K84+K96+K108+K100</f>
        <v>171304154</v>
      </c>
      <c r="L77" s="68">
        <f>L78+L79+L82+L101+L109+L83+L84+L96+L108+L100</f>
        <v>-183925</v>
      </c>
      <c r="M77" s="68">
        <f>M78+M79+M82+M101+M109+M83+M84+M96+M108+M100</f>
        <v>171120229</v>
      </c>
      <c r="N77" s="39">
        <f>N78+N79+N82+N101+N109+N83+N84+N96+N108+N100</f>
        <v>171477.3</v>
      </c>
      <c r="O77" s="42"/>
      <c r="P77" s="41"/>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row>
    <row r="78" spans="1:103" s="46" customFormat="1" ht="33" customHeight="1">
      <c r="A78" s="43" t="s">
        <v>60</v>
      </c>
      <c r="B78" s="43" t="s">
        <v>98</v>
      </c>
      <c r="C78" s="43" t="s">
        <v>99</v>
      </c>
      <c r="D78" s="44" t="s">
        <v>257</v>
      </c>
      <c r="E78" s="44"/>
      <c r="F78" s="44"/>
      <c r="G78" s="37">
        <f t="shared" si="1"/>
        <v>0</v>
      </c>
      <c r="H78" s="44"/>
      <c r="I78" s="44"/>
      <c r="J78" s="30">
        <f t="shared" si="0"/>
        <v>0</v>
      </c>
      <c r="K78" s="45">
        <v>200000</v>
      </c>
      <c r="L78" s="58"/>
      <c r="M78" s="45">
        <f t="shared" si="2"/>
        <v>200000</v>
      </c>
      <c r="N78" s="4">
        <f t="shared" si="3"/>
        <v>200</v>
      </c>
      <c r="O78" s="12"/>
      <c r="P78" s="41"/>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row>
    <row r="79" spans="1:103" s="46" customFormat="1" ht="33" customHeight="1">
      <c r="A79" s="43" t="s">
        <v>61</v>
      </c>
      <c r="B79" s="43" t="s">
        <v>122</v>
      </c>
      <c r="C79" s="43"/>
      <c r="D79" s="44" t="s">
        <v>373</v>
      </c>
      <c r="E79" s="44"/>
      <c r="F79" s="44"/>
      <c r="G79" s="37">
        <f t="shared" si="1"/>
        <v>0</v>
      </c>
      <c r="H79" s="44"/>
      <c r="I79" s="44"/>
      <c r="J79" s="30">
        <f t="shared" si="0"/>
        <v>0</v>
      </c>
      <c r="K79" s="45">
        <f>K80+K81</f>
        <v>64312427</v>
      </c>
      <c r="L79" s="45">
        <f>L80+L81</f>
        <v>0</v>
      </c>
      <c r="M79" s="45">
        <f>M80+M81</f>
        <v>64312427</v>
      </c>
      <c r="N79" s="48">
        <f>N80+N81</f>
        <v>64329.9</v>
      </c>
      <c r="O79" s="12"/>
      <c r="P79" s="41"/>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row>
    <row r="80" spans="1:103" s="40" customFormat="1" ht="33" customHeight="1">
      <c r="A80" s="34" t="s">
        <v>63</v>
      </c>
      <c r="B80" s="34" t="s">
        <v>123</v>
      </c>
      <c r="C80" s="34" t="s">
        <v>121</v>
      </c>
      <c r="D80" s="49" t="s">
        <v>62</v>
      </c>
      <c r="E80" s="49"/>
      <c r="F80" s="49"/>
      <c r="G80" s="37">
        <f t="shared" si="1"/>
        <v>0</v>
      </c>
      <c r="H80" s="49"/>
      <c r="I80" s="49"/>
      <c r="J80" s="30">
        <f t="shared" si="0"/>
        <v>0</v>
      </c>
      <c r="K80" s="50">
        <f>45000000+327958-10000000+1500000+10984469</f>
        <v>47812427</v>
      </c>
      <c r="L80" s="50"/>
      <c r="M80" s="50">
        <f t="shared" si="2"/>
        <v>47812427</v>
      </c>
      <c r="N80" s="52">
        <f>ROUND(M80/1000,1)+4.5+13</f>
        <v>47829.9</v>
      </c>
      <c r="O80" s="42"/>
      <c r="P80" s="41"/>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row>
    <row r="81" spans="1:103" s="40" customFormat="1" ht="33" customHeight="1">
      <c r="A81" s="34" t="s">
        <v>65</v>
      </c>
      <c r="B81" s="34" t="s">
        <v>124</v>
      </c>
      <c r="C81" s="34" t="s">
        <v>121</v>
      </c>
      <c r="D81" s="49" t="s">
        <v>64</v>
      </c>
      <c r="E81" s="49"/>
      <c r="F81" s="49"/>
      <c r="G81" s="37">
        <f t="shared" si="1"/>
        <v>0</v>
      </c>
      <c r="H81" s="49"/>
      <c r="I81" s="49"/>
      <c r="J81" s="30">
        <f t="shared" si="0"/>
        <v>0</v>
      </c>
      <c r="K81" s="50">
        <f>5000000+10000000+500000+1000000</f>
        <v>16500000</v>
      </c>
      <c r="L81" s="50"/>
      <c r="M81" s="50">
        <f t="shared" si="2"/>
        <v>16500000</v>
      </c>
      <c r="N81" s="52">
        <f t="shared" si="3"/>
        <v>16500</v>
      </c>
      <c r="O81" s="42"/>
      <c r="P81" s="41"/>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row>
    <row r="82" spans="1:103" s="46" customFormat="1" ht="33" customHeight="1">
      <c r="A82" s="43" t="s">
        <v>66</v>
      </c>
      <c r="B82" s="43" t="s">
        <v>126</v>
      </c>
      <c r="C82" s="43" t="s">
        <v>125</v>
      </c>
      <c r="D82" s="44" t="s">
        <v>9</v>
      </c>
      <c r="E82" s="44"/>
      <c r="F82" s="44"/>
      <c r="G82" s="37">
        <f t="shared" si="1"/>
        <v>0</v>
      </c>
      <c r="H82" s="44"/>
      <c r="I82" s="44"/>
      <c r="J82" s="30">
        <f t="shared" si="0"/>
        <v>0</v>
      </c>
      <c r="K82" s="64">
        <f>33612000-12000000+1650158-327958+12000000+150000+20450915</f>
        <v>55535115</v>
      </c>
      <c r="L82" s="45">
        <f>-152925-31000</f>
        <v>-183925</v>
      </c>
      <c r="M82" s="45">
        <f aca="true" t="shared" si="4" ref="M82:M215">K82+L82</f>
        <v>55351190</v>
      </c>
      <c r="N82" s="4">
        <f>ROUND(M82/1000,1)+230-300-190.4</f>
        <v>55090.799999999996</v>
      </c>
      <c r="O82" s="12"/>
      <c r="P82" s="41"/>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row>
    <row r="83" spans="1:103" s="46" customFormat="1" ht="33" customHeight="1">
      <c r="A83" s="43" t="s">
        <v>159</v>
      </c>
      <c r="B83" s="43" t="s">
        <v>127</v>
      </c>
      <c r="C83" s="43" t="s">
        <v>125</v>
      </c>
      <c r="D83" s="44" t="s">
        <v>87</v>
      </c>
      <c r="E83" s="44"/>
      <c r="F83" s="44"/>
      <c r="G83" s="37">
        <f t="shared" si="1"/>
        <v>0</v>
      </c>
      <c r="H83" s="44"/>
      <c r="I83" s="44"/>
      <c r="J83" s="30">
        <f aca="true" t="shared" si="5" ref="J83:J148">ROUND(I83/1000,1)</f>
        <v>0</v>
      </c>
      <c r="K83" s="45">
        <v>1000000</v>
      </c>
      <c r="L83" s="58"/>
      <c r="M83" s="45">
        <f t="shared" si="4"/>
        <v>1000000</v>
      </c>
      <c r="N83" s="4">
        <f t="shared" si="3"/>
        <v>1000</v>
      </c>
      <c r="O83" s="12"/>
      <c r="P83" s="41"/>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row>
    <row r="84" spans="1:103" s="69" customFormat="1" ht="33" customHeight="1">
      <c r="A84" s="62" t="s">
        <v>240</v>
      </c>
      <c r="B84" s="62" t="s">
        <v>135</v>
      </c>
      <c r="C84" s="62" t="s">
        <v>136</v>
      </c>
      <c r="D84" s="61" t="s">
        <v>71</v>
      </c>
      <c r="E84" s="61"/>
      <c r="F84" s="61"/>
      <c r="G84" s="37">
        <f aca="true" t="shared" si="6" ref="G84:G149">ROUND(F84/1000,1)</f>
        <v>0</v>
      </c>
      <c r="H84" s="61"/>
      <c r="I84" s="61"/>
      <c r="J84" s="30">
        <f t="shared" si="5"/>
        <v>0</v>
      </c>
      <c r="K84" s="38">
        <f>K90+K85+K88</f>
        <v>15011508</v>
      </c>
      <c r="L84" s="38">
        <f>L90+L85+L88</f>
        <v>0</v>
      </c>
      <c r="M84" s="38">
        <f>M90+M85+M88</f>
        <v>15011508</v>
      </c>
      <c r="N84" s="39">
        <f>N90+N85+N88</f>
        <v>15611.5</v>
      </c>
      <c r="O84" s="70"/>
      <c r="P84" s="41"/>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0"/>
      <c r="BR84" s="70"/>
      <c r="BS84" s="70"/>
      <c r="BT84" s="70"/>
      <c r="BU84" s="70"/>
      <c r="BV84" s="70"/>
      <c r="BW84" s="70"/>
      <c r="BX84" s="70"/>
      <c r="BY84" s="70"/>
      <c r="BZ84" s="70"/>
      <c r="CA84" s="70"/>
      <c r="CB84" s="70"/>
      <c r="CC84" s="70"/>
      <c r="CD84" s="70"/>
      <c r="CE84" s="70"/>
      <c r="CF84" s="70"/>
      <c r="CG84" s="70"/>
      <c r="CH84" s="70"/>
      <c r="CI84" s="70"/>
      <c r="CJ84" s="70"/>
      <c r="CK84" s="70"/>
      <c r="CL84" s="70"/>
      <c r="CM84" s="70"/>
      <c r="CN84" s="70"/>
      <c r="CO84" s="70"/>
      <c r="CP84" s="70"/>
      <c r="CQ84" s="70"/>
      <c r="CR84" s="70"/>
      <c r="CS84" s="70"/>
      <c r="CT84" s="70"/>
      <c r="CU84" s="70"/>
      <c r="CV84" s="70"/>
      <c r="CW84" s="70"/>
      <c r="CX84" s="70"/>
      <c r="CY84" s="70"/>
    </row>
    <row r="85" spans="1:103" s="69" customFormat="1" ht="20.25">
      <c r="A85" s="62"/>
      <c r="B85" s="62"/>
      <c r="C85" s="62"/>
      <c r="D85" s="61" t="s">
        <v>176</v>
      </c>
      <c r="E85" s="61" t="s">
        <v>176</v>
      </c>
      <c r="F85" s="61"/>
      <c r="G85" s="37">
        <f t="shared" si="6"/>
        <v>0</v>
      </c>
      <c r="H85" s="61"/>
      <c r="I85" s="61"/>
      <c r="J85" s="30">
        <f t="shared" si="5"/>
        <v>0</v>
      </c>
      <c r="K85" s="38">
        <f>K86</f>
        <v>1500000</v>
      </c>
      <c r="L85" s="38">
        <f>L86</f>
        <v>0</v>
      </c>
      <c r="M85" s="38">
        <f>M86</f>
        <v>1500000</v>
      </c>
      <c r="N85" s="39">
        <f>N86+N87</f>
        <v>1750</v>
      </c>
      <c r="O85" s="70"/>
      <c r="P85" s="41"/>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row>
    <row r="86" spans="1:103" s="46" customFormat="1" ht="36.75" customHeight="1">
      <c r="A86" s="43"/>
      <c r="B86" s="43"/>
      <c r="C86" s="43"/>
      <c r="D86" s="2" t="s">
        <v>374</v>
      </c>
      <c r="E86" s="2" t="s">
        <v>301</v>
      </c>
      <c r="F86" s="44"/>
      <c r="G86" s="37">
        <f t="shared" si="6"/>
        <v>0</v>
      </c>
      <c r="H86" s="44"/>
      <c r="I86" s="44"/>
      <c r="J86" s="30">
        <f t="shared" si="5"/>
        <v>0</v>
      </c>
      <c r="K86" s="45">
        <f>500000+1000000</f>
        <v>1500000</v>
      </c>
      <c r="L86" s="45"/>
      <c r="M86" s="45">
        <f t="shared" si="4"/>
        <v>1500000</v>
      </c>
      <c r="N86" s="4">
        <f aca="true" t="shared" si="7" ref="N86:N149">ROUND(M86/1000,1)</f>
        <v>1500</v>
      </c>
      <c r="O86" s="12"/>
      <c r="P86" s="41"/>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row>
    <row r="87" spans="1:103" s="46" customFormat="1" ht="36.75" customHeight="1">
      <c r="A87" s="43"/>
      <c r="B87" s="43"/>
      <c r="C87" s="43"/>
      <c r="D87" s="2" t="s">
        <v>393</v>
      </c>
      <c r="E87" s="2"/>
      <c r="F87" s="44"/>
      <c r="G87" s="37"/>
      <c r="H87" s="44"/>
      <c r="I87" s="44"/>
      <c r="J87" s="30"/>
      <c r="K87" s="45"/>
      <c r="L87" s="45"/>
      <c r="M87" s="45"/>
      <c r="N87" s="4">
        <v>250</v>
      </c>
      <c r="O87" s="12"/>
      <c r="P87" s="41"/>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row>
    <row r="88" spans="1:103" s="69" customFormat="1" ht="31.5" customHeight="1">
      <c r="A88" s="62"/>
      <c r="B88" s="62"/>
      <c r="C88" s="62"/>
      <c r="D88" s="61" t="s">
        <v>196</v>
      </c>
      <c r="E88" s="61" t="s">
        <v>196</v>
      </c>
      <c r="F88" s="61"/>
      <c r="G88" s="37">
        <f t="shared" si="6"/>
        <v>0</v>
      </c>
      <c r="H88" s="61"/>
      <c r="I88" s="61"/>
      <c r="J88" s="30">
        <f t="shared" si="5"/>
        <v>0</v>
      </c>
      <c r="K88" s="38">
        <f>K89</f>
        <v>737000</v>
      </c>
      <c r="L88" s="38">
        <f>L89</f>
        <v>0</v>
      </c>
      <c r="M88" s="38">
        <f>M89</f>
        <v>737000</v>
      </c>
      <c r="N88" s="39">
        <f>N89</f>
        <v>737</v>
      </c>
      <c r="O88" s="70"/>
      <c r="P88" s="41"/>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c r="BL88" s="70"/>
      <c r="BM88" s="70"/>
      <c r="BN88" s="70"/>
      <c r="BO88" s="70"/>
      <c r="BP88" s="70"/>
      <c r="BQ88" s="70"/>
      <c r="BR88" s="70"/>
      <c r="BS88" s="70"/>
      <c r="BT88" s="70"/>
      <c r="BU88" s="70"/>
      <c r="BV88" s="70"/>
      <c r="BW88" s="70"/>
      <c r="BX88" s="70"/>
      <c r="BY88" s="70"/>
      <c r="BZ88" s="70"/>
      <c r="CA88" s="70"/>
      <c r="CB88" s="70"/>
      <c r="CC88" s="70"/>
      <c r="CD88" s="70"/>
      <c r="CE88" s="70"/>
      <c r="CF88" s="70"/>
      <c r="CG88" s="70"/>
      <c r="CH88" s="70"/>
      <c r="CI88" s="70"/>
      <c r="CJ88" s="70"/>
      <c r="CK88" s="70"/>
      <c r="CL88" s="70"/>
      <c r="CM88" s="70"/>
      <c r="CN88" s="70"/>
      <c r="CO88" s="70"/>
      <c r="CP88" s="70"/>
      <c r="CQ88" s="70"/>
      <c r="CR88" s="70"/>
      <c r="CS88" s="70"/>
      <c r="CT88" s="70"/>
      <c r="CU88" s="70"/>
      <c r="CV88" s="70"/>
      <c r="CW88" s="70"/>
      <c r="CX88" s="70"/>
      <c r="CY88" s="70"/>
    </row>
    <row r="89" spans="1:103" s="46" customFormat="1" ht="26.25" customHeight="1">
      <c r="A89" s="43"/>
      <c r="B89" s="43"/>
      <c r="C89" s="43"/>
      <c r="D89" s="71" t="s">
        <v>286</v>
      </c>
      <c r="E89" s="71" t="s">
        <v>286</v>
      </c>
      <c r="F89" s="44"/>
      <c r="G89" s="37">
        <f t="shared" si="6"/>
        <v>0</v>
      </c>
      <c r="H89" s="44"/>
      <c r="I89" s="44"/>
      <c r="J89" s="30">
        <f t="shared" si="5"/>
        <v>0</v>
      </c>
      <c r="K89" s="45">
        <v>737000</v>
      </c>
      <c r="L89" s="45"/>
      <c r="M89" s="45">
        <f>K89+L89</f>
        <v>737000</v>
      </c>
      <c r="N89" s="4">
        <f t="shared" si="7"/>
        <v>737</v>
      </c>
      <c r="O89" s="12"/>
      <c r="P89" s="41"/>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row>
    <row r="90" spans="1:103" s="69" customFormat="1" ht="27.75" customHeight="1">
      <c r="A90" s="62"/>
      <c r="B90" s="62"/>
      <c r="C90" s="62"/>
      <c r="D90" s="61" t="s">
        <v>195</v>
      </c>
      <c r="E90" s="61" t="s">
        <v>195</v>
      </c>
      <c r="F90" s="61"/>
      <c r="G90" s="37">
        <f t="shared" si="6"/>
        <v>0</v>
      </c>
      <c r="H90" s="61"/>
      <c r="I90" s="61"/>
      <c r="J90" s="30">
        <f t="shared" si="5"/>
        <v>0</v>
      </c>
      <c r="K90" s="38">
        <f>K91+K92+K93+K95</f>
        <v>12774508</v>
      </c>
      <c r="L90" s="38">
        <f>L91+L92+L93+L95</f>
        <v>0</v>
      </c>
      <c r="M90" s="38">
        <f>M91+M92+M93+M95</f>
        <v>12774508</v>
      </c>
      <c r="N90" s="39">
        <f>N91+N92+N93+N94+N95</f>
        <v>13124.5</v>
      </c>
      <c r="O90" s="70"/>
      <c r="P90" s="41"/>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c r="BL90" s="70"/>
      <c r="BM90" s="70"/>
      <c r="BN90" s="70"/>
      <c r="BO90" s="70"/>
      <c r="BP90" s="70"/>
      <c r="BQ90" s="70"/>
      <c r="BR90" s="70"/>
      <c r="BS90" s="70"/>
      <c r="BT90" s="70"/>
      <c r="BU90" s="70"/>
      <c r="BV90" s="70"/>
      <c r="BW90" s="70"/>
      <c r="BX90" s="70"/>
      <c r="BY90" s="70"/>
      <c r="BZ90" s="70"/>
      <c r="CA90" s="70"/>
      <c r="CB90" s="70"/>
      <c r="CC90" s="70"/>
      <c r="CD90" s="70"/>
      <c r="CE90" s="70"/>
      <c r="CF90" s="70"/>
      <c r="CG90" s="70"/>
      <c r="CH90" s="70"/>
      <c r="CI90" s="70"/>
      <c r="CJ90" s="70"/>
      <c r="CK90" s="70"/>
      <c r="CL90" s="70"/>
      <c r="CM90" s="70"/>
      <c r="CN90" s="70"/>
      <c r="CO90" s="70"/>
      <c r="CP90" s="70"/>
      <c r="CQ90" s="70"/>
      <c r="CR90" s="70"/>
      <c r="CS90" s="70"/>
      <c r="CT90" s="70"/>
      <c r="CU90" s="70"/>
      <c r="CV90" s="70"/>
      <c r="CW90" s="70"/>
      <c r="CX90" s="70"/>
      <c r="CY90" s="70"/>
    </row>
    <row r="91" spans="1:103" s="46" customFormat="1" ht="50.25" customHeight="1">
      <c r="A91" s="43"/>
      <c r="B91" s="43"/>
      <c r="C91" s="43"/>
      <c r="D91" s="71" t="s">
        <v>241</v>
      </c>
      <c r="E91" s="71" t="s">
        <v>241</v>
      </c>
      <c r="F91" s="44"/>
      <c r="G91" s="37">
        <f t="shared" si="6"/>
        <v>0</v>
      </c>
      <c r="H91" s="44"/>
      <c r="I91" s="44"/>
      <c r="J91" s="30">
        <f t="shared" si="5"/>
        <v>0</v>
      </c>
      <c r="K91" s="45">
        <v>2000000</v>
      </c>
      <c r="L91" s="58"/>
      <c r="M91" s="45">
        <f t="shared" si="4"/>
        <v>2000000</v>
      </c>
      <c r="N91" s="4">
        <f t="shared" si="7"/>
        <v>2000</v>
      </c>
      <c r="O91" s="12"/>
      <c r="P91" s="41"/>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row>
    <row r="92" spans="1:103" s="46" customFormat="1" ht="57.75" customHeight="1">
      <c r="A92" s="43"/>
      <c r="B92" s="43"/>
      <c r="C92" s="43"/>
      <c r="D92" s="44" t="s">
        <v>242</v>
      </c>
      <c r="E92" s="44" t="s">
        <v>242</v>
      </c>
      <c r="F92" s="44"/>
      <c r="G92" s="37">
        <f t="shared" si="6"/>
        <v>0</v>
      </c>
      <c r="H92" s="44"/>
      <c r="I92" s="44"/>
      <c r="J92" s="30">
        <f t="shared" si="5"/>
        <v>0</v>
      </c>
      <c r="K92" s="45">
        <v>2000000</v>
      </c>
      <c r="L92" s="58"/>
      <c r="M92" s="45">
        <f t="shared" si="4"/>
        <v>2000000</v>
      </c>
      <c r="N92" s="4">
        <f t="shared" si="7"/>
        <v>2000</v>
      </c>
      <c r="O92" s="12"/>
      <c r="P92" s="41"/>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row>
    <row r="93" spans="1:103" s="46" customFormat="1" ht="48.75" customHeight="1">
      <c r="A93" s="43"/>
      <c r="B93" s="43"/>
      <c r="C93" s="43"/>
      <c r="D93" s="71" t="s">
        <v>243</v>
      </c>
      <c r="E93" s="71" t="s">
        <v>243</v>
      </c>
      <c r="F93" s="44"/>
      <c r="G93" s="37">
        <f t="shared" si="6"/>
        <v>0</v>
      </c>
      <c r="H93" s="44"/>
      <c r="I93" s="44"/>
      <c r="J93" s="30">
        <f t="shared" si="5"/>
        <v>0</v>
      </c>
      <c r="K93" s="45">
        <v>2000000</v>
      </c>
      <c r="L93" s="58"/>
      <c r="M93" s="45">
        <f t="shared" si="4"/>
        <v>2000000</v>
      </c>
      <c r="N93" s="4">
        <f t="shared" si="7"/>
        <v>2000</v>
      </c>
      <c r="O93" s="12"/>
      <c r="P93" s="41"/>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row>
    <row r="94" spans="1:103" s="46" customFormat="1" ht="48.75" customHeight="1">
      <c r="A94" s="43"/>
      <c r="B94" s="43"/>
      <c r="C94" s="43"/>
      <c r="D94" s="71" t="s">
        <v>394</v>
      </c>
      <c r="E94" s="71"/>
      <c r="F94" s="44"/>
      <c r="G94" s="37"/>
      <c r="H94" s="44"/>
      <c r="I94" s="44"/>
      <c r="J94" s="30"/>
      <c r="K94" s="45"/>
      <c r="L94" s="58"/>
      <c r="M94" s="45"/>
      <c r="N94" s="4">
        <v>350</v>
      </c>
      <c r="O94" s="12"/>
      <c r="P94" s="41"/>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row>
    <row r="95" spans="1:103" s="46" customFormat="1" ht="57.75" customHeight="1">
      <c r="A95" s="43"/>
      <c r="B95" s="43"/>
      <c r="C95" s="43"/>
      <c r="D95" s="71" t="s">
        <v>244</v>
      </c>
      <c r="E95" s="71" t="s">
        <v>244</v>
      </c>
      <c r="F95" s="44"/>
      <c r="G95" s="37">
        <f t="shared" si="6"/>
        <v>0</v>
      </c>
      <c r="H95" s="44"/>
      <c r="I95" s="44"/>
      <c r="J95" s="30">
        <f t="shared" si="5"/>
        <v>0</v>
      </c>
      <c r="K95" s="45">
        <v>6774508</v>
      </c>
      <c r="L95" s="58"/>
      <c r="M95" s="45">
        <f t="shared" si="4"/>
        <v>6774508</v>
      </c>
      <c r="N95" s="4">
        <f t="shared" si="7"/>
        <v>6774.5</v>
      </c>
      <c r="O95" s="12"/>
      <c r="P95" s="41"/>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row>
    <row r="96" spans="1:103" s="69" customFormat="1" ht="26.25" customHeight="1">
      <c r="A96" s="62" t="s">
        <v>258</v>
      </c>
      <c r="B96" s="62" t="s">
        <v>137</v>
      </c>
      <c r="C96" s="62"/>
      <c r="D96" s="61" t="s">
        <v>94</v>
      </c>
      <c r="E96" s="61"/>
      <c r="F96" s="61"/>
      <c r="G96" s="37">
        <f t="shared" si="6"/>
        <v>0</v>
      </c>
      <c r="H96" s="61"/>
      <c r="I96" s="61"/>
      <c r="J96" s="30">
        <f t="shared" si="5"/>
        <v>0</v>
      </c>
      <c r="K96" s="38">
        <f>K97</f>
        <v>2535000</v>
      </c>
      <c r="L96" s="38">
        <f>L97</f>
        <v>0</v>
      </c>
      <c r="M96" s="38">
        <f>M97</f>
        <v>2535000</v>
      </c>
      <c r="N96" s="39">
        <f>N97</f>
        <v>2535</v>
      </c>
      <c r="O96" s="70"/>
      <c r="P96" s="41"/>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c r="BL96" s="70"/>
      <c r="BM96" s="70"/>
      <c r="BN96" s="70"/>
      <c r="BO96" s="70"/>
      <c r="BP96" s="70"/>
      <c r="BQ96" s="70"/>
      <c r="BR96" s="70"/>
      <c r="BS96" s="70"/>
      <c r="BT96" s="70"/>
      <c r="BU96" s="70"/>
      <c r="BV96" s="70"/>
      <c r="BW96" s="70"/>
      <c r="BX96" s="70"/>
      <c r="BY96" s="70"/>
      <c r="BZ96" s="70"/>
      <c r="CA96" s="70"/>
      <c r="CB96" s="70"/>
      <c r="CC96" s="70"/>
      <c r="CD96" s="70"/>
      <c r="CE96" s="70"/>
      <c r="CF96" s="70"/>
      <c r="CG96" s="70"/>
      <c r="CH96" s="70"/>
      <c r="CI96" s="70"/>
      <c r="CJ96" s="70"/>
      <c r="CK96" s="70"/>
      <c r="CL96" s="70"/>
      <c r="CM96" s="70"/>
      <c r="CN96" s="70"/>
      <c r="CO96" s="70"/>
      <c r="CP96" s="70"/>
      <c r="CQ96" s="70"/>
      <c r="CR96" s="70"/>
      <c r="CS96" s="70"/>
      <c r="CT96" s="70"/>
      <c r="CU96" s="70"/>
      <c r="CV96" s="70"/>
      <c r="CW96" s="70"/>
      <c r="CX96" s="70"/>
      <c r="CY96" s="70"/>
    </row>
    <row r="97" spans="1:103" s="40" customFormat="1" ht="33" customHeight="1">
      <c r="A97" s="34" t="s">
        <v>259</v>
      </c>
      <c r="B97" s="34" t="s">
        <v>138</v>
      </c>
      <c r="C97" s="34" t="s">
        <v>132</v>
      </c>
      <c r="D97" s="44" t="s">
        <v>375</v>
      </c>
      <c r="E97" s="56"/>
      <c r="F97" s="49"/>
      <c r="G97" s="37">
        <f t="shared" si="6"/>
        <v>0</v>
      </c>
      <c r="H97" s="49"/>
      <c r="I97" s="49"/>
      <c r="J97" s="30">
        <f t="shared" si="5"/>
        <v>0</v>
      </c>
      <c r="K97" s="50">
        <f>K98+K99</f>
        <v>2535000</v>
      </c>
      <c r="L97" s="50">
        <f>L98+L99</f>
        <v>0</v>
      </c>
      <c r="M97" s="50">
        <f>M98+M99</f>
        <v>2535000</v>
      </c>
      <c r="N97" s="52">
        <f t="shared" si="7"/>
        <v>2535</v>
      </c>
      <c r="O97" s="42"/>
      <c r="P97" s="41"/>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row>
    <row r="98" spans="1:103" s="40" customFormat="1" ht="27.75" customHeight="1">
      <c r="A98" s="34"/>
      <c r="B98" s="34"/>
      <c r="C98" s="34"/>
      <c r="D98" s="56" t="s">
        <v>323</v>
      </c>
      <c r="E98" s="56" t="s">
        <v>323</v>
      </c>
      <c r="F98" s="49"/>
      <c r="G98" s="37">
        <f t="shared" si="6"/>
        <v>0</v>
      </c>
      <c r="H98" s="49"/>
      <c r="I98" s="49"/>
      <c r="J98" s="30">
        <f t="shared" si="5"/>
        <v>0</v>
      </c>
      <c r="K98" s="50">
        <v>35000</v>
      </c>
      <c r="L98" s="50"/>
      <c r="M98" s="50">
        <f>L98+K98</f>
        <v>35000</v>
      </c>
      <c r="N98" s="52">
        <f t="shared" si="7"/>
        <v>35</v>
      </c>
      <c r="O98" s="42"/>
      <c r="P98" s="41"/>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row>
    <row r="99" spans="1:103" s="40" customFormat="1" ht="45.75" customHeight="1">
      <c r="A99" s="34"/>
      <c r="B99" s="34"/>
      <c r="C99" s="34"/>
      <c r="D99" s="54" t="s">
        <v>320</v>
      </c>
      <c r="E99" s="54" t="s">
        <v>320</v>
      </c>
      <c r="F99" s="49"/>
      <c r="G99" s="37">
        <f t="shared" si="6"/>
        <v>0</v>
      </c>
      <c r="H99" s="49"/>
      <c r="I99" s="49"/>
      <c r="J99" s="30">
        <f t="shared" si="5"/>
        <v>0</v>
      </c>
      <c r="K99" s="50">
        <v>2500000</v>
      </c>
      <c r="L99" s="50"/>
      <c r="M99" s="50">
        <f>L99+K99</f>
        <v>2500000</v>
      </c>
      <c r="N99" s="52">
        <f t="shared" si="7"/>
        <v>2500</v>
      </c>
      <c r="O99" s="42"/>
      <c r="P99" s="41"/>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row>
    <row r="100" spans="1:103" s="69" customFormat="1" ht="29.25" customHeight="1">
      <c r="A100" s="62" t="s">
        <v>297</v>
      </c>
      <c r="B100" s="62" t="s">
        <v>298</v>
      </c>
      <c r="C100" s="62" t="s">
        <v>299</v>
      </c>
      <c r="D100" s="61" t="s">
        <v>300</v>
      </c>
      <c r="E100" s="35"/>
      <c r="F100" s="61"/>
      <c r="G100" s="37">
        <f t="shared" si="6"/>
        <v>0</v>
      </c>
      <c r="H100" s="61"/>
      <c r="I100" s="61"/>
      <c r="J100" s="30">
        <f t="shared" si="5"/>
        <v>0</v>
      </c>
      <c r="K100" s="38">
        <v>130000</v>
      </c>
      <c r="L100" s="38"/>
      <c r="M100" s="38">
        <f>L100+K100</f>
        <v>130000</v>
      </c>
      <c r="N100" s="72">
        <f t="shared" si="7"/>
        <v>130</v>
      </c>
      <c r="O100" s="70"/>
      <c r="P100" s="41"/>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0"/>
      <c r="BR100" s="70"/>
      <c r="BS100" s="70"/>
      <c r="BT100" s="70"/>
      <c r="BU100" s="70"/>
      <c r="BV100" s="70"/>
      <c r="BW100" s="70"/>
      <c r="BX100" s="70"/>
      <c r="BY100" s="70"/>
      <c r="BZ100" s="70"/>
      <c r="CA100" s="70"/>
      <c r="CB100" s="70"/>
      <c r="CC100" s="70"/>
      <c r="CD100" s="70"/>
      <c r="CE100" s="70"/>
      <c r="CF100" s="70"/>
      <c r="CG100" s="70"/>
      <c r="CH100" s="70"/>
      <c r="CI100" s="70"/>
      <c r="CJ100" s="70"/>
      <c r="CK100" s="70"/>
      <c r="CL100" s="70"/>
      <c r="CM100" s="70"/>
      <c r="CN100" s="70"/>
      <c r="CO100" s="70"/>
      <c r="CP100" s="70"/>
      <c r="CQ100" s="70"/>
      <c r="CR100" s="70"/>
      <c r="CS100" s="70"/>
      <c r="CT100" s="70"/>
      <c r="CU100" s="70"/>
      <c r="CV100" s="70"/>
      <c r="CW100" s="70"/>
      <c r="CX100" s="70"/>
      <c r="CY100" s="70"/>
    </row>
    <row r="101" spans="1:103" s="46" customFormat="1" ht="29.25" customHeight="1">
      <c r="A101" s="43" t="s">
        <v>68</v>
      </c>
      <c r="B101" s="43" t="s">
        <v>146</v>
      </c>
      <c r="C101" s="43" t="s">
        <v>136</v>
      </c>
      <c r="D101" s="44" t="s">
        <v>369</v>
      </c>
      <c r="E101" s="44"/>
      <c r="F101" s="44"/>
      <c r="G101" s="37">
        <f t="shared" si="6"/>
        <v>0</v>
      </c>
      <c r="H101" s="44"/>
      <c r="I101" s="44"/>
      <c r="J101" s="30">
        <f t="shared" si="5"/>
        <v>0</v>
      </c>
      <c r="K101" s="45">
        <f>K102+K103+K104+K105+K106+K107</f>
        <v>25895700</v>
      </c>
      <c r="L101" s="45">
        <f>L102+L103+L104+L105+L106+L107</f>
        <v>0</v>
      </c>
      <c r="M101" s="45">
        <f>M102+M103+M104+M105+M106+M107</f>
        <v>25895700</v>
      </c>
      <c r="N101" s="4">
        <f t="shared" si="7"/>
        <v>25895.7</v>
      </c>
      <c r="O101" s="12"/>
      <c r="P101" s="41"/>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row>
    <row r="102" spans="1:103" s="40" customFormat="1" ht="35.25" customHeight="1">
      <c r="A102" s="34"/>
      <c r="B102" s="34"/>
      <c r="C102" s="34"/>
      <c r="D102" s="49" t="s">
        <v>167</v>
      </c>
      <c r="E102" s="49" t="s">
        <v>167</v>
      </c>
      <c r="F102" s="49"/>
      <c r="G102" s="37">
        <f t="shared" si="6"/>
        <v>0</v>
      </c>
      <c r="H102" s="49"/>
      <c r="I102" s="49"/>
      <c r="J102" s="30">
        <f t="shared" si="5"/>
        <v>0</v>
      </c>
      <c r="K102" s="50">
        <f>2651900+543000</f>
        <v>3194900</v>
      </c>
      <c r="L102" s="50"/>
      <c r="M102" s="50">
        <f t="shared" si="4"/>
        <v>3194900</v>
      </c>
      <c r="N102" s="52">
        <f t="shared" si="7"/>
        <v>3194.9</v>
      </c>
      <c r="O102" s="42"/>
      <c r="P102" s="41"/>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row>
    <row r="103" spans="1:103" s="40" customFormat="1" ht="35.25" customHeight="1">
      <c r="A103" s="34"/>
      <c r="B103" s="34"/>
      <c r="C103" s="34"/>
      <c r="D103" s="49" t="s">
        <v>168</v>
      </c>
      <c r="E103" s="49" t="s">
        <v>168</v>
      </c>
      <c r="F103" s="49"/>
      <c r="G103" s="37">
        <f t="shared" si="6"/>
        <v>0</v>
      </c>
      <c r="H103" s="49"/>
      <c r="I103" s="49"/>
      <c r="J103" s="30">
        <f t="shared" si="5"/>
        <v>0</v>
      </c>
      <c r="K103" s="50">
        <f>810000+1250000</f>
        <v>2060000</v>
      </c>
      <c r="L103" s="50"/>
      <c r="M103" s="50">
        <f t="shared" si="4"/>
        <v>2060000</v>
      </c>
      <c r="N103" s="52">
        <f t="shared" si="7"/>
        <v>2060</v>
      </c>
      <c r="O103" s="42"/>
      <c r="P103" s="41"/>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row>
    <row r="104" spans="1:103" s="40" customFormat="1" ht="35.25" customHeight="1">
      <c r="A104" s="34"/>
      <c r="B104" s="34"/>
      <c r="C104" s="34"/>
      <c r="D104" s="49" t="s">
        <v>169</v>
      </c>
      <c r="E104" s="49" t="s">
        <v>169</v>
      </c>
      <c r="F104" s="49"/>
      <c r="G104" s="37">
        <f t="shared" si="6"/>
        <v>0</v>
      </c>
      <c r="H104" s="49"/>
      <c r="I104" s="49"/>
      <c r="J104" s="30">
        <f t="shared" si="5"/>
        <v>0</v>
      </c>
      <c r="K104" s="50">
        <v>2500000</v>
      </c>
      <c r="L104" s="50"/>
      <c r="M104" s="50">
        <f t="shared" si="4"/>
        <v>2500000</v>
      </c>
      <c r="N104" s="52">
        <f t="shared" si="7"/>
        <v>2500</v>
      </c>
      <c r="O104" s="42"/>
      <c r="P104" s="41"/>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row>
    <row r="105" spans="1:103" s="40" customFormat="1" ht="35.25" customHeight="1">
      <c r="A105" s="34"/>
      <c r="B105" s="34"/>
      <c r="C105" s="34"/>
      <c r="D105" s="49" t="s">
        <v>170</v>
      </c>
      <c r="E105" s="49" t="s">
        <v>170</v>
      </c>
      <c r="F105" s="49"/>
      <c r="G105" s="37">
        <f t="shared" si="6"/>
        <v>0</v>
      </c>
      <c r="H105" s="49"/>
      <c r="I105" s="49"/>
      <c r="J105" s="30">
        <f t="shared" si="5"/>
        <v>0</v>
      </c>
      <c r="K105" s="50">
        <f>9800000+3000000-1000000+4270800</f>
        <v>16070800</v>
      </c>
      <c r="L105" s="50"/>
      <c r="M105" s="50">
        <f t="shared" si="4"/>
        <v>16070800</v>
      </c>
      <c r="N105" s="52">
        <f t="shared" si="7"/>
        <v>16070.8</v>
      </c>
      <c r="O105" s="42"/>
      <c r="P105" s="41"/>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row>
    <row r="106" spans="1:103" s="40" customFormat="1" ht="35.25" customHeight="1">
      <c r="A106" s="34"/>
      <c r="B106" s="34"/>
      <c r="C106" s="34"/>
      <c r="D106" s="49" t="s">
        <v>171</v>
      </c>
      <c r="E106" s="49" t="s">
        <v>171</v>
      </c>
      <c r="F106" s="49"/>
      <c r="G106" s="37">
        <f t="shared" si="6"/>
        <v>0</v>
      </c>
      <c r="H106" s="49"/>
      <c r="I106" s="49"/>
      <c r="J106" s="30">
        <f t="shared" si="5"/>
        <v>0</v>
      </c>
      <c r="K106" s="50">
        <v>200000</v>
      </c>
      <c r="L106" s="50"/>
      <c r="M106" s="50">
        <f t="shared" si="4"/>
        <v>200000</v>
      </c>
      <c r="N106" s="52">
        <f t="shared" si="7"/>
        <v>200</v>
      </c>
      <c r="O106" s="42"/>
      <c r="P106" s="41"/>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row>
    <row r="107" spans="1:103" s="40" customFormat="1" ht="35.25" customHeight="1">
      <c r="A107" s="34"/>
      <c r="B107" s="34"/>
      <c r="C107" s="34"/>
      <c r="D107" s="49" t="s">
        <v>172</v>
      </c>
      <c r="E107" s="49" t="s">
        <v>172</v>
      </c>
      <c r="F107" s="49"/>
      <c r="G107" s="37">
        <f t="shared" si="6"/>
        <v>0</v>
      </c>
      <c r="H107" s="49"/>
      <c r="I107" s="49"/>
      <c r="J107" s="30">
        <f t="shared" si="5"/>
        <v>0</v>
      </c>
      <c r="K107" s="50">
        <f>1500000+370000</f>
        <v>1870000</v>
      </c>
      <c r="L107" s="50"/>
      <c r="M107" s="50">
        <f t="shared" si="4"/>
        <v>1870000</v>
      </c>
      <c r="N107" s="52">
        <f t="shared" si="7"/>
        <v>1870</v>
      </c>
      <c r="O107" s="42"/>
      <c r="P107" s="41"/>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row>
    <row r="108" spans="1:103" s="46" customFormat="1" ht="25.5" customHeight="1">
      <c r="A108" s="43" t="s">
        <v>271</v>
      </c>
      <c r="B108" s="43" t="s">
        <v>272</v>
      </c>
      <c r="C108" s="43" t="s">
        <v>273</v>
      </c>
      <c r="D108" s="44" t="s">
        <v>274</v>
      </c>
      <c r="E108" s="44"/>
      <c r="F108" s="44"/>
      <c r="G108" s="37">
        <f t="shared" si="6"/>
        <v>0</v>
      </c>
      <c r="H108" s="44"/>
      <c r="I108" s="44"/>
      <c r="J108" s="30">
        <f t="shared" si="5"/>
        <v>0</v>
      </c>
      <c r="K108" s="45">
        <v>5462904</v>
      </c>
      <c r="L108" s="45"/>
      <c r="M108" s="45">
        <f>L108+K108</f>
        <v>5462904</v>
      </c>
      <c r="N108" s="4">
        <f t="shared" si="7"/>
        <v>5462.9</v>
      </c>
      <c r="O108" s="12"/>
      <c r="P108" s="41"/>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row>
    <row r="109" spans="1:103" s="46" customFormat="1" ht="25.5" customHeight="1">
      <c r="A109" s="63">
        <v>4118800</v>
      </c>
      <c r="B109" s="63">
        <v>8800</v>
      </c>
      <c r="C109" s="43" t="s">
        <v>98</v>
      </c>
      <c r="D109" s="73" t="s">
        <v>376</v>
      </c>
      <c r="E109" s="73"/>
      <c r="F109" s="73"/>
      <c r="G109" s="37">
        <f t="shared" si="6"/>
        <v>0</v>
      </c>
      <c r="H109" s="73"/>
      <c r="I109" s="73"/>
      <c r="J109" s="30">
        <f t="shared" si="5"/>
        <v>0</v>
      </c>
      <c r="K109" s="45">
        <f>K110</f>
        <v>1221500</v>
      </c>
      <c r="L109" s="45">
        <f>L110</f>
        <v>0</v>
      </c>
      <c r="M109" s="45">
        <f>M110</f>
        <v>1221500</v>
      </c>
      <c r="N109" s="4">
        <f t="shared" si="7"/>
        <v>1221.5</v>
      </c>
      <c r="O109" s="12"/>
      <c r="P109" s="41"/>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row>
    <row r="110" spans="1:103" s="46" customFormat="1" ht="40.5">
      <c r="A110" s="65">
        <v>4118800</v>
      </c>
      <c r="B110" s="65">
        <v>8800</v>
      </c>
      <c r="C110" s="53" t="s">
        <v>98</v>
      </c>
      <c r="D110" s="74" t="s">
        <v>222</v>
      </c>
      <c r="E110" s="74"/>
      <c r="F110" s="74"/>
      <c r="G110" s="37">
        <f t="shared" si="6"/>
        <v>0</v>
      </c>
      <c r="H110" s="74"/>
      <c r="I110" s="74"/>
      <c r="J110" s="30">
        <f t="shared" si="5"/>
        <v>0</v>
      </c>
      <c r="K110" s="50">
        <f>1730000-508500</f>
        <v>1221500</v>
      </c>
      <c r="L110" s="56"/>
      <c r="M110" s="50">
        <f t="shared" si="4"/>
        <v>1221500</v>
      </c>
      <c r="N110" s="52">
        <f t="shared" si="7"/>
        <v>1221.5</v>
      </c>
      <c r="O110" s="12"/>
      <c r="P110" s="41"/>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row>
    <row r="111" spans="1:103" s="69" customFormat="1" ht="29.25" customHeight="1">
      <c r="A111" s="62" t="s">
        <v>70</v>
      </c>
      <c r="B111" s="62"/>
      <c r="C111" s="62"/>
      <c r="D111" s="61" t="s">
        <v>89</v>
      </c>
      <c r="E111" s="61"/>
      <c r="F111" s="61"/>
      <c r="G111" s="37">
        <f t="shared" si="6"/>
        <v>0</v>
      </c>
      <c r="H111" s="61"/>
      <c r="I111" s="61"/>
      <c r="J111" s="30">
        <f t="shared" si="5"/>
        <v>0</v>
      </c>
      <c r="K111" s="38">
        <f>K112+K113</f>
        <v>150000</v>
      </c>
      <c r="L111" s="38">
        <f>L112+L113</f>
        <v>0</v>
      </c>
      <c r="M111" s="38">
        <f>M112+M113</f>
        <v>150000</v>
      </c>
      <c r="N111" s="39">
        <f>N112+N113</f>
        <v>150</v>
      </c>
      <c r="O111" s="70"/>
      <c r="P111" s="41"/>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c r="BL111" s="70"/>
      <c r="BM111" s="70"/>
      <c r="BN111" s="70"/>
      <c r="BO111" s="70"/>
      <c r="BP111" s="70"/>
      <c r="BQ111" s="70"/>
      <c r="BR111" s="70"/>
      <c r="BS111" s="70"/>
      <c r="BT111" s="70"/>
      <c r="BU111" s="70"/>
      <c r="BV111" s="70"/>
      <c r="BW111" s="70"/>
      <c r="BX111" s="70"/>
      <c r="BY111" s="70"/>
      <c r="BZ111" s="70"/>
      <c r="CA111" s="70"/>
      <c r="CB111" s="70"/>
      <c r="CC111" s="70"/>
      <c r="CD111" s="70"/>
      <c r="CE111" s="70"/>
      <c r="CF111" s="70"/>
      <c r="CG111" s="70"/>
      <c r="CH111" s="70"/>
      <c r="CI111" s="70"/>
      <c r="CJ111" s="70"/>
      <c r="CK111" s="70"/>
      <c r="CL111" s="70"/>
      <c r="CM111" s="70"/>
      <c r="CN111" s="70"/>
      <c r="CO111" s="70"/>
      <c r="CP111" s="70"/>
      <c r="CQ111" s="70"/>
      <c r="CR111" s="70"/>
      <c r="CS111" s="70"/>
      <c r="CT111" s="70"/>
      <c r="CU111" s="70"/>
      <c r="CV111" s="70"/>
      <c r="CW111" s="70"/>
      <c r="CX111" s="70"/>
      <c r="CY111" s="70"/>
    </row>
    <row r="112" spans="1:103" s="46" customFormat="1" ht="29.25" customHeight="1">
      <c r="A112" s="43" t="s">
        <v>69</v>
      </c>
      <c r="B112" s="43" t="s">
        <v>98</v>
      </c>
      <c r="C112" s="43" t="s">
        <v>99</v>
      </c>
      <c r="D112" s="44" t="s">
        <v>257</v>
      </c>
      <c r="E112" s="44"/>
      <c r="F112" s="44"/>
      <c r="G112" s="37">
        <f t="shared" si="6"/>
        <v>0</v>
      </c>
      <c r="H112" s="44"/>
      <c r="I112" s="44"/>
      <c r="J112" s="30">
        <f t="shared" si="5"/>
        <v>0</v>
      </c>
      <c r="K112" s="45">
        <v>100000</v>
      </c>
      <c r="L112" s="58"/>
      <c r="M112" s="45">
        <f t="shared" si="4"/>
        <v>100000</v>
      </c>
      <c r="N112" s="4">
        <f t="shared" si="7"/>
        <v>100</v>
      </c>
      <c r="O112" s="12"/>
      <c r="P112" s="41"/>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row>
    <row r="113" spans="1:103" s="46" customFormat="1" ht="29.25" customHeight="1">
      <c r="A113" s="43" t="s">
        <v>72</v>
      </c>
      <c r="B113" s="43" t="s">
        <v>157</v>
      </c>
      <c r="C113" s="43" t="s">
        <v>139</v>
      </c>
      <c r="D113" s="44" t="s">
        <v>238</v>
      </c>
      <c r="E113" s="44"/>
      <c r="F113" s="44"/>
      <c r="G113" s="37">
        <f t="shared" si="6"/>
        <v>0</v>
      </c>
      <c r="H113" s="44"/>
      <c r="I113" s="44"/>
      <c r="J113" s="30">
        <f t="shared" si="5"/>
        <v>0</v>
      </c>
      <c r="K113" s="45">
        <v>50000</v>
      </c>
      <c r="L113" s="58"/>
      <c r="M113" s="45">
        <f t="shared" si="4"/>
        <v>50000</v>
      </c>
      <c r="N113" s="4">
        <f t="shared" si="7"/>
        <v>50</v>
      </c>
      <c r="O113" s="12"/>
      <c r="P113" s="41"/>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row>
    <row r="114" spans="1:103" s="69" customFormat="1" ht="30" customHeight="1">
      <c r="A114" s="75">
        <v>4610000</v>
      </c>
      <c r="B114" s="75"/>
      <c r="C114" s="75"/>
      <c r="D114" s="61" t="s">
        <v>97</v>
      </c>
      <c r="E114" s="61"/>
      <c r="F114" s="61"/>
      <c r="G114" s="37">
        <f t="shared" si="6"/>
        <v>0</v>
      </c>
      <c r="H114" s="61"/>
      <c r="I114" s="61"/>
      <c r="J114" s="30">
        <f t="shared" si="5"/>
        <v>0</v>
      </c>
      <c r="K114" s="38">
        <f>K115</f>
        <v>12000</v>
      </c>
      <c r="L114" s="38">
        <f>L115</f>
        <v>0</v>
      </c>
      <c r="M114" s="38">
        <f>M115</f>
        <v>12000</v>
      </c>
      <c r="N114" s="39">
        <f>N115</f>
        <v>12</v>
      </c>
      <c r="O114" s="70"/>
      <c r="P114" s="41"/>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c r="BL114" s="70"/>
      <c r="BM114" s="70"/>
      <c r="BN114" s="70"/>
      <c r="BO114" s="70"/>
      <c r="BP114" s="70"/>
      <c r="BQ114" s="70"/>
      <c r="BR114" s="70"/>
      <c r="BS114" s="70"/>
      <c r="BT114" s="70"/>
      <c r="BU114" s="70"/>
      <c r="BV114" s="70"/>
      <c r="BW114" s="70"/>
      <c r="BX114" s="70"/>
      <c r="BY114" s="70"/>
      <c r="BZ114" s="70"/>
      <c r="CA114" s="70"/>
      <c r="CB114" s="70"/>
      <c r="CC114" s="70"/>
      <c r="CD114" s="70"/>
      <c r="CE114" s="70"/>
      <c r="CF114" s="70"/>
      <c r="CG114" s="70"/>
      <c r="CH114" s="70"/>
      <c r="CI114" s="70"/>
      <c r="CJ114" s="70"/>
      <c r="CK114" s="70"/>
      <c r="CL114" s="70"/>
      <c r="CM114" s="70"/>
      <c r="CN114" s="70"/>
      <c r="CO114" s="70"/>
      <c r="CP114" s="70"/>
      <c r="CQ114" s="70"/>
      <c r="CR114" s="70"/>
      <c r="CS114" s="70"/>
      <c r="CT114" s="70"/>
      <c r="CU114" s="70"/>
      <c r="CV114" s="70"/>
      <c r="CW114" s="70"/>
      <c r="CX114" s="70"/>
      <c r="CY114" s="70"/>
    </row>
    <row r="115" spans="1:103" s="40" customFormat="1" ht="30" customHeight="1">
      <c r="A115" s="43" t="s">
        <v>96</v>
      </c>
      <c r="B115" s="43" t="s">
        <v>98</v>
      </c>
      <c r="C115" s="43" t="s">
        <v>99</v>
      </c>
      <c r="D115" s="44" t="s">
        <v>257</v>
      </c>
      <c r="E115" s="44"/>
      <c r="F115" s="44"/>
      <c r="G115" s="37">
        <f t="shared" si="6"/>
        <v>0</v>
      </c>
      <c r="H115" s="44"/>
      <c r="I115" s="44"/>
      <c r="J115" s="30">
        <f t="shared" si="5"/>
        <v>0</v>
      </c>
      <c r="K115" s="45">
        <v>12000</v>
      </c>
      <c r="L115" s="58"/>
      <c r="M115" s="45">
        <f t="shared" si="4"/>
        <v>12000</v>
      </c>
      <c r="N115" s="4">
        <f t="shared" si="7"/>
        <v>12</v>
      </c>
      <c r="O115" s="42"/>
      <c r="P115" s="41"/>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row>
    <row r="116" spans="1:103" s="46" customFormat="1" ht="30" customHeight="1">
      <c r="A116" s="62" t="s">
        <v>74</v>
      </c>
      <c r="B116" s="43"/>
      <c r="C116" s="43"/>
      <c r="D116" s="61" t="s">
        <v>73</v>
      </c>
      <c r="E116" s="61"/>
      <c r="F116" s="61"/>
      <c r="G116" s="37">
        <f t="shared" si="6"/>
        <v>0</v>
      </c>
      <c r="H116" s="61"/>
      <c r="I116" s="61"/>
      <c r="J116" s="30">
        <f t="shared" si="5"/>
        <v>0</v>
      </c>
      <c r="K116" s="38" t="e">
        <f>K118+K119+K272+K268+K271+#REF!+K117</f>
        <v>#REF!</v>
      </c>
      <c r="L116" s="38" t="e">
        <f>L118+L119+L272+L268+L271+#REF!+L117</f>
        <v>#REF!</v>
      </c>
      <c r="M116" s="38" t="e">
        <f>M118+M119+M272+M268+M271+#REF!+M117</f>
        <v>#REF!</v>
      </c>
      <c r="N116" s="39">
        <f>N118+N119+N272+N268+N271+N117</f>
        <v>271330.1</v>
      </c>
      <c r="O116" s="12"/>
      <c r="P116" s="41"/>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row>
    <row r="117" spans="1:103" s="46" customFormat="1" ht="30" customHeight="1">
      <c r="A117" s="43" t="s">
        <v>175</v>
      </c>
      <c r="B117" s="43" t="s">
        <v>113</v>
      </c>
      <c r="C117" s="43" t="s">
        <v>114</v>
      </c>
      <c r="D117" s="44" t="s">
        <v>35</v>
      </c>
      <c r="E117" s="44"/>
      <c r="F117" s="44"/>
      <c r="G117" s="37">
        <f t="shared" si="6"/>
        <v>0</v>
      </c>
      <c r="H117" s="44"/>
      <c r="I117" s="44"/>
      <c r="J117" s="30">
        <f t="shared" si="5"/>
        <v>0</v>
      </c>
      <c r="K117" s="45">
        <v>5000000</v>
      </c>
      <c r="L117" s="58"/>
      <c r="M117" s="45">
        <f t="shared" si="4"/>
        <v>5000000</v>
      </c>
      <c r="N117" s="4">
        <f t="shared" si="7"/>
        <v>5000</v>
      </c>
      <c r="O117" s="12"/>
      <c r="P117" s="41"/>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row>
    <row r="118" spans="1:103" s="46" customFormat="1" ht="30" customHeight="1">
      <c r="A118" s="43" t="s">
        <v>75</v>
      </c>
      <c r="B118" s="43" t="s">
        <v>126</v>
      </c>
      <c r="C118" s="43" t="s">
        <v>125</v>
      </c>
      <c r="D118" s="44" t="s">
        <v>0</v>
      </c>
      <c r="E118" s="44"/>
      <c r="F118" s="44"/>
      <c r="G118" s="37">
        <f t="shared" si="6"/>
        <v>0</v>
      </c>
      <c r="H118" s="44"/>
      <c r="I118" s="44"/>
      <c r="J118" s="30">
        <f t="shared" si="5"/>
        <v>0</v>
      </c>
      <c r="K118" s="45">
        <f>62165698+12000000-12000000+34000000</f>
        <v>96165698</v>
      </c>
      <c r="L118" s="45"/>
      <c r="M118" s="45">
        <f t="shared" si="4"/>
        <v>96165698</v>
      </c>
      <c r="N118" s="4">
        <f>ROUND(M118/1000,1)+5500+9000</f>
        <v>110665.7</v>
      </c>
      <c r="O118" s="12"/>
      <c r="P118" s="41"/>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row>
    <row r="119" spans="1:103" s="46" customFormat="1" ht="30" customHeight="1">
      <c r="A119" s="43" t="s">
        <v>76</v>
      </c>
      <c r="B119" s="43" t="s">
        <v>135</v>
      </c>
      <c r="C119" s="43" t="s">
        <v>136</v>
      </c>
      <c r="D119" s="61" t="s">
        <v>71</v>
      </c>
      <c r="E119" s="44"/>
      <c r="F119" s="44"/>
      <c r="G119" s="37">
        <f t="shared" si="6"/>
        <v>0</v>
      </c>
      <c r="H119" s="44"/>
      <c r="I119" s="44"/>
      <c r="J119" s="30">
        <f t="shared" si="5"/>
        <v>0</v>
      </c>
      <c r="K119" s="38">
        <f>K120+K210+K216</f>
        <v>117538413</v>
      </c>
      <c r="L119" s="38">
        <f>L120+L210+L216</f>
        <v>200000</v>
      </c>
      <c r="M119" s="38">
        <f>M120+M210+M216</f>
        <v>117738413</v>
      </c>
      <c r="N119" s="39">
        <f>N120+N210+N216</f>
        <v>109682.30000000002</v>
      </c>
      <c r="O119" s="12"/>
      <c r="P119" s="41"/>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row>
    <row r="120" spans="1:103" s="69" customFormat="1" ht="20.25">
      <c r="A120" s="62"/>
      <c r="B120" s="62"/>
      <c r="C120" s="62"/>
      <c r="D120" s="61" t="s">
        <v>176</v>
      </c>
      <c r="E120" s="61" t="s">
        <v>176</v>
      </c>
      <c r="F120" s="76"/>
      <c r="G120" s="37">
        <f t="shared" si="6"/>
        <v>0</v>
      </c>
      <c r="H120" s="76"/>
      <c r="I120" s="76"/>
      <c r="J120" s="30">
        <f t="shared" si="5"/>
        <v>0</v>
      </c>
      <c r="K120" s="77">
        <f>SUM(K121:K209)</f>
        <v>36728965</v>
      </c>
      <c r="L120" s="77">
        <f>SUM(L121:L209)</f>
        <v>-200000</v>
      </c>
      <c r="M120" s="77">
        <f>SUM(M121:M209)</f>
        <v>36528965</v>
      </c>
      <c r="N120" s="78">
        <f>SUM(N121:N209)</f>
        <v>28534.6</v>
      </c>
      <c r="O120" s="70"/>
      <c r="P120" s="41"/>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c r="BL120" s="70"/>
      <c r="BM120" s="70"/>
      <c r="BN120" s="70"/>
      <c r="BO120" s="70"/>
      <c r="BP120" s="70"/>
      <c r="BQ120" s="70"/>
      <c r="BR120" s="70"/>
      <c r="BS120" s="70"/>
      <c r="BT120" s="70"/>
      <c r="BU120" s="70"/>
      <c r="BV120" s="70"/>
      <c r="BW120" s="70"/>
      <c r="BX120" s="70"/>
      <c r="BY120" s="70"/>
      <c r="BZ120" s="70"/>
      <c r="CA120" s="70"/>
      <c r="CB120" s="70"/>
      <c r="CC120" s="70"/>
      <c r="CD120" s="70"/>
      <c r="CE120" s="70"/>
      <c r="CF120" s="70"/>
      <c r="CG120" s="70"/>
      <c r="CH120" s="70"/>
      <c r="CI120" s="70"/>
      <c r="CJ120" s="70"/>
      <c r="CK120" s="70"/>
      <c r="CL120" s="70"/>
      <c r="CM120" s="70"/>
      <c r="CN120" s="70"/>
      <c r="CO120" s="70"/>
      <c r="CP120" s="70"/>
      <c r="CQ120" s="70"/>
      <c r="CR120" s="70"/>
      <c r="CS120" s="70"/>
      <c r="CT120" s="70"/>
      <c r="CU120" s="70"/>
      <c r="CV120" s="70"/>
      <c r="CW120" s="70"/>
      <c r="CX120" s="70"/>
      <c r="CY120" s="70"/>
    </row>
    <row r="121" spans="1:103" s="46" customFormat="1" ht="40.5">
      <c r="A121" s="43"/>
      <c r="B121" s="43"/>
      <c r="C121" s="43"/>
      <c r="D121" s="44" t="s">
        <v>177</v>
      </c>
      <c r="E121" s="44" t="s">
        <v>177</v>
      </c>
      <c r="F121" s="79">
        <v>28556946</v>
      </c>
      <c r="G121" s="37">
        <f>ROUND(F121/1000,1)</f>
        <v>28556.9</v>
      </c>
      <c r="H121" s="80">
        <v>84.5</v>
      </c>
      <c r="I121" s="79">
        <v>24123406</v>
      </c>
      <c r="J121" s="81">
        <f t="shared" si="5"/>
        <v>24123.4</v>
      </c>
      <c r="K121" s="45">
        <v>3000000</v>
      </c>
      <c r="L121" s="58"/>
      <c r="M121" s="45">
        <f t="shared" si="4"/>
        <v>3000000</v>
      </c>
      <c r="N121" s="4">
        <f t="shared" si="7"/>
        <v>3000</v>
      </c>
      <c r="O121" s="12"/>
      <c r="P121" s="41"/>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row>
    <row r="122" spans="1:103" s="46" customFormat="1" ht="42" customHeight="1">
      <c r="A122" s="43"/>
      <c r="B122" s="43"/>
      <c r="C122" s="43"/>
      <c r="D122" s="44" t="s">
        <v>178</v>
      </c>
      <c r="E122" s="44" t="s">
        <v>178</v>
      </c>
      <c r="F122" s="79"/>
      <c r="G122" s="37">
        <f t="shared" si="6"/>
        <v>0</v>
      </c>
      <c r="H122" s="80"/>
      <c r="I122" s="79"/>
      <c r="J122" s="81">
        <f t="shared" si="5"/>
        <v>0</v>
      </c>
      <c r="K122" s="45">
        <f>12350000-2000000-30000</f>
        <v>10320000</v>
      </c>
      <c r="L122" s="45">
        <v>-400000</v>
      </c>
      <c r="M122" s="45">
        <f t="shared" si="4"/>
        <v>9920000</v>
      </c>
      <c r="N122" s="4">
        <f>ROUND(M122/1000,1)-8000-145.2</f>
        <v>1774.8</v>
      </c>
      <c r="O122" s="12"/>
      <c r="P122" s="41"/>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row>
    <row r="123" spans="1:103" s="46" customFormat="1" ht="42" customHeight="1">
      <c r="A123" s="43"/>
      <c r="B123" s="43"/>
      <c r="C123" s="43"/>
      <c r="D123" s="44" t="s">
        <v>386</v>
      </c>
      <c r="E123" s="44" t="s">
        <v>179</v>
      </c>
      <c r="F123" s="79">
        <v>55700800</v>
      </c>
      <c r="G123" s="37">
        <f t="shared" si="6"/>
        <v>55700.8</v>
      </c>
      <c r="H123" s="80">
        <v>65.4</v>
      </c>
      <c r="I123" s="79">
        <v>36425600</v>
      </c>
      <c r="J123" s="81">
        <f t="shared" si="5"/>
        <v>36425.6</v>
      </c>
      <c r="K123" s="45">
        <v>5000000</v>
      </c>
      <c r="L123" s="58"/>
      <c r="M123" s="45">
        <f t="shared" si="4"/>
        <v>5000000</v>
      </c>
      <c r="N123" s="4">
        <f t="shared" si="7"/>
        <v>5000</v>
      </c>
      <c r="O123" s="12"/>
      <c r="P123" s="41"/>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row>
    <row r="124" spans="1:103" s="46" customFormat="1" ht="25.5" customHeight="1">
      <c r="A124" s="43"/>
      <c r="B124" s="43"/>
      <c r="C124" s="43"/>
      <c r="D124" s="44" t="s">
        <v>180</v>
      </c>
      <c r="E124" s="44" t="s">
        <v>180</v>
      </c>
      <c r="F124" s="79">
        <v>12997832</v>
      </c>
      <c r="G124" s="37">
        <f t="shared" si="6"/>
        <v>12997.8</v>
      </c>
      <c r="H124" s="80">
        <v>29</v>
      </c>
      <c r="I124" s="79">
        <v>3769686</v>
      </c>
      <c r="J124" s="81">
        <f t="shared" si="5"/>
        <v>3769.7</v>
      </c>
      <c r="K124" s="45">
        <v>500000</v>
      </c>
      <c r="L124" s="58"/>
      <c r="M124" s="45">
        <f t="shared" si="4"/>
        <v>500000</v>
      </c>
      <c r="N124" s="4">
        <f t="shared" si="7"/>
        <v>500</v>
      </c>
      <c r="O124" s="12"/>
      <c r="P124" s="41"/>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row>
    <row r="125" spans="1:103" s="46" customFormat="1" ht="40.5">
      <c r="A125" s="43"/>
      <c r="B125" s="43"/>
      <c r="C125" s="43"/>
      <c r="D125" s="44" t="s">
        <v>181</v>
      </c>
      <c r="E125" s="44" t="s">
        <v>181</v>
      </c>
      <c r="F125" s="79">
        <v>9888427</v>
      </c>
      <c r="G125" s="37">
        <f t="shared" si="6"/>
        <v>9888.4</v>
      </c>
      <c r="H125" s="80">
        <v>97.9</v>
      </c>
      <c r="I125" s="79">
        <v>9684425</v>
      </c>
      <c r="J125" s="81">
        <f t="shared" si="5"/>
        <v>9684.4</v>
      </c>
      <c r="K125" s="45">
        <f>5000000-3000000</f>
        <v>2000000</v>
      </c>
      <c r="L125" s="58"/>
      <c r="M125" s="45">
        <f t="shared" si="4"/>
        <v>2000000</v>
      </c>
      <c r="N125" s="4">
        <f t="shared" si="7"/>
        <v>2000</v>
      </c>
      <c r="O125" s="12"/>
      <c r="P125" s="41"/>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row>
    <row r="126" spans="1:103" s="46" customFormat="1" ht="40.5">
      <c r="A126" s="43"/>
      <c r="B126" s="43"/>
      <c r="C126" s="43"/>
      <c r="D126" s="82" t="s">
        <v>182</v>
      </c>
      <c r="E126" s="82" t="s">
        <v>182</v>
      </c>
      <c r="F126" s="79"/>
      <c r="G126" s="37">
        <f t="shared" si="6"/>
        <v>0</v>
      </c>
      <c r="H126" s="80"/>
      <c r="I126" s="79"/>
      <c r="J126" s="81">
        <f t="shared" si="5"/>
        <v>0</v>
      </c>
      <c r="K126" s="45">
        <v>1500000</v>
      </c>
      <c r="L126" s="58"/>
      <c r="M126" s="45">
        <f t="shared" si="4"/>
        <v>1500000</v>
      </c>
      <c r="N126" s="4">
        <f t="shared" si="7"/>
        <v>1500</v>
      </c>
      <c r="O126" s="12"/>
      <c r="P126" s="41"/>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row>
    <row r="127" spans="1:103" s="46" customFormat="1" ht="40.5">
      <c r="A127" s="43"/>
      <c r="B127" s="43"/>
      <c r="C127" s="43"/>
      <c r="D127" s="44" t="s">
        <v>183</v>
      </c>
      <c r="E127" s="44" t="s">
        <v>183</v>
      </c>
      <c r="F127" s="79">
        <v>2186292</v>
      </c>
      <c r="G127" s="37">
        <f t="shared" si="6"/>
        <v>2186.3</v>
      </c>
      <c r="H127" s="80">
        <v>30.7</v>
      </c>
      <c r="I127" s="79">
        <v>670994</v>
      </c>
      <c r="J127" s="81">
        <f t="shared" si="5"/>
        <v>671</v>
      </c>
      <c r="K127" s="45">
        <v>500000</v>
      </c>
      <c r="L127" s="58"/>
      <c r="M127" s="45">
        <f t="shared" si="4"/>
        <v>500000</v>
      </c>
      <c r="N127" s="4">
        <f t="shared" si="7"/>
        <v>500</v>
      </c>
      <c r="O127" s="12"/>
      <c r="P127" s="41"/>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row>
    <row r="128" spans="1:103" s="46" customFormat="1" ht="26.25" customHeight="1">
      <c r="A128" s="43"/>
      <c r="B128" s="43"/>
      <c r="C128" s="43"/>
      <c r="D128" s="82" t="s">
        <v>261</v>
      </c>
      <c r="E128" s="82" t="s">
        <v>261</v>
      </c>
      <c r="F128" s="79"/>
      <c r="G128" s="37">
        <f t="shared" si="6"/>
        <v>0</v>
      </c>
      <c r="H128" s="80"/>
      <c r="I128" s="79"/>
      <c r="J128" s="81">
        <f t="shared" si="5"/>
        <v>0</v>
      </c>
      <c r="K128" s="45">
        <v>500000</v>
      </c>
      <c r="L128" s="45"/>
      <c r="M128" s="45">
        <f t="shared" si="4"/>
        <v>500000</v>
      </c>
      <c r="N128" s="4">
        <f t="shared" si="7"/>
        <v>500</v>
      </c>
      <c r="O128" s="12"/>
      <c r="P128" s="41"/>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row>
    <row r="129" spans="1:103" s="46" customFormat="1" ht="35.25" customHeight="1">
      <c r="A129" s="43"/>
      <c r="B129" s="43"/>
      <c r="C129" s="43"/>
      <c r="D129" s="44" t="s">
        <v>184</v>
      </c>
      <c r="E129" s="44" t="s">
        <v>184</v>
      </c>
      <c r="F129" s="79">
        <v>41125371</v>
      </c>
      <c r="G129" s="37">
        <f t="shared" si="6"/>
        <v>41125.4</v>
      </c>
      <c r="H129" s="80">
        <v>54.2</v>
      </c>
      <c r="I129" s="79">
        <v>22273896</v>
      </c>
      <c r="J129" s="81">
        <f t="shared" si="5"/>
        <v>22273.9</v>
      </c>
      <c r="K129" s="45">
        <f>5000000-3000000</f>
        <v>2000000</v>
      </c>
      <c r="L129" s="58"/>
      <c r="M129" s="45">
        <f t="shared" si="4"/>
        <v>2000000</v>
      </c>
      <c r="N129" s="4">
        <f t="shared" si="7"/>
        <v>2000</v>
      </c>
      <c r="O129" s="12"/>
      <c r="P129" s="41"/>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row>
    <row r="130" spans="1:103" s="46" customFormat="1" ht="39.75" customHeight="1">
      <c r="A130" s="43"/>
      <c r="B130" s="43"/>
      <c r="C130" s="43"/>
      <c r="D130" s="44" t="s">
        <v>377</v>
      </c>
      <c r="E130" s="44" t="s">
        <v>260</v>
      </c>
      <c r="F130" s="79"/>
      <c r="G130" s="37">
        <f t="shared" si="6"/>
        <v>0</v>
      </c>
      <c r="H130" s="80"/>
      <c r="I130" s="79"/>
      <c r="J130" s="81">
        <f t="shared" si="5"/>
        <v>0</v>
      </c>
      <c r="K130" s="45">
        <v>850000</v>
      </c>
      <c r="L130" s="45"/>
      <c r="M130" s="45">
        <f t="shared" si="4"/>
        <v>850000</v>
      </c>
      <c r="N130" s="4">
        <f t="shared" si="7"/>
        <v>850</v>
      </c>
      <c r="O130" s="12"/>
      <c r="P130" s="41"/>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row>
    <row r="131" spans="1:103" s="46" customFormat="1" ht="40.5">
      <c r="A131" s="43"/>
      <c r="B131" s="43"/>
      <c r="C131" s="43"/>
      <c r="D131" s="44" t="s">
        <v>287</v>
      </c>
      <c r="E131" s="44" t="s">
        <v>287</v>
      </c>
      <c r="F131" s="79"/>
      <c r="G131" s="37">
        <f t="shared" si="6"/>
        <v>0</v>
      </c>
      <c r="H131" s="80"/>
      <c r="I131" s="79"/>
      <c r="J131" s="81">
        <f t="shared" si="5"/>
        <v>0</v>
      </c>
      <c r="K131" s="45">
        <v>100000</v>
      </c>
      <c r="L131" s="45"/>
      <c r="M131" s="45">
        <f t="shared" si="4"/>
        <v>100000</v>
      </c>
      <c r="N131" s="4">
        <f t="shared" si="7"/>
        <v>100</v>
      </c>
      <c r="O131" s="12"/>
      <c r="P131" s="41"/>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row>
    <row r="132" spans="1:103" s="46" customFormat="1" ht="40.5">
      <c r="A132" s="43"/>
      <c r="B132" s="43"/>
      <c r="C132" s="43"/>
      <c r="D132" s="44" t="s">
        <v>245</v>
      </c>
      <c r="E132" s="44" t="s">
        <v>245</v>
      </c>
      <c r="F132" s="79"/>
      <c r="G132" s="37">
        <f t="shared" si="6"/>
        <v>0</v>
      </c>
      <c r="H132" s="80"/>
      <c r="I132" s="79"/>
      <c r="J132" s="81">
        <f t="shared" si="5"/>
        <v>0</v>
      </c>
      <c r="K132" s="45">
        <v>100000</v>
      </c>
      <c r="L132" s="58"/>
      <c r="M132" s="45">
        <f t="shared" si="4"/>
        <v>100000</v>
      </c>
      <c r="N132" s="4">
        <f t="shared" si="7"/>
        <v>100</v>
      </c>
      <c r="O132" s="12"/>
      <c r="P132" s="41"/>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row>
    <row r="133" spans="1:103" s="46" customFormat="1" ht="20.25">
      <c r="A133" s="43"/>
      <c r="B133" s="43"/>
      <c r="C133" s="43"/>
      <c r="D133" s="44" t="s">
        <v>185</v>
      </c>
      <c r="E133" s="44" t="s">
        <v>185</v>
      </c>
      <c r="F133" s="79"/>
      <c r="G133" s="37">
        <f t="shared" si="6"/>
        <v>0</v>
      </c>
      <c r="H133" s="80"/>
      <c r="I133" s="79"/>
      <c r="J133" s="81">
        <f t="shared" si="5"/>
        <v>0</v>
      </c>
      <c r="K133" s="45">
        <v>500000</v>
      </c>
      <c r="L133" s="58"/>
      <c r="M133" s="45">
        <f t="shared" si="4"/>
        <v>500000</v>
      </c>
      <c r="N133" s="4">
        <f t="shared" si="7"/>
        <v>500</v>
      </c>
      <c r="O133" s="12"/>
      <c r="P133" s="41"/>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row>
    <row r="134" spans="1:103" s="46" customFormat="1" ht="20.25">
      <c r="A134" s="43"/>
      <c r="B134" s="43"/>
      <c r="C134" s="43"/>
      <c r="D134" s="44" t="s">
        <v>395</v>
      </c>
      <c r="E134" s="44"/>
      <c r="F134" s="79"/>
      <c r="G134" s="37"/>
      <c r="H134" s="80"/>
      <c r="I134" s="79"/>
      <c r="J134" s="81"/>
      <c r="K134" s="45"/>
      <c r="L134" s="58"/>
      <c r="M134" s="45"/>
      <c r="N134" s="4">
        <v>100</v>
      </c>
      <c r="O134" s="12"/>
      <c r="P134" s="41"/>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row>
    <row r="135" spans="1:103" s="46" customFormat="1" ht="37.5" customHeight="1">
      <c r="A135" s="43"/>
      <c r="B135" s="43"/>
      <c r="C135" s="43"/>
      <c r="D135" s="44" t="s">
        <v>396</v>
      </c>
      <c r="E135" s="44"/>
      <c r="F135" s="79"/>
      <c r="G135" s="37"/>
      <c r="H135" s="80"/>
      <c r="I135" s="79"/>
      <c r="J135" s="81"/>
      <c r="K135" s="45"/>
      <c r="L135" s="58"/>
      <c r="M135" s="45"/>
      <c r="N135" s="4">
        <v>2000</v>
      </c>
      <c r="O135" s="12"/>
      <c r="P135" s="41"/>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row>
    <row r="136" spans="1:103" s="46" customFormat="1" ht="40.5">
      <c r="A136" s="43"/>
      <c r="B136" s="43"/>
      <c r="C136" s="43"/>
      <c r="D136" s="44" t="s">
        <v>186</v>
      </c>
      <c r="E136" s="44" t="s">
        <v>186</v>
      </c>
      <c r="F136" s="79"/>
      <c r="G136" s="37">
        <f t="shared" si="6"/>
        <v>0</v>
      </c>
      <c r="H136" s="80"/>
      <c r="I136" s="79"/>
      <c r="J136" s="81">
        <f t="shared" si="5"/>
        <v>0</v>
      </c>
      <c r="K136" s="45">
        <f>4200000+1070000</f>
        <v>5270000</v>
      </c>
      <c r="L136" s="83">
        <f>-250000-300000-100000-100000-1250000</f>
        <v>-2000000</v>
      </c>
      <c r="M136" s="45">
        <f t="shared" si="4"/>
        <v>3270000</v>
      </c>
      <c r="N136" s="4">
        <f>ROUND(M136/1000,1)-2000-72.4</f>
        <v>1197.6</v>
      </c>
      <c r="O136" s="12"/>
      <c r="P136" s="41"/>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row>
    <row r="137" spans="1:103" s="46" customFormat="1" ht="48" customHeight="1">
      <c r="A137" s="43"/>
      <c r="B137" s="43"/>
      <c r="C137" s="43"/>
      <c r="D137" s="44" t="s">
        <v>324</v>
      </c>
      <c r="E137" s="44" t="s">
        <v>324</v>
      </c>
      <c r="F137" s="79"/>
      <c r="G137" s="37">
        <f t="shared" si="6"/>
        <v>0</v>
      </c>
      <c r="H137" s="80"/>
      <c r="I137" s="79"/>
      <c r="J137" s="81">
        <f t="shared" si="5"/>
        <v>0</v>
      </c>
      <c r="K137" s="45">
        <v>50000</v>
      </c>
      <c r="L137" s="83"/>
      <c r="M137" s="45">
        <f t="shared" si="4"/>
        <v>50000</v>
      </c>
      <c r="N137" s="4">
        <f t="shared" si="7"/>
        <v>50</v>
      </c>
      <c r="O137" s="12"/>
      <c r="P137" s="41"/>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row>
    <row r="138" spans="1:103" s="46" customFormat="1" ht="48" customHeight="1">
      <c r="A138" s="43"/>
      <c r="B138" s="43"/>
      <c r="C138" s="43"/>
      <c r="D138" s="44" t="s">
        <v>307</v>
      </c>
      <c r="E138" s="44" t="s">
        <v>307</v>
      </c>
      <c r="F138" s="79"/>
      <c r="G138" s="37">
        <f t="shared" si="6"/>
        <v>0</v>
      </c>
      <c r="H138" s="80"/>
      <c r="I138" s="79"/>
      <c r="J138" s="81">
        <f t="shared" si="5"/>
        <v>0</v>
      </c>
      <c r="K138" s="45">
        <v>50000</v>
      </c>
      <c r="L138" s="83"/>
      <c r="M138" s="45">
        <f t="shared" si="4"/>
        <v>50000</v>
      </c>
      <c r="N138" s="4">
        <f t="shared" si="7"/>
        <v>50</v>
      </c>
      <c r="O138" s="12"/>
      <c r="P138" s="41"/>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row>
    <row r="139" spans="1:103" s="46" customFormat="1" ht="48" customHeight="1">
      <c r="A139" s="43"/>
      <c r="B139" s="43"/>
      <c r="C139" s="43"/>
      <c r="D139" s="44" t="s">
        <v>308</v>
      </c>
      <c r="E139" s="44" t="s">
        <v>308</v>
      </c>
      <c r="F139" s="79"/>
      <c r="G139" s="37">
        <f t="shared" si="6"/>
        <v>0</v>
      </c>
      <c r="H139" s="80"/>
      <c r="I139" s="79"/>
      <c r="J139" s="81">
        <f t="shared" si="5"/>
        <v>0</v>
      </c>
      <c r="K139" s="45">
        <v>50000</v>
      </c>
      <c r="L139" s="83"/>
      <c r="M139" s="45">
        <f t="shared" si="4"/>
        <v>50000</v>
      </c>
      <c r="N139" s="4">
        <f t="shared" si="7"/>
        <v>50</v>
      </c>
      <c r="O139" s="12"/>
      <c r="P139" s="41"/>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row>
    <row r="140" spans="1:103" s="46" customFormat="1" ht="48" customHeight="1">
      <c r="A140" s="43"/>
      <c r="B140" s="43"/>
      <c r="C140" s="43"/>
      <c r="D140" s="44" t="s">
        <v>309</v>
      </c>
      <c r="E140" s="44" t="s">
        <v>309</v>
      </c>
      <c r="F140" s="79"/>
      <c r="G140" s="37">
        <f t="shared" si="6"/>
        <v>0</v>
      </c>
      <c r="H140" s="80"/>
      <c r="I140" s="79"/>
      <c r="J140" s="81">
        <f t="shared" si="5"/>
        <v>0</v>
      </c>
      <c r="K140" s="45">
        <v>65000</v>
      </c>
      <c r="L140" s="83"/>
      <c r="M140" s="45">
        <f t="shared" si="4"/>
        <v>65000</v>
      </c>
      <c r="N140" s="4">
        <f t="shared" si="7"/>
        <v>65</v>
      </c>
      <c r="O140" s="12"/>
      <c r="P140" s="41"/>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row>
    <row r="141" spans="1:103" s="46" customFormat="1" ht="48" customHeight="1">
      <c r="A141" s="43"/>
      <c r="B141" s="43"/>
      <c r="C141" s="43"/>
      <c r="D141" s="44" t="s">
        <v>310</v>
      </c>
      <c r="E141" s="44" t="s">
        <v>310</v>
      </c>
      <c r="F141" s="79"/>
      <c r="G141" s="37">
        <f t="shared" si="6"/>
        <v>0</v>
      </c>
      <c r="H141" s="80"/>
      <c r="I141" s="79"/>
      <c r="J141" s="81">
        <f t="shared" si="5"/>
        <v>0</v>
      </c>
      <c r="K141" s="45">
        <v>35000</v>
      </c>
      <c r="L141" s="83"/>
      <c r="M141" s="45">
        <f t="shared" si="4"/>
        <v>35000</v>
      </c>
      <c r="N141" s="4">
        <f t="shared" si="7"/>
        <v>35</v>
      </c>
      <c r="O141" s="12"/>
      <c r="P141" s="41"/>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row>
    <row r="142" spans="1:103" s="46" customFormat="1" ht="48" customHeight="1">
      <c r="A142" s="43"/>
      <c r="B142" s="43"/>
      <c r="C142" s="43"/>
      <c r="D142" s="2" t="s">
        <v>319</v>
      </c>
      <c r="E142" s="2" t="s">
        <v>319</v>
      </c>
      <c r="F142" s="79"/>
      <c r="G142" s="37">
        <f t="shared" si="6"/>
        <v>0</v>
      </c>
      <c r="H142" s="80"/>
      <c r="I142" s="79"/>
      <c r="J142" s="81">
        <f t="shared" si="5"/>
        <v>0</v>
      </c>
      <c r="K142" s="45">
        <v>100000</v>
      </c>
      <c r="L142" s="83"/>
      <c r="M142" s="45">
        <f t="shared" si="4"/>
        <v>100000</v>
      </c>
      <c r="N142" s="4">
        <f t="shared" si="7"/>
        <v>100</v>
      </c>
      <c r="O142" s="12"/>
      <c r="P142" s="41"/>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row>
    <row r="143" spans="1:103" s="46" customFormat="1" ht="48" customHeight="1">
      <c r="A143" s="43"/>
      <c r="B143" s="43"/>
      <c r="C143" s="43"/>
      <c r="D143" s="44" t="s">
        <v>311</v>
      </c>
      <c r="E143" s="44" t="s">
        <v>311</v>
      </c>
      <c r="F143" s="79"/>
      <c r="G143" s="37">
        <f t="shared" si="6"/>
        <v>0</v>
      </c>
      <c r="H143" s="80"/>
      <c r="I143" s="79"/>
      <c r="J143" s="81">
        <f t="shared" si="5"/>
        <v>0</v>
      </c>
      <c r="K143" s="45">
        <v>50000</v>
      </c>
      <c r="L143" s="83"/>
      <c r="M143" s="45">
        <f t="shared" si="4"/>
        <v>50000</v>
      </c>
      <c r="N143" s="4">
        <f t="shared" si="7"/>
        <v>50</v>
      </c>
      <c r="O143" s="12"/>
      <c r="P143" s="41"/>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row>
    <row r="144" spans="1:103" s="46" customFormat="1" ht="38.25" customHeight="1">
      <c r="A144" s="43"/>
      <c r="B144" s="43"/>
      <c r="C144" s="43"/>
      <c r="D144" s="44" t="s">
        <v>312</v>
      </c>
      <c r="E144" s="44" t="s">
        <v>312</v>
      </c>
      <c r="F144" s="79"/>
      <c r="G144" s="37">
        <f t="shared" si="6"/>
        <v>0</v>
      </c>
      <c r="H144" s="80"/>
      <c r="I144" s="79"/>
      <c r="J144" s="81">
        <f t="shared" si="5"/>
        <v>0</v>
      </c>
      <c r="K144" s="45">
        <v>50000</v>
      </c>
      <c r="L144" s="83"/>
      <c r="M144" s="45">
        <f t="shared" si="4"/>
        <v>50000</v>
      </c>
      <c r="N144" s="4">
        <f t="shared" si="7"/>
        <v>50</v>
      </c>
      <c r="O144" s="12"/>
      <c r="P144" s="41"/>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row>
    <row r="145" spans="1:103" s="46" customFormat="1" ht="38.25" customHeight="1">
      <c r="A145" s="43"/>
      <c r="B145" s="43"/>
      <c r="C145" s="43"/>
      <c r="D145" s="44" t="s">
        <v>341</v>
      </c>
      <c r="E145" s="44" t="s">
        <v>341</v>
      </c>
      <c r="F145" s="79"/>
      <c r="G145" s="37">
        <f t="shared" si="6"/>
        <v>0</v>
      </c>
      <c r="H145" s="80"/>
      <c r="I145" s="79"/>
      <c r="J145" s="81">
        <f t="shared" si="5"/>
        <v>0</v>
      </c>
      <c r="K145" s="45"/>
      <c r="L145" s="83">
        <v>100000</v>
      </c>
      <c r="M145" s="45">
        <f t="shared" si="4"/>
        <v>100000</v>
      </c>
      <c r="N145" s="4">
        <f t="shared" si="7"/>
        <v>100</v>
      </c>
      <c r="O145" s="12"/>
      <c r="P145" s="41"/>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row>
    <row r="146" spans="1:103" s="46" customFormat="1" ht="38.25" customHeight="1">
      <c r="A146" s="43"/>
      <c r="B146" s="43"/>
      <c r="C146" s="43"/>
      <c r="D146" s="44" t="s">
        <v>359</v>
      </c>
      <c r="E146" s="44" t="s">
        <v>359</v>
      </c>
      <c r="F146" s="79"/>
      <c r="G146" s="37">
        <f t="shared" si="6"/>
        <v>0</v>
      </c>
      <c r="H146" s="80"/>
      <c r="I146" s="79"/>
      <c r="J146" s="81">
        <f t="shared" si="5"/>
        <v>0</v>
      </c>
      <c r="K146" s="45"/>
      <c r="L146" s="83">
        <v>50000</v>
      </c>
      <c r="M146" s="45">
        <f t="shared" si="4"/>
        <v>50000</v>
      </c>
      <c r="N146" s="4">
        <f t="shared" si="7"/>
        <v>50</v>
      </c>
      <c r="O146" s="12"/>
      <c r="P146" s="41"/>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row>
    <row r="147" spans="1:103" s="46" customFormat="1" ht="38.25" customHeight="1">
      <c r="A147" s="43"/>
      <c r="B147" s="43"/>
      <c r="C147" s="43"/>
      <c r="D147" s="44" t="s">
        <v>313</v>
      </c>
      <c r="E147" s="44" t="s">
        <v>313</v>
      </c>
      <c r="F147" s="79"/>
      <c r="G147" s="37">
        <f t="shared" si="6"/>
        <v>0</v>
      </c>
      <c r="H147" s="80"/>
      <c r="I147" s="79"/>
      <c r="J147" s="81">
        <f t="shared" si="5"/>
        <v>0</v>
      </c>
      <c r="K147" s="45">
        <v>50000</v>
      </c>
      <c r="L147" s="83"/>
      <c r="M147" s="45">
        <f t="shared" si="4"/>
        <v>50000</v>
      </c>
      <c r="N147" s="4">
        <f t="shared" si="7"/>
        <v>50</v>
      </c>
      <c r="O147" s="12"/>
      <c r="P147" s="41"/>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12"/>
    </row>
    <row r="148" spans="1:103" s="46" customFormat="1" ht="40.5" customHeight="1">
      <c r="A148" s="43"/>
      <c r="B148" s="43"/>
      <c r="C148" s="43"/>
      <c r="D148" s="44" t="s">
        <v>314</v>
      </c>
      <c r="E148" s="44" t="s">
        <v>314</v>
      </c>
      <c r="F148" s="79"/>
      <c r="G148" s="37">
        <f t="shared" si="6"/>
        <v>0</v>
      </c>
      <c r="H148" s="80"/>
      <c r="I148" s="79"/>
      <c r="J148" s="81">
        <f t="shared" si="5"/>
        <v>0</v>
      </c>
      <c r="K148" s="45">
        <v>50000</v>
      </c>
      <c r="L148" s="83"/>
      <c r="M148" s="45">
        <f t="shared" si="4"/>
        <v>50000</v>
      </c>
      <c r="N148" s="4">
        <f t="shared" si="7"/>
        <v>50</v>
      </c>
      <c r="O148" s="12"/>
      <c r="P148" s="41"/>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c r="CV148" s="12"/>
      <c r="CW148" s="12"/>
      <c r="CX148" s="12"/>
      <c r="CY148" s="12"/>
    </row>
    <row r="149" spans="1:103" s="46" customFormat="1" ht="40.5" customHeight="1">
      <c r="A149" s="43"/>
      <c r="B149" s="43"/>
      <c r="C149" s="43"/>
      <c r="D149" s="44" t="s">
        <v>315</v>
      </c>
      <c r="E149" s="44" t="s">
        <v>315</v>
      </c>
      <c r="F149" s="79"/>
      <c r="G149" s="37">
        <f t="shared" si="6"/>
        <v>0</v>
      </c>
      <c r="H149" s="80"/>
      <c r="I149" s="79"/>
      <c r="J149" s="81">
        <f aca="true" t="shared" si="8" ref="J149:J211">ROUND(I149/1000,1)</f>
        <v>0</v>
      </c>
      <c r="K149" s="45">
        <v>50000</v>
      </c>
      <c r="L149" s="83"/>
      <c r="M149" s="45">
        <f t="shared" si="4"/>
        <v>50000</v>
      </c>
      <c r="N149" s="4">
        <f t="shared" si="7"/>
        <v>50</v>
      </c>
      <c r="O149" s="12"/>
      <c r="P149" s="41"/>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12"/>
    </row>
    <row r="150" spans="1:103" s="46" customFormat="1" ht="40.5" customHeight="1">
      <c r="A150" s="43"/>
      <c r="B150" s="43"/>
      <c r="C150" s="43"/>
      <c r="D150" s="44" t="s">
        <v>316</v>
      </c>
      <c r="E150" s="44" t="s">
        <v>316</v>
      </c>
      <c r="F150" s="79"/>
      <c r="G150" s="37">
        <f aca="true" t="shared" si="9" ref="G150:G212">ROUND(F150/1000,1)</f>
        <v>0</v>
      </c>
      <c r="H150" s="80"/>
      <c r="I150" s="79"/>
      <c r="J150" s="81">
        <f t="shared" si="8"/>
        <v>0</v>
      </c>
      <c r="K150" s="45">
        <v>50000</v>
      </c>
      <c r="L150" s="83"/>
      <c r="M150" s="45">
        <f t="shared" si="4"/>
        <v>50000</v>
      </c>
      <c r="N150" s="4">
        <f aca="true" t="shared" si="10" ref="N150:N212">ROUND(M150/1000,1)</f>
        <v>50</v>
      </c>
      <c r="O150" s="12"/>
      <c r="P150" s="41"/>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row>
    <row r="151" spans="1:103" s="46" customFormat="1" ht="40.5" customHeight="1">
      <c r="A151" s="43"/>
      <c r="B151" s="43"/>
      <c r="C151" s="43"/>
      <c r="D151" s="44" t="s">
        <v>317</v>
      </c>
      <c r="E151" s="44" t="s">
        <v>317</v>
      </c>
      <c r="F151" s="79"/>
      <c r="G151" s="37">
        <f t="shared" si="9"/>
        <v>0</v>
      </c>
      <c r="H151" s="80"/>
      <c r="I151" s="79"/>
      <c r="J151" s="81">
        <f t="shared" si="8"/>
        <v>0</v>
      </c>
      <c r="K151" s="45">
        <v>50000</v>
      </c>
      <c r="L151" s="83"/>
      <c r="M151" s="45">
        <f t="shared" si="4"/>
        <v>50000</v>
      </c>
      <c r="N151" s="4">
        <f t="shared" si="10"/>
        <v>50</v>
      </c>
      <c r="O151" s="12"/>
      <c r="P151" s="41"/>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row>
    <row r="152" spans="1:103" s="46" customFormat="1" ht="40.5" customHeight="1">
      <c r="A152" s="43"/>
      <c r="B152" s="43"/>
      <c r="C152" s="43"/>
      <c r="D152" s="44" t="s">
        <v>318</v>
      </c>
      <c r="E152" s="44" t="s">
        <v>318</v>
      </c>
      <c r="F152" s="79"/>
      <c r="G152" s="37">
        <f t="shared" si="9"/>
        <v>0</v>
      </c>
      <c r="H152" s="80"/>
      <c r="I152" s="79"/>
      <c r="J152" s="81">
        <f t="shared" si="8"/>
        <v>0</v>
      </c>
      <c r="K152" s="45">
        <v>50000</v>
      </c>
      <c r="L152" s="83"/>
      <c r="M152" s="45">
        <f t="shared" si="4"/>
        <v>50000</v>
      </c>
      <c r="N152" s="4">
        <f t="shared" si="10"/>
        <v>50</v>
      </c>
      <c r="O152" s="12"/>
      <c r="P152" s="41"/>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row>
    <row r="153" spans="1:103" s="46" customFormat="1" ht="40.5" customHeight="1">
      <c r="A153" s="43"/>
      <c r="B153" s="43"/>
      <c r="C153" s="43"/>
      <c r="D153" s="82" t="s">
        <v>187</v>
      </c>
      <c r="E153" s="82" t="s">
        <v>187</v>
      </c>
      <c r="F153" s="79"/>
      <c r="G153" s="37">
        <f t="shared" si="9"/>
        <v>0</v>
      </c>
      <c r="H153" s="80"/>
      <c r="I153" s="79"/>
      <c r="J153" s="81">
        <f t="shared" si="8"/>
        <v>0</v>
      </c>
      <c r="K153" s="45">
        <v>45000</v>
      </c>
      <c r="L153" s="58"/>
      <c r="M153" s="45">
        <f t="shared" si="4"/>
        <v>45000</v>
      </c>
      <c r="N153" s="4">
        <f>ROUND(M153/1000,1)+27.9</f>
        <v>72.9</v>
      </c>
      <c r="O153" s="12"/>
      <c r="P153" s="41"/>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row>
    <row r="154" spans="1:103" s="46" customFormat="1" ht="40.5" customHeight="1">
      <c r="A154" s="43"/>
      <c r="B154" s="43"/>
      <c r="C154" s="43"/>
      <c r="D154" s="82" t="s">
        <v>397</v>
      </c>
      <c r="E154" s="82"/>
      <c r="F154" s="79"/>
      <c r="G154" s="37"/>
      <c r="H154" s="80"/>
      <c r="I154" s="79"/>
      <c r="J154" s="81"/>
      <c r="K154" s="45"/>
      <c r="L154" s="45"/>
      <c r="M154" s="45"/>
      <c r="N154" s="4">
        <v>50.8</v>
      </c>
      <c r="O154" s="12"/>
      <c r="P154" s="41"/>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row>
    <row r="155" spans="1:103" s="46" customFormat="1" ht="43.5" customHeight="1">
      <c r="A155" s="43"/>
      <c r="B155" s="43"/>
      <c r="C155" s="43"/>
      <c r="D155" s="82" t="s">
        <v>188</v>
      </c>
      <c r="E155" s="82" t="s">
        <v>188</v>
      </c>
      <c r="F155" s="79"/>
      <c r="G155" s="37">
        <f t="shared" si="9"/>
        <v>0</v>
      </c>
      <c r="H155" s="80"/>
      <c r="I155" s="79"/>
      <c r="J155" s="81">
        <f t="shared" si="8"/>
        <v>0</v>
      </c>
      <c r="K155" s="45">
        <f>29703+9047</f>
        <v>38750</v>
      </c>
      <c r="L155" s="45"/>
      <c r="M155" s="45">
        <f t="shared" si="4"/>
        <v>38750</v>
      </c>
      <c r="N155" s="4">
        <f t="shared" si="10"/>
        <v>38.8</v>
      </c>
      <c r="O155" s="12"/>
      <c r="P155" s="41"/>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c r="CV155" s="12"/>
      <c r="CW155" s="12"/>
      <c r="CX155" s="12"/>
      <c r="CY155" s="12"/>
    </row>
    <row r="156" spans="1:103" s="46" customFormat="1" ht="43.5" customHeight="1">
      <c r="A156" s="43"/>
      <c r="B156" s="43"/>
      <c r="C156" s="43"/>
      <c r="D156" s="82" t="s">
        <v>288</v>
      </c>
      <c r="E156" s="82" t="s">
        <v>288</v>
      </c>
      <c r="F156" s="79"/>
      <c r="G156" s="37">
        <f t="shared" si="9"/>
        <v>0</v>
      </c>
      <c r="H156" s="80"/>
      <c r="I156" s="79"/>
      <c r="J156" s="81">
        <f t="shared" si="8"/>
        <v>0</v>
      </c>
      <c r="K156" s="45">
        <v>53229</v>
      </c>
      <c r="L156" s="45"/>
      <c r="M156" s="45">
        <f t="shared" si="4"/>
        <v>53229</v>
      </c>
      <c r="N156" s="4">
        <f t="shared" si="10"/>
        <v>53.2</v>
      </c>
      <c r="O156" s="12"/>
      <c r="P156" s="41"/>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c r="CW156" s="12"/>
      <c r="CX156" s="12"/>
      <c r="CY156" s="12"/>
    </row>
    <row r="157" spans="1:103" s="46" customFormat="1" ht="43.5" customHeight="1">
      <c r="A157" s="43"/>
      <c r="B157" s="43"/>
      <c r="C157" s="43"/>
      <c r="D157" s="82" t="s">
        <v>328</v>
      </c>
      <c r="E157" s="82" t="s">
        <v>328</v>
      </c>
      <c r="F157" s="79"/>
      <c r="G157" s="37">
        <f t="shared" si="9"/>
        <v>0</v>
      </c>
      <c r="H157" s="80"/>
      <c r="I157" s="79"/>
      <c r="J157" s="81">
        <f t="shared" si="8"/>
        <v>0</v>
      </c>
      <c r="K157" s="45"/>
      <c r="L157" s="45">
        <v>50000</v>
      </c>
      <c r="M157" s="45">
        <f t="shared" si="4"/>
        <v>50000</v>
      </c>
      <c r="N157" s="4">
        <f t="shared" si="10"/>
        <v>50</v>
      </c>
      <c r="O157" s="12"/>
      <c r="P157" s="41"/>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c r="CV157" s="12"/>
      <c r="CW157" s="12"/>
      <c r="CX157" s="12"/>
      <c r="CY157" s="12"/>
    </row>
    <row r="158" spans="1:103" s="46" customFormat="1" ht="43.5" customHeight="1">
      <c r="A158" s="43"/>
      <c r="B158" s="43"/>
      <c r="C158" s="43"/>
      <c r="D158" s="82" t="s">
        <v>327</v>
      </c>
      <c r="E158" s="82" t="s">
        <v>327</v>
      </c>
      <c r="F158" s="79"/>
      <c r="G158" s="37">
        <f t="shared" si="9"/>
        <v>0</v>
      </c>
      <c r="H158" s="80"/>
      <c r="I158" s="79"/>
      <c r="J158" s="81">
        <f t="shared" si="8"/>
        <v>0</v>
      </c>
      <c r="K158" s="45"/>
      <c r="L158" s="45">
        <v>50000</v>
      </c>
      <c r="M158" s="45">
        <f t="shared" si="4"/>
        <v>50000</v>
      </c>
      <c r="N158" s="4">
        <f t="shared" si="10"/>
        <v>50</v>
      </c>
      <c r="O158" s="12"/>
      <c r="P158" s="41"/>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c r="CV158" s="12"/>
      <c r="CW158" s="12"/>
      <c r="CX158" s="12"/>
      <c r="CY158" s="12"/>
    </row>
    <row r="159" spans="1:103" s="46" customFormat="1" ht="43.5" customHeight="1">
      <c r="A159" s="43"/>
      <c r="B159" s="43"/>
      <c r="C159" s="43"/>
      <c r="D159" s="82" t="s">
        <v>329</v>
      </c>
      <c r="E159" s="82" t="s">
        <v>329</v>
      </c>
      <c r="F159" s="79"/>
      <c r="G159" s="37">
        <f t="shared" si="9"/>
        <v>0</v>
      </c>
      <c r="H159" s="80"/>
      <c r="I159" s="79"/>
      <c r="J159" s="81">
        <f t="shared" si="8"/>
        <v>0</v>
      </c>
      <c r="K159" s="45"/>
      <c r="L159" s="45">
        <v>50000</v>
      </c>
      <c r="M159" s="45">
        <f t="shared" si="4"/>
        <v>50000</v>
      </c>
      <c r="N159" s="4">
        <f t="shared" si="10"/>
        <v>50</v>
      </c>
      <c r="O159" s="12"/>
      <c r="P159" s="41"/>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c r="CJ159" s="12"/>
      <c r="CK159" s="12"/>
      <c r="CL159" s="12"/>
      <c r="CM159" s="12"/>
      <c r="CN159" s="12"/>
      <c r="CO159" s="12"/>
      <c r="CP159" s="12"/>
      <c r="CQ159" s="12"/>
      <c r="CR159" s="12"/>
      <c r="CS159" s="12"/>
      <c r="CT159" s="12"/>
      <c r="CU159" s="12"/>
      <c r="CV159" s="12"/>
      <c r="CW159" s="12"/>
      <c r="CX159" s="12"/>
      <c r="CY159" s="12"/>
    </row>
    <row r="160" spans="1:103" s="46" customFormat="1" ht="43.5" customHeight="1">
      <c r="A160" s="43"/>
      <c r="B160" s="43"/>
      <c r="C160" s="43"/>
      <c r="D160" s="82" t="s">
        <v>330</v>
      </c>
      <c r="E160" s="82" t="s">
        <v>330</v>
      </c>
      <c r="F160" s="79"/>
      <c r="G160" s="37">
        <f t="shared" si="9"/>
        <v>0</v>
      </c>
      <c r="H160" s="80"/>
      <c r="I160" s="79"/>
      <c r="J160" s="81">
        <f t="shared" si="8"/>
        <v>0</v>
      </c>
      <c r="K160" s="45"/>
      <c r="L160" s="45">
        <v>50000</v>
      </c>
      <c r="M160" s="45">
        <f t="shared" si="4"/>
        <v>50000</v>
      </c>
      <c r="N160" s="4">
        <f t="shared" si="10"/>
        <v>50</v>
      </c>
      <c r="O160" s="12"/>
      <c r="P160" s="41"/>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row>
    <row r="161" spans="1:103" s="46" customFormat="1" ht="43.5" customHeight="1">
      <c r="A161" s="43"/>
      <c r="B161" s="43"/>
      <c r="C161" s="43"/>
      <c r="D161" s="84" t="s">
        <v>338</v>
      </c>
      <c r="E161" s="84" t="s">
        <v>338</v>
      </c>
      <c r="F161" s="79"/>
      <c r="G161" s="37">
        <f t="shared" si="9"/>
        <v>0</v>
      </c>
      <c r="H161" s="80"/>
      <c r="I161" s="79"/>
      <c r="J161" s="81">
        <f t="shared" si="8"/>
        <v>0</v>
      </c>
      <c r="K161" s="45"/>
      <c r="L161" s="45">
        <v>50000</v>
      </c>
      <c r="M161" s="45">
        <f t="shared" si="4"/>
        <v>50000</v>
      </c>
      <c r="N161" s="4">
        <f t="shared" si="10"/>
        <v>50</v>
      </c>
      <c r="O161" s="12"/>
      <c r="P161" s="41"/>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2"/>
      <c r="CG161" s="12"/>
      <c r="CH161" s="12"/>
      <c r="CI161" s="12"/>
      <c r="CJ161" s="12"/>
      <c r="CK161" s="12"/>
      <c r="CL161" s="12"/>
      <c r="CM161" s="12"/>
      <c r="CN161" s="12"/>
      <c r="CO161" s="12"/>
      <c r="CP161" s="12"/>
      <c r="CQ161" s="12"/>
      <c r="CR161" s="12"/>
      <c r="CS161" s="12"/>
      <c r="CT161" s="12"/>
      <c r="CU161" s="12"/>
      <c r="CV161" s="12"/>
      <c r="CW161" s="12"/>
      <c r="CX161" s="12"/>
      <c r="CY161" s="12"/>
    </row>
    <row r="162" spans="1:103" s="46" customFormat="1" ht="43.5" customHeight="1">
      <c r="A162" s="43"/>
      <c r="B162" s="43"/>
      <c r="C162" s="43"/>
      <c r="D162" s="82" t="s">
        <v>339</v>
      </c>
      <c r="E162" s="82" t="s">
        <v>339</v>
      </c>
      <c r="F162" s="79"/>
      <c r="G162" s="37">
        <f t="shared" si="9"/>
        <v>0</v>
      </c>
      <c r="H162" s="80"/>
      <c r="I162" s="79"/>
      <c r="J162" s="81">
        <f t="shared" si="8"/>
        <v>0</v>
      </c>
      <c r="K162" s="45"/>
      <c r="L162" s="45">
        <v>50000</v>
      </c>
      <c r="M162" s="45">
        <f t="shared" si="4"/>
        <v>50000</v>
      </c>
      <c r="N162" s="4">
        <f t="shared" si="10"/>
        <v>50</v>
      </c>
      <c r="O162" s="12"/>
      <c r="P162" s="41"/>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c r="CI162" s="12"/>
      <c r="CJ162" s="12"/>
      <c r="CK162" s="12"/>
      <c r="CL162" s="12"/>
      <c r="CM162" s="12"/>
      <c r="CN162" s="12"/>
      <c r="CO162" s="12"/>
      <c r="CP162" s="12"/>
      <c r="CQ162" s="12"/>
      <c r="CR162" s="12"/>
      <c r="CS162" s="12"/>
      <c r="CT162" s="12"/>
      <c r="CU162" s="12"/>
      <c r="CV162" s="12"/>
      <c r="CW162" s="12"/>
      <c r="CX162" s="12"/>
      <c r="CY162" s="12"/>
    </row>
    <row r="163" spans="1:103" s="46" customFormat="1" ht="43.5" customHeight="1">
      <c r="A163" s="43"/>
      <c r="B163" s="43"/>
      <c r="C163" s="43"/>
      <c r="D163" s="82" t="s">
        <v>331</v>
      </c>
      <c r="E163" s="82" t="s">
        <v>331</v>
      </c>
      <c r="F163" s="79"/>
      <c r="G163" s="37">
        <f t="shared" si="9"/>
        <v>0</v>
      </c>
      <c r="H163" s="80"/>
      <c r="I163" s="79"/>
      <c r="J163" s="81">
        <f t="shared" si="8"/>
        <v>0</v>
      </c>
      <c r="K163" s="45"/>
      <c r="L163" s="45">
        <v>50000</v>
      </c>
      <c r="M163" s="45">
        <f t="shared" si="4"/>
        <v>50000</v>
      </c>
      <c r="N163" s="4">
        <f t="shared" si="10"/>
        <v>50</v>
      </c>
      <c r="O163" s="12"/>
      <c r="P163" s="41"/>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J163" s="12"/>
      <c r="CK163" s="12"/>
      <c r="CL163" s="12"/>
      <c r="CM163" s="12"/>
      <c r="CN163" s="12"/>
      <c r="CO163" s="12"/>
      <c r="CP163" s="12"/>
      <c r="CQ163" s="12"/>
      <c r="CR163" s="12"/>
      <c r="CS163" s="12"/>
      <c r="CT163" s="12"/>
      <c r="CU163" s="12"/>
      <c r="CV163" s="12"/>
      <c r="CW163" s="12"/>
      <c r="CX163" s="12"/>
      <c r="CY163" s="12"/>
    </row>
    <row r="164" spans="1:103" s="46" customFormat="1" ht="43.5" customHeight="1">
      <c r="A164" s="43"/>
      <c r="B164" s="43"/>
      <c r="C164" s="43"/>
      <c r="D164" s="82" t="s">
        <v>332</v>
      </c>
      <c r="E164" s="82" t="s">
        <v>332</v>
      </c>
      <c r="F164" s="79"/>
      <c r="G164" s="37">
        <f t="shared" si="9"/>
        <v>0</v>
      </c>
      <c r="H164" s="80"/>
      <c r="I164" s="79"/>
      <c r="J164" s="81">
        <f t="shared" si="8"/>
        <v>0</v>
      </c>
      <c r="K164" s="45"/>
      <c r="L164" s="45">
        <v>50000</v>
      </c>
      <c r="M164" s="45">
        <f t="shared" si="4"/>
        <v>50000</v>
      </c>
      <c r="N164" s="4">
        <f t="shared" si="10"/>
        <v>50</v>
      </c>
      <c r="O164" s="12"/>
      <c r="P164" s="41"/>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c r="CJ164" s="12"/>
      <c r="CK164" s="12"/>
      <c r="CL164" s="12"/>
      <c r="CM164" s="12"/>
      <c r="CN164" s="12"/>
      <c r="CO164" s="12"/>
      <c r="CP164" s="12"/>
      <c r="CQ164" s="12"/>
      <c r="CR164" s="12"/>
      <c r="CS164" s="12"/>
      <c r="CT164" s="12"/>
      <c r="CU164" s="12"/>
      <c r="CV164" s="12"/>
      <c r="CW164" s="12"/>
      <c r="CX164" s="12"/>
      <c r="CY164" s="12"/>
    </row>
    <row r="165" spans="1:103" s="46" customFormat="1" ht="43.5" customHeight="1">
      <c r="A165" s="43"/>
      <c r="B165" s="43"/>
      <c r="C165" s="43"/>
      <c r="D165" s="82" t="s">
        <v>333</v>
      </c>
      <c r="E165" s="82" t="s">
        <v>333</v>
      </c>
      <c r="F165" s="79"/>
      <c r="G165" s="37">
        <f t="shared" si="9"/>
        <v>0</v>
      </c>
      <c r="H165" s="80"/>
      <c r="I165" s="79"/>
      <c r="J165" s="81">
        <f t="shared" si="8"/>
        <v>0</v>
      </c>
      <c r="K165" s="45"/>
      <c r="L165" s="45">
        <v>50000</v>
      </c>
      <c r="M165" s="45">
        <f t="shared" si="4"/>
        <v>50000</v>
      </c>
      <c r="N165" s="4">
        <f t="shared" si="10"/>
        <v>50</v>
      </c>
      <c r="O165" s="12"/>
      <c r="P165" s="41"/>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c r="CJ165" s="12"/>
      <c r="CK165" s="12"/>
      <c r="CL165" s="12"/>
      <c r="CM165" s="12"/>
      <c r="CN165" s="12"/>
      <c r="CO165" s="12"/>
      <c r="CP165" s="12"/>
      <c r="CQ165" s="12"/>
      <c r="CR165" s="12"/>
      <c r="CS165" s="12"/>
      <c r="CT165" s="12"/>
      <c r="CU165" s="12"/>
      <c r="CV165" s="12"/>
      <c r="CW165" s="12"/>
      <c r="CX165" s="12"/>
      <c r="CY165" s="12"/>
    </row>
    <row r="166" spans="1:103" s="46" customFormat="1" ht="43.5" customHeight="1">
      <c r="A166" s="43"/>
      <c r="B166" s="43"/>
      <c r="C166" s="43"/>
      <c r="D166" s="82" t="s">
        <v>334</v>
      </c>
      <c r="E166" s="82" t="s">
        <v>334</v>
      </c>
      <c r="F166" s="79"/>
      <c r="G166" s="37">
        <f t="shared" si="9"/>
        <v>0</v>
      </c>
      <c r="H166" s="80"/>
      <c r="I166" s="79"/>
      <c r="J166" s="81">
        <f t="shared" si="8"/>
        <v>0</v>
      </c>
      <c r="K166" s="45"/>
      <c r="L166" s="45">
        <v>50000</v>
      </c>
      <c r="M166" s="45">
        <f t="shared" si="4"/>
        <v>50000</v>
      </c>
      <c r="N166" s="4">
        <f t="shared" si="10"/>
        <v>50</v>
      </c>
      <c r="O166" s="12"/>
      <c r="P166" s="41"/>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row>
    <row r="167" spans="1:103" s="46" customFormat="1" ht="36" customHeight="1">
      <c r="A167" s="43"/>
      <c r="B167" s="43"/>
      <c r="C167" s="43"/>
      <c r="D167" s="82" t="s">
        <v>335</v>
      </c>
      <c r="E167" s="82" t="s">
        <v>335</v>
      </c>
      <c r="F167" s="79"/>
      <c r="G167" s="37">
        <f t="shared" si="9"/>
        <v>0</v>
      </c>
      <c r="H167" s="80"/>
      <c r="I167" s="79"/>
      <c r="J167" s="81">
        <f t="shared" si="8"/>
        <v>0</v>
      </c>
      <c r="K167" s="45"/>
      <c r="L167" s="45">
        <v>50000</v>
      </c>
      <c r="M167" s="45">
        <f t="shared" si="4"/>
        <v>50000</v>
      </c>
      <c r="N167" s="4">
        <f t="shared" si="10"/>
        <v>50</v>
      </c>
      <c r="O167" s="12"/>
      <c r="P167" s="41"/>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J167" s="12"/>
      <c r="CK167" s="12"/>
      <c r="CL167" s="12"/>
      <c r="CM167" s="12"/>
      <c r="CN167" s="12"/>
      <c r="CO167" s="12"/>
      <c r="CP167" s="12"/>
      <c r="CQ167" s="12"/>
      <c r="CR167" s="12"/>
      <c r="CS167" s="12"/>
      <c r="CT167" s="12"/>
      <c r="CU167" s="12"/>
      <c r="CV167" s="12"/>
      <c r="CW167" s="12"/>
      <c r="CX167" s="12"/>
      <c r="CY167" s="12"/>
    </row>
    <row r="168" spans="1:103" s="46" customFormat="1" ht="36" customHeight="1">
      <c r="A168" s="43"/>
      <c r="B168" s="43"/>
      <c r="C168" s="43"/>
      <c r="D168" s="82" t="s">
        <v>336</v>
      </c>
      <c r="E168" s="82" t="s">
        <v>336</v>
      </c>
      <c r="F168" s="79"/>
      <c r="G168" s="37">
        <f t="shared" si="9"/>
        <v>0</v>
      </c>
      <c r="H168" s="80"/>
      <c r="I168" s="79"/>
      <c r="J168" s="81">
        <f t="shared" si="8"/>
        <v>0</v>
      </c>
      <c r="K168" s="45"/>
      <c r="L168" s="45">
        <v>50000</v>
      </c>
      <c r="M168" s="45">
        <f t="shared" si="4"/>
        <v>50000</v>
      </c>
      <c r="N168" s="4">
        <f t="shared" si="10"/>
        <v>50</v>
      </c>
      <c r="O168" s="12"/>
      <c r="P168" s="41"/>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c r="CU168" s="12"/>
      <c r="CV168" s="12"/>
      <c r="CW168" s="12"/>
      <c r="CX168" s="12"/>
      <c r="CY168" s="12"/>
    </row>
    <row r="169" spans="1:103" s="46" customFormat="1" ht="36" customHeight="1">
      <c r="A169" s="43"/>
      <c r="B169" s="43"/>
      <c r="C169" s="43"/>
      <c r="D169" s="82" t="s">
        <v>337</v>
      </c>
      <c r="E169" s="82" t="s">
        <v>337</v>
      </c>
      <c r="F169" s="79"/>
      <c r="G169" s="37">
        <f t="shared" si="9"/>
        <v>0</v>
      </c>
      <c r="H169" s="80"/>
      <c r="I169" s="79"/>
      <c r="J169" s="81">
        <f t="shared" si="8"/>
        <v>0</v>
      </c>
      <c r="K169" s="45"/>
      <c r="L169" s="45">
        <v>50000</v>
      </c>
      <c r="M169" s="45">
        <f t="shared" si="4"/>
        <v>50000</v>
      </c>
      <c r="N169" s="4">
        <f t="shared" si="10"/>
        <v>50</v>
      </c>
      <c r="O169" s="12"/>
      <c r="P169" s="41"/>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2"/>
      <c r="CM169" s="12"/>
      <c r="CN169" s="12"/>
      <c r="CO169" s="12"/>
      <c r="CP169" s="12"/>
      <c r="CQ169" s="12"/>
      <c r="CR169" s="12"/>
      <c r="CS169" s="12"/>
      <c r="CT169" s="12"/>
      <c r="CU169" s="12"/>
      <c r="CV169" s="12"/>
      <c r="CW169" s="12"/>
      <c r="CX169" s="12"/>
      <c r="CY169" s="12"/>
    </row>
    <row r="170" spans="1:103" s="46" customFormat="1" ht="36" customHeight="1">
      <c r="A170" s="43"/>
      <c r="B170" s="43"/>
      <c r="C170" s="43"/>
      <c r="D170" s="82" t="s">
        <v>340</v>
      </c>
      <c r="E170" s="82" t="s">
        <v>340</v>
      </c>
      <c r="F170" s="79"/>
      <c r="G170" s="37">
        <f t="shared" si="9"/>
        <v>0</v>
      </c>
      <c r="H170" s="80"/>
      <c r="I170" s="79"/>
      <c r="J170" s="81">
        <f t="shared" si="8"/>
        <v>0</v>
      </c>
      <c r="K170" s="45"/>
      <c r="L170" s="45">
        <v>100000</v>
      </c>
      <c r="M170" s="45">
        <f t="shared" si="4"/>
        <v>100000</v>
      </c>
      <c r="N170" s="4">
        <f t="shared" si="10"/>
        <v>100</v>
      </c>
      <c r="O170" s="12"/>
      <c r="P170" s="41"/>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c r="CU170" s="12"/>
      <c r="CV170" s="12"/>
      <c r="CW170" s="12"/>
      <c r="CX170" s="12"/>
      <c r="CY170" s="12"/>
    </row>
    <row r="171" spans="1:103" s="46" customFormat="1" ht="36" customHeight="1">
      <c r="A171" s="43"/>
      <c r="B171" s="43"/>
      <c r="C171" s="43"/>
      <c r="D171" s="82" t="s">
        <v>343</v>
      </c>
      <c r="E171" s="82" t="s">
        <v>343</v>
      </c>
      <c r="F171" s="79"/>
      <c r="G171" s="37">
        <f t="shared" si="9"/>
        <v>0</v>
      </c>
      <c r="H171" s="80"/>
      <c r="I171" s="79"/>
      <c r="J171" s="81">
        <f t="shared" si="8"/>
        <v>0</v>
      </c>
      <c r="K171" s="45"/>
      <c r="L171" s="45">
        <v>50000</v>
      </c>
      <c r="M171" s="45">
        <f t="shared" si="4"/>
        <v>50000</v>
      </c>
      <c r="N171" s="4">
        <f t="shared" si="10"/>
        <v>50</v>
      </c>
      <c r="O171" s="12"/>
      <c r="P171" s="41"/>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c r="CJ171" s="12"/>
      <c r="CK171" s="12"/>
      <c r="CL171" s="12"/>
      <c r="CM171" s="12"/>
      <c r="CN171" s="12"/>
      <c r="CO171" s="12"/>
      <c r="CP171" s="12"/>
      <c r="CQ171" s="12"/>
      <c r="CR171" s="12"/>
      <c r="CS171" s="12"/>
      <c r="CT171" s="12"/>
      <c r="CU171" s="12"/>
      <c r="CV171" s="12"/>
      <c r="CW171" s="12"/>
      <c r="CX171" s="12"/>
      <c r="CY171" s="12"/>
    </row>
    <row r="172" spans="1:103" s="46" customFormat="1" ht="36" customHeight="1">
      <c r="A172" s="43"/>
      <c r="B172" s="43"/>
      <c r="C172" s="43"/>
      <c r="D172" s="82" t="s">
        <v>344</v>
      </c>
      <c r="E172" s="82" t="s">
        <v>344</v>
      </c>
      <c r="F172" s="79"/>
      <c r="G172" s="37">
        <f t="shared" si="9"/>
        <v>0</v>
      </c>
      <c r="H172" s="80"/>
      <c r="I172" s="79"/>
      <c r="J172" s="81">
        <f t="shared" si="8"/>
        <v>0</v>
      </c>
      <c r="K172" s="45"/>
      <c r="L172" s="45">
        <v>50000</v>
      </c>
      <c r="M172" s="45">
        <f t="shared" si="4"/>
        <v>50000</v>
      </c>
      <c r="N172" s="4">
        <f t="shared" si="10"/>
        <v>50</v>
      </c>
      <c r="O172" s="12"/>
      <c r="P172" s="41"/>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c r="CI172" s="12"/>
      <c r="CJ172" s="12"/>
      <c r="CK172" s="12"/>
      <c r="CL172" s="12"/>
      <c r="CM172" s="12"/>
      <c r="CN172" s="12"/>
      <c r="CO172" s="12"/>
      <c r="CP172" s="12"/>
      <c r="CQ172" s="12"/>
      <c r="CR172" s="12"/>
      <c r="CS172" s="12"/>
      <c r="CT172" s="12"/>
      <c r="CU172" s="12"/>
      <c r="CV172" s="12"/>
      <c r="CW172" s="12"/>
      <c r="CX172" s="12"/>
      <c r="CY172" s="12"/>
    </row>
    <row r="173" spans="1:103" s="46" customFormat="1" ht="36" customHeight="1">
      <c r="A173" s="43"/>
      <c r="B173" s="43"/>
      <c r="C173" s="43"/>
      <c r="D173" s="82" t="s">
        <v>345</v>
      </c>
      <c r="E173" s="82" t="s">
        <v>345</v>
      </c>
      <c r="F173" s="79"/>
      <c r="G173" s="37">
        <f t="shared" si="9"/>
        <v>0</v>
      </c>
      <c r="H173" s="80"/>
      <c r="I173" s="79"/>
      <c r="J173" s="81">
        <f t="shared" si="8"/>
        <v>0</v>
      </c>
      <c r="K173" s="45"/>
      <c r="L173" s="45">
        <v>50000</v>
      </c>
      <c r="M173" s="45">
        <f t="shared" si="4"/>
        <v>50000</v>
      </c>
      <c r="N173" s="4">
        <f t="shared" si="10"/>
        <v>50</v>
      </c>
      <c r="O173" s="12"/>
      <c r="P173" s="41"/>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c r="CG173" s="12"/>
      <c r="CH173" s="12"/>
      <c r="CI173" s="12"/>
      <c r="CJ173" s="12"/>
      <c r="CK173" s="12"/>
      <c r="CL173" s="12"/>
      <c r="CM173" s="12"/>
      <c r="CN173" s="12"/>
      <c r="CO173" s="12"/>
      <c r="CP173" s="12"/>
      <c r="CQ173" s="12"/>
      <c r="CR173" s="12"/>
      <c r="CS173" s="12"/>
      <c r="CT173" s="12"/>
      <c r="CU173" s="12"/>
      <c r="CV173" s="12"/>
      <c r="CW173" s="12"/>
      <c r="CX173" s="12"/>
      <c r="CY173" s="12"/>
    </row>
    <row r="174" spans="1:103" s="46" customFormat="1" ht="36" customHeight="1">
      <c r="A174" s="43"/>
      <c r="B174" s="43"/>
      <c r="C174" s="43"/>
      <c r="D174" s="82" t="s">
        <v>346</v>
      </c>
      <c r="E174" s="82" t="s">
        <v>346</v>
      </c>
      <c r="F174" s="79"/>
      <c r="G174" s="37">
        <f t="shared" si="9"/>
        <v>0</v>
      </c>
      <c r="H174" s="80"/>
      <c r="I174" s="79"/>
      <c r="J174" s="81">
        <f t="shared" si="8"/>
        <v>0</v>
      </c>
      <c r="K174" s="45"/>
      <c r="L174" s="45">
        <v>50000</v>
      </c>
      <c r="M174" s="45">
        <f t="shared" si="4"/>
        <v>50000</v>
      </c>
      <c r="N174" s="4">
        <f t="shared" si="10"/>
        <v>50</v>
      </c>
      <c r="O174" s="12"/>
      <c r="P174" s="41"/>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c r="CT174" s="12"/>
      <c r="CU174" s="12"/>
      <c r="CV174" s="12"/>
      <c r="CW174" s="12"/>
      <c r="CX174" s="12"/>
      <c r="CY174" s="12"/>
    </row>
    <row r="175" spans="1:103" s="46" customFormat="1" ht="42" customHeight="1">
      <c r="A175" s="43"/>
      <c r="B175" s="43"/>
      <c r="C175" s="43"/>
      <c r="D175" s="82" t="s">
        <v>347</v>
      </c>
      <c r="E175" s="82" t="s">
        <v>347</v>
      </c>
      <c r="F175" s="79"/>
      <c r="G175" s="37">
        <f t="shared" si="9"/>
        <v>0</v>
      </c>
      <c r="H175" s="80"/>
      <c r="I175" s="79"/>
      <c r="J175" s="81">
        <f t="shared" si="8"/>
        <v>0</v>
      </c>
      <c r="K175" s="45"/>
      <c r="L175" s="45">
        <v>50000</v>
      </c>
      <c r="M175" s="45">
        <f t="shared" si="4"/>
        <v>50000</v>
      </c>
      <c r="N175" s="4">
        <f t="shared" si="10"/>
        <v>50</v>
      </c>
      <c r="O175" s="12"/>
      <c r="P175" s="41"/>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c r="CC175" s="12"/>
      <c r="CD175" s="12"/>
      <c r="CE175" s="12"/>
      <c r="CF175" s="12"/>
      <c r="CG175" s="12"/>
      <c r="CH175" s="12"/>
      <c r="CI175" s="12"/>
      <c r="CJ175" s="12"/>
      <c r="CK175" s="12"/>
      <c r="CL175" s="12"/>
      <c r="CM175" s="12"/>
      <c r="CN175" s="12"/>
      <c r="CO175" s="12"/>
      <c r="CP175" s="12"/>
      <c r="CQ175" s="12"/>
      <c r="CR175" s="12"/>
      <c r="CS175" s="12"/>
      <c r="CT175" s="12"/>
      <c r="CU175" s="12"/>
      <c r="CV175" s="12"/>
      <c r="CW175" s="12"/>
      <c r="CX175" s="12"/>
      <c r="CY175" s="12"/>
    </row>
    <row r="176" spans="1:103" s="46" customFormat="1" ht="42" customHeight="1">
      <c r="A176" s="43"/>
      <c r="B176" s="43"/>
      <c r="C176" s="43"/>
      <c r="D176" s="82" t="s">
        <v>348</v>
      </c>
      <c r="E176" s="82" t="s">
        <v>348</v>
      </c>
      <c r="F176" s="79"/>
      <c r="G176" s="37">
        <f t="shared" si="9"/>
        <v>0</v>
      </c>
      <c r="H176" s="80"/>
      <c r="I176" s="79"/>
      <c r="J176" s="81">
        <f t="shared" si="8"/>
        <v>0</v>
      </c>
      <c r="K176" s="45"/>
      <c r="L176" s="45">
        <v>50000</v>
      </c>
      <c r="M176" s="45">
        <f t="shared" si="4"/>
        <v>50000</v>
      </c>
      <c r="N176" s="4">
        <f t="shared" si="10"/>
        <v>50</v>
      </c>
      <c r="O176" s="12"/>
      <c r="P176" s="41"/>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c r="CJ176" s="12"/>
      <c r="CK176" s="12"/>
      <c r="CL176" s="12"/>
      <c r="CM176" s="12"/>
      <c r="CN176" s="12"/>
      <c r="CO176" s="12"/>
      <c r="CP176" s="12"/>
      <c r="CQ176" s="12"/>
      <c r="CR176" s="12"/>
      <c r="CS176" s="12"/>
      <c r="CT176" s="12"/>
      <c r="CU176" s="12"/>
      <c r="CV176" s="12"/>
      <c r="CW176" s="12"/>
      <c r="CX176" s="12"/>
      <c r="CY176" s="12"/>
    </row>
    <row r="177" spans="1:103" s="46" customFormat="1" ht="42" customHeight="1">
      <c r="A177" s="43"/>
      <c r="B177" s="43"/>
      <c r="C177" s="43"/>
      <c r="D177" s="82" t="s">
        <v>349</v>
      </c>
      <c r="E177" s="82" t="s">
        <v>349</v>
      </c>
      <c r="F177" s="79"/>
      <c r="G177" s="37">
        <f t="shared" si="9"/>
        <v>0</v>
      </c>
      <c r="H177" s="80"/>
      <c r="I177" s="79"/>
      <c r="J177" s="81">
        <f t="shared" si="8"/>
        <v>0</v>
      </c>
      <c r="K177" s="45"/>
      <c r="L177" s="45">
        <v>50000</v>
      </c>
      <c r="M177" s="45">
        <f t="shared" si="4"/>
        <v>50000</v>
      </c>
      <c r="N177" s="4">
        <f t="shared" si="10"/>
        <v>50</v>
      </c>
      <c r="O177" s="12"/>
      <c r="P177" s="41"/>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12"/>
      <c r="CC177" s="12"/>
      <c r="CD177" s="12"/>
      <c r="CE177" s="12"/>
      <c r="CF177" s="12"/>
      <c r="CG177" s="12"/>
      <c r="CH177" s="12"/>
      <c r="CI177" s="12"/>
      <c r="CJ177" s="12"/>
      <c r="CK177" s="12"/>
      <c r="CL177" s="12"/>
      <c r="CM177" s="12"/>
      <c r="CN177" s="12"/>
      <c r="CO177" s="12"/>
      <c r="CP177" s="12"/>
      <c r="CQ177" s="12"/>
      <c r="CR177" s="12"/>
      <c r="CS177" s="12"/>
      <c r="CT177" s="12"/>
      <c r="CU177" s="12"/>
      <c r="CV177" s="12"/>
      <c r="CW177" s="12"/>
      <c r="CX177" s="12"/>
      <c r="CY177" s="12"/>
    </row>
    <row r="178" spans="1:103" s="46" customFormat="1" ht="42" customHeight="1">
      <c r="A178" s="43"/>
      <c r="B178" s="43"/>
      <c r="C178" s="43"/>
      <c r="D178" s="82" t="s">
        <v>350</v>
      </c>
      <c r="E178" s="82" t="s">
        <v>350</v>
      </c>
      <c r="F178" s="79"/>
      <c r="G178" s="37">
        <f t="shared" si="9"/>
        <v>0</v>
      </c>
      <c r="H178" s="80"/>
      <c r="I178" s="79"/>
      <c r="J178" s="81">
        <f t="shared" si="8"/>
        <v>0</v>
      </c>
      <c r="K178" s="45"/>
      <c r="L178" s="45">
        <v>50000</v>
      </c>
      <c r="M178" s="45">
        <f t="shared" si="4"/>
        <v>50000</v>
      </c>
      <c r="N178" s="4">
        <f t="shared" si="10"/>
        <v>50</v>
      </c>
      <c r="O178" s="12"/>
      <c r="P178" s="41"/>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c r="BY178" s="12"/>
      <c r="BZ178" s="12"/>
      <c r="CA178" s="12"/>
      <c r="CB178" s="12"/>
      <c r="CC178" s="12"/>
      <c r="CD178" s="12"/>
      <c r="CE178" s="12"/>
      <c r="CF178" s="12"/>
      <c r="CG178" s="12"/>
      <c r="CH178" s="12"/>
      <c r="CI178" s="12"/>
      <c r="CJ178" s="12"/>
      <c r="CK178" s="12"/>
      <c r="CL178" s="12"/>
      <c r="CM178" s="12"/>
      <c r="CN178" s="12"/>
      <c r="CO178" s="12"/>
      <c r="CP178" s="12"/>
      <c r="CQ178" s="12"/>
      <c r="CR178" s="12"/>
      <c r="CS178" s="12"/>
      <c r="CT178" s="12"/>
      <c r="CU178" s="12"/>
      <c r="CV178" s="12"/>
      <c r="CW178" s="12"/>
      <c r="CX178" s="12"/>
      <c r="CY178" s="12"/>
    </row>
    <row r="179" spans="1:103" s="46" customFormat="1" ht="42" customHeight="1">
      <c r="A179" s="43"/>
      <c r="B179" s="43"/>
      <c r="C179" s="43"/>
      <c r="D179" s="82" t="s">
        <v>351</v>
      </c>
      <c r="E179" s="82" t="s">
        <v>351</v>
      </c>
      <c r="F179" s="79"/>
      <c r="G179" s="37">
        <f t="shared" si="9"/>
        <v>0</v>
      </c>
      <c r="H179" s="80"/>
      <c r="I179" s="79"/>
      <c r="J179" s="81">
        <f t="shared" si="8"/>
        <v>0</v>
      </c>
      <c r="K179" s="45"/>
      <c r="L179" s="45">
        <v>50000</v>
      </c>
      <c r="M179" s="45">
        <f t="shared" si="4"/>
        <v>50000</v>
      </c>
      <c r="N179" s="4">
        <f t="shared" si="10"/>
        <v>50</v>
      </c>
      <c r="O179" s="12"/>
      <c r="P179" s="41"/>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c r="CC179" s="12"/>
      <c r="CD179" s="12"/>
      <c r="CE179" s="12"/>
      <c r="CF179" s="12"/>
      <c r="CG179" s="12"/>
      <c r="CH179" s="12"/>
      <c r="CI179" s="12"/>
      <c r="CJ179" s="12"/>
      <c r="CK179" s="12"/>
      <c r="CL179" s="12"/>
      <c r="CM179" s="12"/>
      <c r="CN179" s="12"/>
      <c r="CO179" s="12"/>
      <c r="CP179" s="12"/>
      <c r="CQ179" s="12"/>
      <c r="CR179" s="12"/>
      <c r="CS179" s="12"/>
      <c r="CT179" s="12"/>
      <c r="CU179" s="12"/>
      <c r="CV179" s="12"/>
      <c r="CW179" s="12"/>
      <c r="CX179" s="12"/>
      <c r="CY179" s="12"/>
    </row>
    <row r="180" spans="1:103" s="46" customFormat="1" ht="42" customHeight="1">
      <c r="A180" s="43"/>
      <c r="B180" s="43"/>
      <c r="C180" s="43"/>
      <c r="D180" s="82" t="s">
        <v>352</v>
      </c>
      <c r="E180" s="82" t="s">
        <v>352</v>
      </c>
      <c r="F180" s="79"/>
      <c r="G180" s="37">
        <f t="shared" si="9"/>
        <v>0</v>
      </c>
      <c r="H180" s="80"/>
      <c r="I180" s="79"/>
      <c r="J180" s="81">
        <f t="shared" si="8"/>
        <v>0</v>
      </c>
      <c r="K180" s="45"/>
      <c r="L180" s="45">
        <v>50000</v>
      </c>
      <c r="M180" s="45">
        <f t="shared" si="4"/>
        <v>50000</v>
      </c>
      <c r="N180" s="4">
        <f t="shared" si="10"/>
        <v>50</v>
      </c>
      <c r="O180" s="12"/>
      <c r="P180" s="41"/>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c r="CG180" s="12"/>
      <c r="CH180" s="12"/>
      <c r="CI180" s="12"/>
      <c r="CJ180" s="12"/>
      <c r="CK180" s="12"/>
      <c r="CL180" s="12"/>
      <c r="CM180" s="12"/>
      <c r="CN180" s="12"/>
      <c r="CO180" s="12"/>
      <c r="CP180" s="12"/>
      <c r="CQ180" s="12"/>
      <c r="CR180" s="12"/>
      <c r="CS180" s="12"/>
      <c r="CT180" s="12"/>
      <c r="CU180" s="12"/>
      <c r="CV180" s="12"/>
      <c r="CW180" s="12"/>
      <c r="CX180" s="12"/>
      <c r="CY180" s="12"/>
    </row>
    <row r="181" spans="1:103" s="46" customFormat="1" ht="42" customHeight="1">
      <c r="A181" s="43"/>
      <c r="B181" s="43"/>
      <c r="C181" s="43"/>
      <c r="D181" s="82" t="s">
        <v>353</v>
      </c>
      <c r="E181" s="82" t="s">
        <v>353</v>
      </c>
      <c r="F181" s="79"/>
      <c r="G181" s="37">
        <f t="shared" si="9"/>
        <v>0</v>
      </c>
      <c r="H181" s="80"/>
      <c r="I181" s="79"/>
      <c r="J181" s="81">
        <f t="shared" si="8"/>
        <v>0</v>
      </c>
      <c r="K181" s="45"/>
      <c r="L181" s="45">
        <v>50000</v>
      </c>
      <c r="M181" s="45">
        <f t="shared" si="4"/>
        <v>50000</v>
      </c>
      <c r="N181" s="4">
        <f t="shared" si="10"/>
        <v>50</v>
      </c>
      <c r="O181" s="12"/>
      <c r="P181" s="41"/>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c r="CJ181" s="12"/>
      <c r="CK181" s="12"/>
      <c r="CL181" s="12"/>
      <c r="CM181" s="12"/>
      <c r="CN181" s="12"/>
      <c r="CO181" s="12"/>
      <c r="CP181" s="12"/>
      <c r="CQ181" s="12"/>
      <c r="CR181" s="12"/>
      <c r="CS181" s="12"/>
      <c r="CT181" s="12"/>
      <c r="CU181" s="12"/>
      <c r="CV181" s="12"/>
      <c r="CW181" s="12"/>
      <c r="CX181" s="12"/>
      <c r="CY181" s="12"/>
    </row>
    <row r="182" spans="1:103" s="46" customFormat="1" ht="47.25" customHeight="1">
      <c r="A182" s="43"/>
      <c r="B182" s="43"/>
      <c r="C182" s="43"/>
      <c r="D182" s="82" t="s">
        <v>355</v>
      </c>
      <c r="E182" s="82" t="s">
        <v>355</v>
      </c>
      <c r="F182" s="79"/>
      <c r="G182" s="37">
        <f t="shared" si="9"/>
        <v>0</v>
      </c>
      <c r="H182" s="80"/>
      <c r="I182" s="79"/>
      <c r="J182" s="81">
        <f t="shared" si="8"/>
        <v>0</v>
      </c>
      <c r="K182" s="45"/>
      <c r="L182" s="45">
        <v>50000</v>
      </c>
      <c r="M182" s="45">
        <f t="shared" si="4"/>
        <v>50000</v>
      </c>
      <c r="N182" s="4">
        <f t="shared" si="10"/>
        <v>50</v>
      </c>
      <c r="O182" s="12"/>
      <c r="P182" s="41"/>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c r="CR182" s="12"/>
      <c r="CS182" s="12"/>
      <c r="CT182" s="12"/>
      <c r="CU182" s="12"/>
      <c r="CV182" s="12"/>
      <c r="CW182" s="12"/>
      <c r="CX182" s="12"/>
      <c r="CY182" s="12"/>
    </row>
    <row r="183" spans="1:103" s="46" customFormat="1" ht="47.25" customHeight="1">
      <c r="A183" s="43"/>
      <c r="B183" s="43"/>
      <c r="C183" s="43"/>
      <c r="D183" s="82" t="s">
        <v>356</v>
      </c>
      <c r="E183" s="82" t="s">
        <v>356</v>
      </c>
      <c r="F183" s="79"/>
      <c r="G183" s="37">
        <f t="shared" si="9"/>
        <v>0</v>
      </c>
      <c r="H183" s="80"/>
      <c r="I183" s="79"/>
      <c r="J183" s="81">
        <f t="shared" si="8"/>
        <v>0</v>
      </c>
      <c r="K183" s="45"/>
      <c r="L183" s="45">
        <v>50000</v>
      </c>
      <c r="M183" s="45">
        <f t="shared" si="4"/>
        <v>50000</v>
      </c>
      <c r="N183" s="4">
        <f t="shared" si="10"/>
        <v>50</v>
      </c>
      <c r="O183" s="12"/>
      <c r="P183" s="41"/>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c r="CJ183" s="12"/>
      <c r="CK183" s="12"/>
      <c r="CL183" s="12"/>
      <c r="CM183" s="12"/>
      <c r="CN183" s="12"/>
      <c r="CO183" s="12"/>
      <c r="CP183" s="12"/>
      <c r="CQ183" s="12"/>
      <c r="CR183" s="12"/>
      <c r="CS183" s="12"/>
      <c r="CT183" s="12"/>
      <c r="CU183" s="12"/>
      <c r="CV183" s="12"/>
      <c r="CW183" s="12"/>
      <c r="CX183" s="12"/>
      <c r="CY183" s="12"/>
    </row>
    <row r="184" spans="1:103" s="46" customFormat="1" ht="47.25" customHeight="1">
      <c r="A184" s="43"/>
      <c r="B184" s="43"/>
      <c r="C184" s="43"/>
      <c r="D184" s="82" t="s">
        <v>357</v>
      </c>
      <c r="E184" s="82" t="s">
        <v>357</v>
      </c>
      <c r="F184" s="79"/>
      <c r="G184" s="37">
        <f t="shared" si="9"/>
        <v>0</v>
      </c>
      <c r="H184" s="80"/>
      <c r="I184" s="79"/>
      <c r="J184" s="81">
        <f t="shared" si="8"/>
        <v>0</v>
      </c>
      <c r="K184" s="45"/>
      <c r="L184" s="45">
        <v>50000</v>
      </c>
      <c r="M184" s="45">
        <f t="shared" si="4"/>
        <v>50000</v>
      </c>
      <c r="N184" s="4">
        <f t="shared" si="10"/>
        <v>50</v>
      </c>
      <c r="O184" s="12"/>
      <c r="P184" s="41"/>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J184" s="12"/>
      <c r="CK184" s="12"/>
      <c r="CL184" s="12"/>
      <c r="CM184" s="12"/>
      <c r="CN184" s="12"/>
      <c r="CO184" s="12"/>
      <c r="CP184" s="12"/>
      <c r="CQ184" s="12"/>
      <c r="CR184" s="12"/>
      <c r="CS184" s="12"/>
      <c r="CT184" s="12"/>
      <c r="CU184" s="12"/>
      <c r="CV184" s="12"/>
      <c r="CW184" s="12"/>
      <c r="CX184" s="12"/>
      <c r="CY184" s="12"/>
    </row>
    <row r="185" spans="1:103" s="46" customFormat="1" ht="47.25" customHeight="1">
      <c r="A185" s="43"/>
      <c r="B185" s="43"/>
      <c r="C185" s="43"/>
      <c r="D185" s="82" t="s">
        <v>360</v>
      </c>
      <c r="E185" s="82" t="s">
        <v>360</v>
      </c>
      <c r="F185" s="79"/>
      <c r="G185" s="37">
        <f t="shared" si="9"/>
        <v>0</v>
      </c>
      <c r="H185" s="80"/>
      <c r="I185" s="79"/>
      <c r="J185" s="81">
        <f t="shared" si="8"/>
        <v>0</v>
      </c>
      <c r="K185" s="45"/>
      <c r="L185" s="45">
        <v>50000</v>
      </c>
      <c r="M185" s="45">
        <f t="shared" si="4"/>
        <v>50000</v>
      </c>
      <c r="N185" s="4">
        <f t="shared" si="10"/>
        <v>50</v>
      </c>
      <c r="O185" s="12"/>
      <c r="P185" s="41"/>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2"/>
      <c r="CJ185" s="12"/>
      <c r="CK185" s="12"/>
      <c r="CL185" s="12"/>
      <c r="CM185" s="12"/>
      <c r="CN185" s="12"/>
      <c r="CO185" s="12"/>
      <c r="CP185" s="12"/>
      <c r="CQ185" s="12"/>
      <c r="CR185" s="12"/>
      <c r="CS185" s="12"/>
      <c r="CT185" s="12"/>
      <c r="CU185" s="12"/>
      <c r="CV185" s="12"/>
      <c r="CW185" s="12"/>
      <c r="CX185" s="12"/>
      <c r="CY185" s="12"/>
    </row>
    <row r="186" spans="1:103" s="46" customFormat="1" ht="47.25" customHeight="1">
      <c r="A186" s="43"/>
      <c r="B186" s="43"/>
      <c r="C186" s="43"/>
      <c r="D186" s="82" t="s">
        <v>358</v>
      </c>
      <c r="E186" s="82" t="s">
        <v>358</v>
      </c>
      <c r="F186" s="79"/>
      <c r="G186" s="37">
        <f t="shared" si="9"/>
        <v>0</v>
      </c>
      <c r="H186" s="80"/>
      <c r="I186" s="79"/>
      <c r="J186" s="81">
        <f t="shared" si="8"/>
        <v>0</v>
      </c>
      <c r="K186" s="45"/>
      <c r="L186" s="45">
        <v>50000</v>
      </c>
      <c r="M186" s="45">
        <f t="shared" si="4"/>
        <v>50000</v>
      </c>
      <c r="N186" s="4">
        <f t="shared" si="10"/>
        <v>50</v>
      </c>
      <c r="O186" s="12"/>
      <c r="P186" s="41"/>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2"/>
      <c r="CT186" s="12"/>
      <c r="CU186" s="12"/>
      <c r="CV186" s="12"/>
      <c r="CW186" s="12"/>
      <c r="CX186" s="12"/>
      <c r="CY186" s="12"/>
    </row>
    <row r="187" spans="1:103" s="46" customFormat="1" ht="47.25" customHeight="1">
      <c r="A187" s="43"/>
      <c r="B187" s="43"/>
      <c r="C187" s="43"/>
      <c r="D187" s="82" t="s">
        <v>361</v>
      </c>
      <c r="E187" s="82" t="s">
        <v>361</v>
      </c>
      <c r="F187" s="79"/>
      <c r="G187" s="37">
        <f t="shared" si="9"/>
        <v>0</v>
      </c>
      <c r="H187" s="80"/>
      <c r="I187" s="79"/>
      <c r="J187" s="81">
        <f t="shared" si="8"/>
        <v>0</v>
      </c>
      <c r="K187" s="45"/>
      <c r="L187" s="45">
        <v>50000</v>
      </c>
      <c r="M187" s="45">
        <f t="shared" si="4"/>
        <v>50000</v>
      </c>
      <c r="N187" s="4">
        <f t="shared" si="10"/>
        <v>50</v>
      </c>
      <c r="O187" s="12"/>
      <c r="P187" s="41"/>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J187" s="12"/>
      <c r="CK187" s="12"/>
      <c r="CL187" s="12"/>
      <c r="CM187" s="12"/>
      <c r="CN187" s="12"/>
      <c r="CO187" s="12"/>
      <c r="CP187" s="12"/>
      <c r="CQ187" s="12"/>
      <c r="CR187" s="12"/>
      <c r="CS187" s="12"/>
      <c r="CT187" s="12"/>
      <c r="CU187" s="12"/>
      <c r="CV187" s="12"/>
      <c r="CW187" s="12"/>
      <c r="CX187" s="12"/>
      <c r="CY187" s="12"/>
    </row>
    <row r="188" spans="1:103" s="46" customFormat="1" ht="47.25" customHeight="1">
      <c r="A188" s="43"/>
      <c r="B188" s="43"/>
      <c r="C188" s="43"/>
      <c r="D188" s="82" t="s">
        <v>362</v>
      </c>
      <c r="E188" s="82" t="s">
        <v>362</v>
      </c>
      <c r="F188" s="79"/>
      <c r="G188" s="37">
        <f t="shared" si="9"/>
        <v>0</v>
      </c>
      <c r="H188" s="80"/>
      <c r="I188" s="79"/>
      <c r="J188" s="81">
        <f t="shared" si="8"/>
        <v>0</v>
      </c>
      <c r="K188" s="45"/>
      <c r="L188" s="45">
        <v>50000</v>
      </c>
      <c r="M188" s="45">
        <f t="shared" si="4"/>
        <v>50000</v>
      </c>
      <c r="N188" s="4">
        <f t="shared" si="10"/>
        <v>50</v>
      </c>
      <c r="O188" s="12"/>
      <c r="P188" s="41"/>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J188" s="12"/>
      <c r="CK188" s="12"/>
      <c r="CL188" s="12"/>
      <c r="CM188" s="12"/>
      <c r="CN188" s="12"/>
      <c r="CO188" s="12"/>
      <c r="CP188" s="12"/>
      <c r="CQ188" s="12"/>
      <c r="CR188" s="12"/>
      <c r="CS188" s="12"/>
      <c r="CT188" s="12"/>
      <c r="CU188" s="12"/>
      <c r="CV188" s="12"/>
      <c r="CW188" s="12"/>
      <c r="CX188" s="12"/>
      <c r="CY188" s="12"/>
    </row>
    <row r="189" spans="1:103" s="46" customFormat="1" ht="47.25" customHeight="1">
      <c r="A189" s="43"/>
      <c r="B189" s="43"/>
      <c r="C189" s="43"/>
      <c r="D189" s="82" t="s">
        <v>363</v>
      </c>
      <c r="E189" s="82" t="s">
        <v>363</v>
      </c>
      <c r="F189" s="79"/>
      <c r="G189" s="37">
        <f t="shared" si="9"/>
        <v>0</v>
      </c>
      <c r="H189" s="80"/>
      <c r="I189" s="79"/>
      <c r="J189" s="81">
        <f t="shared" si="8"/>
        <v>0</v>
      </c>
      <c r="K189" s="45"/>
      <c r="L189" s="45">
        <v>50000</v>
      </c>
      <c r="M189" s="45">
        <f t="shared" si="4"/>
        <v>50000</v>
      </c>
      <c r="N189" s="4">
        <f t="shared" si="10"/>
        <v>50</v>
      </c>
      <c r="O189" s="12"/>
      <c r="P189" s="41"/>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S189" s="12"/>
      <c r="CT189" s="12"/>
      <c r="CU189" s="12"/>
      <c r="CV189" s="12"/>
      <c r="CW189" s="12"/>
      <c r="CX189" s="12"/>
      <c r="CY189" s="12"/>
    </row>
    <row r="190" spans="1:103" s="46" customFormat="1" ht="47.25" customHeight="1">
      <c r="A190" s="43"/>
      <c r="B190" s="43"/>
      <c r="C190" s="43"/>
      <c r="D190" s="82" t="s">
        <v>364</v>
      </c>
      <c r="E190" s="82" t="s">
        <v>364</v>
      </c>
      <c r="F190" s="79"/>
      <c r="G190" s="37">
        <f t="shared" si="9"/>
        <v>0</v>
      </c>
      <c r="H190" s="80"/>
      <c r="I190" s="79"/>
      <c r="J190" s="81">
        <f t="shared" si="8"/>
        <v>0</v>
      </c>
      <c r="K190" s="45"/>
      <c r="L190" s="45">
        <v>50000</v>
      </c>
      <c r="M190" s="45">
        <f t="shared" si="4"/>
        <v>50000</v>
      </c>
      <c r="N190" s="4">
        <f t="shared" si="10"/>
        <v>50</v>
      </c>
      <c r="O190" s="12"/>
      <c r="P190" s="41"/>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12"/>
      <c r="CY190" s="12"/>
    </row>
    <row r="191" spans="1:103" s="46" customFormat="1" ht="40.5">
      <c r="A191" s="43"/>
      <c r="B191" s="43"/>
      <c r="C191" s="43"/>
      <c r="D191" s="82" t="s">
        <v>354</v>
      </c>
      <c r="E191" s="82" t="s">
        <v>354</v>
      </c>
      <c r="F191" s="79"/>
      <c r="G191" s="37">
        <f t="shared" si="9"/>
        <v>0</v>
      </c>
      <c r="H191" s="80"/>
      <c r="I191" s="79"/>
      <c r="J191" s="81">
        <f t="shared" si="8"/>
        <v>0</v>
      </c>
      <c r="K191" s="45"/>
      <c r="L191" s="45">
        <v>50000</v>
      </c>
      <c r="M191" s="45">
        <f t="shared" si="4"/>
        <v>50000</v>
      </c>
      <c r="N191" s="4">
        <f t="shared" si="10"/>
        <v>50</v>
      </c>
      <c r="O191" s="12"/>
      <c r="P191" s="41"/>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S191" s="12"/>
      <c r="CT191" s="12"/>
      <c r="CU191" s="12"/>
      <c r="CV191" s="12"/>
      <c r="CW191" s="12"/>
      <c r="CX191" s="12"/>
      <c r="CY191" s="12"/>
    </row>
    <row r="192" spans="1:103" s="46" customFormat="1" ht="36" customHeight="1">
      <c r="A192" s="43"/>
      <c r="B192" s="43"/>
      <c r="C192" s="43"/>
      <c r="D192" s="82" t="s">
        <v>342</v>
      </c>
      <c r="E192" s="82" t="s">
        <v>342</v>
      </c>
      <c r="F192" s="79"/>
      <c r="G192" s="37">
        <f t="shared" si="9"/>
        <v>0</v>
      </c>
      <c r="H192" s="80"/>
      <c r="I192" s="79"/>
      <c r="J192" s="81">
        <f t="shared" si="8"/>
        <v>0</v>
      </c>
      <c r="K192" s="45"/>
      <c r="L192" s="45">
        <v>50000</v>
      </c>
      <c r="M192" s="45">
        <f t="shared" si="4"/>
        <v>50000</v>
      </c>
      <c r="N192" s="4">
        <f t="shared" si="10"/>
        <v>50</v>
      </c>
      <c r="O192" s="12"/>
      <c r="P192" s="41"/>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S192" s="12"/>
      <c r="CT192" s="12"/>
      <c r="CU192" s="12"/>
      <c r="CV192" s="12"/>
      <c r="CW192" s="12"/>
      <c r="CX192" s="12"/>
      <c r="CY192" s="12"/>
    </row>
    <row r="193" spans="1:103" s="46" customFormat="1" ht="33" customHeight="1">
      <c r="A193" s="43"/>
      <c r="B193" s="43"/>
      <c r="C193" s="43"/>
      <c r="D193" s="82" t="s">
        <v>189</v>
      </c>
      <c r="E193" s="82" t="s">
        <v>189</v>
      </c>
      <c r="F193" s="79"/>
      <c r="G193" s="37">
        <f t="shared" si="9"/>
        <v>0</v>
      </c>
      <c r="H193" s="80"/>
      <c r="I193" s="79"/>
      <c r="J193" s="81">
        <f t="shared" si="8"/>
        <v>0</v>
      </c>
      <c r="K193" s="45">
        <f>41338+45587</f>
        <v>86925</v>
      </c>
      <c r="L193" s="45"/>
      <c r="M193" s="45">
        <f t="shared" si="4"/>
        <v>86925</v>
      </c>
      <c r="N193" s="4">
        <f t="shared" si="10"/>
        <v>86.9</v>
      </c>
      <c r="O193" s="12"/>
      <c r="P193" s="41"/>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c r="CJ193" s="12"/>
      <c r="CK193" s="12"/>
      <c r="CL193" s="12"/>
      <c r="CM193" s="12"/>
      <c r="CN193" s="12"/>
      <c r="CO193" s="12"/>
      <c r="CP193" s="12"/>
      <c r="CQ193" s="12"/>
      <c r="CR193" s="12"/>
      <c r="CS193" s="12"/>
      <c r="CT193" s="12"/>
      <c r="CU193" s="12"/>
      <c r="CV193" s="12"/>
      <c r="CW193" s="12"/>
      <c r="CX193" s="12"/>
      <c r="CY193" s="12"/>
    </row>
    <row r="194" spans="1:103" s="46" customFormat="1" ht="47.25" customHeight="1">
      <c r="A194" s="43"/>
      <c r="B194" s="43"/>
      <c r="C194" s="43"/>
      <c r="D194" s="82" t="s">
        <v>190</v>
      </c>
      <c r="E194" s="82" t="s">
        <v>190</v>
      </c>
      <c r="F194" s="79"/>
      <c r="G194" s="37">
        <f t="shared" si="9"/>
        <v>0</v>
      </c>
      <c r="H194" s="80"/>
      <c r="I194" s="79"/>
      <c r="J194" s="81">
        <f t="shared" si="8"/>
        <v>0</v>
      </c>
      <c r="K194" s="45">
        <v>70000</v>
      </c>
      <c r="L194" s="58"/>
      <c r="M194" s="45">
        <f t="shared" si="4"/>
        <v>70000</v>
      </c>
      <c r="N194" s="4">
        <f>ROUND(M194/1000,1)+44.5</f>
        <v>114.5</v>
      </c>
      <c r="O194" s="12"/>
      <c r="P194" s="41"/>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c r="CJ194" s="12"/>
      <c r="CK194" s="12"/>
      <c r="CL194" s="12"/>
      <c r="CM194" s="12"/>
      <c r="CN194" s="12"/>
      <c r="CO194" s="12"/>
      <c r="CP194" s="12"/>
      <c r="CQ194" s="12"/>
      <c r="CR194" s="12"/>
      <c r="CS194" s="12"/>
      <c r="CT194" s="12"/>
      <c r="CU194" s="12"/>
      <c r="CV194" s="12"/>
      <c r="CW194" s="12"/>
      <c r="CX194" s="12"/>
      <c r="CY194" s="12"/>
    </row>
    <row r="195" spans="1:103" s="46" customFormat="1" ht="29.25" customHeight="1">
      <c r="A195" s="43"/>
      <c r="B195" s="43"/>
      <c r="C195" s="43"/>
      <c r="D195" s="82" t="s">
        <v>246</v>
      </c>
      <c r="E195" s="82" t="s">
        <v>246</v>
      </c>
      <c r="F195" s="79"/>
      <c r="G195" s="37">
        <f t="shared" si="9"/>
        <v>0</v>
      </c>
      <c r="H195" s="80"/>
      <c r="I195" s="79"/>
      <c r="J195" s="81">
        <f t="shared" si="8"/>
        <v>0</v>
      </c>
      <c r="K195" s="45">
        <v>100000</v>
      </c>
      <c r="L195" s="58"/>
      <c r="M195" s="45">
        <f t="shared" si="4"/>
        <v>100000</v>
      </c>
      <c r="N195" s="4">
        <f t="shared" si="10"/>
        <v>100</v>
      </c>
      <c r="O195" s="12"/>
      <c r="P195" s="41"/>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2"/>
      <c r="CJ195" s="12"/>
      <c r="CK195" s="12"/>
      <c r="CL195" s="12"/>
      <c r="CM195" s="12"/>
      <c r="CN195" s="12"/>
      <c r="CO195" s="12"/>
      <c r="CP195" s="12"/>
      <c r="CQ195" s="12"/>
      <c r="CR195" s="12"/>
      <c r="CS195" s="12"/>
      <c r="CT195" s="12"/>
      <c r="CU195" s="12"/>
      <c r="CV195" s="12"/>
      <c r="CW195" s="12"/>
      <c r="CX195" s="12"/>
      <c r="CY195" s="12"/>
    </row>
    <row r="196" spans="1:103" s="46" customFormat="1" ht="29.25" customHeight="1">
      <c r="A196" s="43"/>
      <c r="B196" s="43"/>
      <c r="C196" s="43"/>
      <c r="D196" s="44" t="s">
        <v>191</v>
      </c>
      <c r="E196" s="44" t="s">
        <v>191</v>
      </c>
      <c r="F196" s="79"/>
      <c r="G196" s="37">
        <f t="shared" si="9"/>
        <v>0</v>
      </c>
      <c r="H196" s="80"/>
      <c r="I196" s="79"/>
      <c r="J196" s="81">
        <f t="shared" si="8"/>
        <v>0</v>
      </c>
      <c r="K196" s="45">
        <v>375963</v>
      </c>
      <c r="L196" s="58"/>
      <c r="M196" s="45">
        <f t="shared" si="4"/>
        <v>375963</v>
      </c>
      <c r="N196" s="4">
        <f t="shared" si="10"/>
        <v>376</v>
      </c>
      <c r="O196" s="12"/>
      <c r="P196" s="41"/>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T196" s="12"/>
      <c r="CU196" s="12"/>
      <c r="CV196" s="12"/>
      <c r="CW196" s="12"/>
      <c r="CX196" s="12"/>
      <c r="CY196" s="12"/>
    </row>
    <row r="197" spans="1:103" s="46" customFormat="1" ht="40.5">
      <c r="A197" s="43"/>
      <c r="B197" s="43"/>
      <c r="C197" s="43"/>
      <c r="D197" s="44" t="s">
        <v>192</v>
      </c>
      <c r="E197" s="44" t="s">
        <v>192</v>
      </c>
      <c r="F197" s="79"/>
      <c r="G197" s="37">
        <f t="shared" si="9"/>
        <v>0</v>
      </c>
      <c r="H197" s="80"/>
      <c r="I197" s="79"/>
      <c r="J197" s="81">
        <f t="shared" si="8"/>
        <v>0</v>
      </c>
      <c r="K197" s="45">
        <v>499988</v>
      </c>
      <c r="L197" s="58"/>
      <c r="M197" s="45">
        <f t="shared" si="4"/>
        <v>499988</v>
      </c>
      <c r="N197" s="4">
        <f t="shared" si="10"/>
        <v>500</v>
      </c>
      <c r="O197" s="12"/>
      <c r="P197" s="41"/>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c r="CG197" s="12"/>
      <c r="CH197" s="12"/>
      <c r="CI197" s="12"/>
      <c r="CJ197" s="12"/>
      <c r="CK197" s="12"/>
      <c r="CL197" s="12"/>
      <c r="CM197" s="12"/>
      <c r="CN197" s="12"/>
      <c r="CO197" s="12"/>
      <c r="CP197" s="12"/>
      <c r="CQ197" s="12"/>
      <c r="CR197" s="12"/>
      <c r="CS197" s="12"/>
      <c r="CT197" s="12"/>
      <c r="CU197" s="12"/>
      <c r="CV197" s="12"/>
      <c r="CW197" s="12"/>
      <c r="CX197" s="12"/>
      <c r="CY197" s="12"/>
    </row>
    <row r="198" spans="1:103" s="46" customFormat="1" ht="40.5">
      <c r="A198" s="43"/>
      <c r="B198" s="43"/>
      <c r="C198" s="43"/>
      <c r="D198" s="44" t="s">
        <v>223</v>
      </c>
      <c r="E198" s="44" t="s">
        <v>223</v>
      </c>
      <c r="F198" s="79"/>
      <c r="G198" s="37">
        <f t="shared" si="9"/>
        <v>0</v>
      </c>
      <c r="H198" s="80"/>
      <c r="I198" s="79"/>
      <c r="J198" s="81">
        <f t="shared" si="8"/>
        <v>0</v>
      </c>
      <c r="K198" s="45">
        <v>420000</v>
      </c>
      <c r="L198" s="58"/>
      <c r="M198" s="45">
        <f t="shared" si="4"/>
        <v>420000</v>
      </c>
      <c r="N198" s="4">
        <f t="shared" si="10"/>
        <v>420</v>
      </c>
      <c r="O198" s="12"/>
      <c r="P198" s="41"/>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12"/>
      <c r="CY198" s="12"/>
    </row>
    <row r="199" spans="1:103" s="46" customFormat="1" ht="40.5">
      <c r="A199" s="43"/>
      <c r="B199" s="43"/>
      <c r="C199" s="43"/>
      <c r="D199" s="44" t="s">
        <v>194</v>
      </c>
      <c r="E199" s="44" t="s">
        <v>194</v>
      </c>
      <c r="F199" s="79"/>
      <c r="G199" s="37">
        <f t="shared" si="9"/>
        <v>0</v>
      </c>
      <c r="H199" s="80"/>
      <c r="I199" s="79"/>
      <c r="J199" s="81">
        <f t="shared" si="8"/>
        <v>0</v>
      </c>
      <c r="K199" s="45">
        <v>500000</v>
      </c>
      <c r="L199" s="58"/>
      <c r="M199" s="45">
        <f t="shared" si="4"/>
        <v>500000</v>
      </c>
      <c r="N199" s="4">
        <f t="shared" si="10"/>
        <v>500</v>
      </c>
      <c r="O199" s="12"/>
      <c r="P199" s="41"/>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c r="CJ199" s="12"/>
      <c r="CK199" s="12"/>
      <c r="CL199" s="12"/>
      <c r="CM199" s="12"/>
      <c r="CN199" s="12"/>
      <c r="CO199" s="12"/>
      <c r="CP199" s="12"/>
      <c r="CQ199" s="12"/>
      <c r="CR199" s="12"/>
      <c r="CS199" s="12"/>
      <c r="CT199" s="12"/>
      <c r="CU199" s="12"/>
      <c r="CV199" s="12"/>
      <c r="CW199" s="12"/>
      <c r="CX199" s="12"/>
      <c r="CY199" s="12"/>
    </row>
    <row r="200" spans="1:103" s="46" customFormat="1" ht="54" customHeight="1">
      <c r="A200" s="43"/>
      <c r="B200" s="43"/>
      <c r="C200" s="43"/>
      <c r="D200" s="44" t="s">
        <v>193</v>
      </c>
      <c r="E200" s="44" t="s">
        <v>193</v>
      </c>
      <c r="F200" s="79"/>
      <c r="G200" s="37">
        <f t="shared" si="9"/>
        <v>0</v>
      </c>
      <c r="H200" s="80"/>
      <c r="I200" s="79"/>
      <c r="J200" s="81">
        <f t="shared" si="8"/>
        <v>0</v>
      </c>
      <c r="K200" s="45">
        <v>492000</v>
      </c>
      <c r="L200" s="58"/>
      <c r="M200" s="45">
        <f t="shared" si="4"/>
        <v>492000</v>
      </c>
      <c r="N200" s="4">
        <f t="shared" si="10"/>
        <v>492</v>
      </c>
      <c r="O200" s="12"/>
      <c r="P200" s="41"/>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J200" s="12"/>
      <c r="CK200" s="12"/>
      <c r="CL200" s="12"/>
      <c r="CM200" s="12"/>
      <c r="CN200" s="12"/>
      <c r="CO200" s="12"/>
      <c r="CP200" s="12"/>
      <c r="CQ200" s="12"/>
      <c r="CR200" s="12"/>
      <c r="CS200" s="12"/>
      <c r="CT200" s="12"/>
      <c r="CU200" s="12"/>
      <c r="CV200" s="12"/>
      <c r="CW200" s="12"/>
      <c r="CX200" s="12"/>
      <c r="CY200" s="12"/>
    </row>
    <row r="201" spans="1:103" s="46" customFormat="1" ht="36" customHeight="1">
      <c r="A201" s="43"/>
      <c r="B201" s="43"/>
      <c r="C201" s="43"/>
      <c r="D201" s="82" t="s">
        <v>224</v>
      </c>
      <c r="E201" s="82" t="s">
        <v>224</v>
      </c>
      <c r="F201" s="79"/>
      <c r="G201" s="37">
        <f t="shared" si="9"/>
        <v>0</v>
      </c>
      <c r="H201" s="80"/>
      <c r="I201" s="79"/>
      <c r="J201" s="81">
        <f t="shared" si="8"/>
        <v>0</v>
      </c>
      <c r="K201" s="45">
        <v>406110</v>
      </c>
      <c r="L201" s="58"/>
      <c r="M201" s="45">
        <f t="shared" si="4"/>
        <v>406110</v>
      </c>
      <c r="N201" s="4">
        <f t="shared" si="10"/>
        <v>406.1</v>
      </c>
      <c r="O201" s="12"/>
      <c r="P201" s="41"/>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c r="CG201" s="12"/>
      <c r="CH201" s="12"/>
      <c r="CI201" s="12"/>
      <c r="CJ201" s="12"/>
      <c r="CK201" s="12"/>
      <c r="CL201" s="12"/>
      <c r="CM201" s="12"/>
      <c r="CN201" s="12"/>
      <c r="CO201" s="12"/>
      <c r="CP201" s="12"/>
      <c r="CQ201" s="12"/>
      <c r="CR201" s="12"/>
      <c r="CS201" s="12"/>
      <c r="CT201" s="12"/>
      <c r="CU201" s="12"/>
      <c r="CV201" s="12"/>
      <c r="CW201" s="12"/>
      <c r="CX201" s="12"/>
      <c r="CY201" s="12"/>
    </row>
    <row r="202" spans="1:103" s="46" customFormat="1" ht="34.5" customHeight="1">
      <c r="A202" s="43"/>
      <c r="B202" s="43"/>
      <c r="C202" s="43"/>
      <c r="D202" s="82" t="s">
        <v>269</v>
      </c>
      <c r="E202" s="82" t="s">
        <v>269</v>
      </c>
      <c r="F202" s="79"/>
      <c r="G202" s="37">
        <f t="shared" si="9"/>
        <v>0</v>
      </c>
      <c r="H202" s="80"/>
      <c r="I202" s="79"/>
      <c r="J202" s="81">
        <f t="shared" si="8"/>
        <v>0</v>
      </c>
      <c r="K202" s="45">
        <v>500000</v>
      </c>
      <c r="L202" s="45"/>
      <c r="M202" s="45">
        <f t="shared" si="4"/>
        <v>500000</v>
      </c>
      <c r="N202" s="4">
        <f t="shared" si="10"/>
        <v>500</v>
      </c>
      <c r="O202" s="12"/>
      <c r="P202" s="41"/>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2"/>
      <c r="CG202" s="12"/>
      <c r="CH202" s="12"/>
      <c r="CI202" s="12"/>
      <c r="CJ202" s="12"/>
      <c r="CK202" s="12"/>
      <c r="CL202" s="12"/>
      <c r="CM202" s="12"/>
      <c r="CN202" s="12"/>
      <c r="CO202" s="12"/>
      <c r="CP202" s="12"/>
      <c r="CQ202" s="12"/>
      <c r="CR202" s="12"/>
      <c r="CS202" s="12"/>
      <c r="CT202" s="12"/>
      <c r="CU202" s="12"/>
      <c r="CV202" s="12"/>
      <c r="CW202" s="12"/>
      <c r="CX202" s="12"/>
      <c r="CY202" s="12"/>
    </row>
    <row r="203" spans="1:103" s="46" customFormat="1" ht="36.75" customHeight="1">
      <c r="A203" s="43"/>
      <c r="B203" s="43"/>
      <c r="C203" s="43"/>
      <c r="D203" s="82" t="s">
        <v>302</v>
      </c>
      <c r="E203" s="82" t="s">
        <v>302</v>
      </c>
      <c r="F203" s="79"/>
      <c r="G203" s="37">
        <f t="shared" si="9"/>
        <v>0</v>
      </c>
      <c r="H203" s="80"/>
      <c r="I203" s="79"/>
      <c r="J203" s="81">
        <f t="shared" si="8"/>
        <v>0</v>
      </c>
      <c r="K203" s="45">
        <v>50000</v>
      </c>
      <c r="L203" s="45"/>
      <c r="M203" s="45">
        <f>K203+L203</f>
        <v>50000</v>
      </c>
      <c r="N203" s="4">
        <f t="shared" si="10"/>
        <v>50</v>
      </c>
      <c r="O203" s="12"/>
      <c r="P203" s="41"/>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T203" s="12"/>
      <c r="CU203" s="12"/>
      <c r="CV203" s="12"/>
      <c r="CW203" s="12"/>
      <c r="CX203" s="12"/>
      <c r="CY203" s="12"/>
    </row>
    <row r="204" spans="1:103" s="46" customFormat="1" ht="36.75" customHeight="1">
      <c r="A204" s="43"/>
      <c r="B204" s="43"/>
      <c r="C204" s="43"/>
      <c r="D204" s="82" t="s">
        <v>326</v>
      </c>
      <c r="E204" s="82" t="s">
        <v>326</v>
      </c>
      <c r="F204" s="79"/>
      <c r="G204" s="37">
        <f t="shared" si="9"/>
        <v>0</v>
      </c>
      <c r="H204" s="80"/>
      <c r="I204" s="79"/>
      <c r="J204" s="81">
        <f t="shared" si="8"/>
        <v>0</v>
      </c>
      <c r="K204" s="45"/>
      <c r="L204" s="45">
        <v>50000</v>
      </c>
      <c r="M204" s="45">
        <f>K204+L204</f>
        <v>50000</v>
      </c>
      <c r="N204" s="4">
        <f t="shared" si="10"/>
        <v>50</v>
      </c>
      <c r="O204" s="12"/>
      <c r="P204" s="41"/>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c r="CG204" s="12"/>
      <c r="CH204" s="12"/>
      <c r="CI204" s="12"/>
      <c r="CJ204" s="12"/>
      <c r="CK204" s="12"/>
      <c r="CL204" s="12"/>
      <c r="CM204" s="12"/>
      <c r="CN204" s="12"/>
      <c r="CO204" s="12"/>
      <c r="CP204" s="12"/>
      <c r="CQ204" s="12"/>
      <c r="CR204" s="12"/>
      <c r="CS204" s="12"/>
      <c r="CT204" s="12"/>
      <c r="CU204" s="12"/>
      <c r="CV204" s="12"/>
      <c r="CW204" s="12"/>
      <c r="CX204" s="12"/>
      <c r="CY204" s="12"/>
    </row>
    <row r="205" spans="1:103" s="46" customFormat="1" ht="36.75" customHeight="1">
      <c r="A205" s="43"/>
      <c r="B205" s="43"/>
      <c r="C205" s="43"/>
      <c r="D205" s="82" t="s">
        <v>303</v>
      </c>
      <c r="E205" s="82" t="s">
        <v>303</v>
      </c>
      <c r="F205" s="79"/>
      <c r="G205" s="37">
        <f t="shared" si="9"/>
        <v>0</v>
      </c>
      <c r="H205" s="80"/>
      <c r="I205" s="79"/>
      <c r="J205" s="81">
        <f t="shared" si="8"/>
        <v>0</v>
      </c>
      <c r="K205" s="45">
        <v>35000</v>
      </c>
      <c r="L205" s="45"/>
      <c r="M205" s="45">
        <f>K205+L205</f>
        <v>35000</v>
      </c>
      <c r="N205" s="4">
        <f t="shared" si="10"/>
        <v>35</v>
      </c>
      <c r="O205" s="12"/>
      <c r="P205" s="41"/>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c r="CT205" s="12"/>
      <c r="CU205" s="12"/>
      <c r="CV205" s="12"/>
      <c r="CW205" s="12"/>
      <c r="CX205" s="12"/>
      <c r="CY205" s="12"/>
    </row>
    <row r="206" spans="1:103" s="46" customFormat="1" ht="36.75" customHeight="1">
      <c r="A206" s="43"/>
      <c r="B206" s="43"/>
      <c r="C206" s="43"/>
      <c r="D206" s="82" t="s">
        <v>304</v>
      </c>
      <c r="E206" s="82" t="s">
        <v>304</v>
      </c>
      <c r="F206" s="79"/>
      <c r="G206" s="37">
        <f t="shared" si="9"/>
        <v>0</v>
      </c>
      <c r="H206" s="80"/>
      <c r="I206" s="79"/>
      <c r="J206" s="81">
        <f t="shared" si="8"/>
        <v>0</v>
      </c>
      <c r="K206" s="45">
        <v>145000</v>
      </c>
      <c r="L206" s="45"/>
      <c r="M206" s="45">
        <f>K206+L206</f>
        <v>145000</v>
      </c>
      <c r="N206" s="4">
        <f t="shared" si="10"/>
        <v>145</v>
      </c>
      <c r="O206" s="12"/>
      <c r="P206" s="41"/>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row>
    <row r="207" spans="1:103" s="46" customFormat="1" ht="36.75" customHeight="1">
      <c r="A207" s="43"/>
      <c r="B207" s="43"/>
      <c r="C207" s="43"/>
      <c r="D207" s="82" t="s">
        <v>281</v>
      </c>
      <c r="E207" s="82" t="s">
        <v>281</v>
      </c>
      <c r="F207" s="79"/>
      <c r="G207" s="37">
        <f t="shared" si="9"/>
        <v>0</v>
      </c>
      <c r="H207" s="80"/>
      <c r="I207" s="79"/>
      <c r="J207" s="81">
        <f t="shared" si="8"/>
        <v>0</v>
      </c>
      <c r="K207" s="45">
        <v>10500</v>
      </c>
      <c r="L207" s="45">
        <v>50000</v>
      </c>
      <c r="M207" s="45">
        <f t="shared" si="4"/>
        <v>60500</v>
      </c>
      <c r="N207" s="4">
        <f t="shared" si="10"/>
        <v>60.5</v>
      </c>
      <c r="O207" s="12"/>
      <c r="P207" s="41"/>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2"/>
      <c r="CS207" s="12"/>
      <c r="CT207" s="12"/>
      <c r="CU207" s="12"/>
      <c r="CV207" s="12"/>
      <c r="CW207" s="12"/>
      <c r="CX207" s="12"/>
      <c r="CY207" s="12"/>
    </row>
    <row r="208" spans="1:103" s="46" customFormat="1" ht="44.25" customHeight="1">
      <c r="A208" s="43"/>
      <c r="B208" s="43"/>
      <c r="C208" s="43"/>
      <c r="D208" s="82" t="s">
        <v>282</v>
      </c>
      <c r="E208" s="82" t="s">
        <v>282</v>
      </c>
      <c r="F208" s="79"/>
      <c r="G208" s="37">
        <f t="shared" si="9"/>
        <v>0</v>
      </c>
      <c r="H208" s="80"/>
      <c r="I208" s="79"/>
      <c r="J208" s="81">
        <f t="shared" si="8"/>
        <v>0</v>
      </c>
      <c r="K208" s="45">
        <v>10500</v>
      </c>
      <c r="L208" s="45">
        <v>50000</v>
      </c>
      <c r="M208" s="45">
        <f t="shared" si="4"/>
        <v>60500</v>
      </c>
      <c r="N208" s="4">
        <f t="shared" si="10"/>
        <v>60.5</v>
      </c>
      <c r="O208" s="12"/>
      <c r="P208" s="41"/>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c r="CV208" s="12"/>
      <c r="CW208" s="12"/>
      <c r="CX208" s="12"/>
      <c r="CY208" s="12"/>
    </row>
    <row r="209" spans="1:103" s="46" customFormat="1" ht="44.25" customHeight="1">
      <c r="A209" s="43"/>
      <c r="B209" s="43"/>
      <c r="C209" s="43"/>
      <c r="D209" s="82" t="s">
        <v>325</v>
      </c>
      <c r="E209" s="82" t="s">
        <v>325</v>
      </c>
      <c r="F209" s="79"/>
      <c r="G209" s="37">
        <f t="shared" si="9"/>
        <v>0</v>
      </c>
      <c r="H209" s="80"/>
      <c r="I209" s="79"/>
      <c r="J209" s="81">
        <f t="shared" si="8"/>
        <v>0</v>
      </c>
      <c r="K209" s="45"/>
      <c r="L209" s="45">
        <v>50000</v>
      </c>
      <c r="M209" s="45">
        <f t="shared" si="4"/>
        <v>50000</v>
      </c>
      <c r="N209" s="4">
        <f t="shared" si="10"/>
        <v>50</v>
      </c>
      <c r="O209" s="12"/>
      <c r="P209" s="41"/>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c r="CV209" s="12"/>
      <c r="CW209" s="12"/>
      <c r="CX209" s="12"/>
      <c r="CY209" s="12"/>
    </row>
    <row r="210" spans="1:103" s="69" customFormat="1" ht="40.5">
      <c r="A210" s="62"/>
      <c r="B210" s="62"/>
      <c r="C210" s="62"/>
      <c r="D210" s="61" t="s">
        <v>196</v>
      </c>
      <c r="E210" s="61" t="s">
        <v>196</v>
      </c>
      <c r="F210" s="85"/>
      <c r="G210" s="37">
        <f t="shared" si="9"/>
        <v>0</v>
      </c>
      <c r="H210" s="86"/>
      <c r="I210" s="85"/>
      <c r="J210" s="81">
        <f t="shared" si="8"/>
        <v>0</v>
      </c>
      <c r="K210" s="38">
        <f>SUM(K211:K215)</f>
        <v>350000</v>
      </c>
      <c r="L210" s="38">
        <f>SUM(L211:L215)</f>
        <v>0</v>
      </c>
      <c r="M210" s="38">
        <f>SUM(M211:M215)</f>
        <v>350000</v>
      </c>
      <c r="N210" s="39">
        <f>SUM(N211:N215)</f>
        <v>350</v>
      </c>
      <c r="O210" s="70"/>
      <c r="P210" s="41"/>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c r="BI210" s="70"/>
      <c r="BJ210" s="70"/>
      <c r="BK210" s="70"/>
      <c r="BL210" s="70"/>
      <c r="BM210" s="70"/>
      <c r="BN210" s="70"/>
      <c r="BO210" s="70"/>
      <c r="BP210" s="70"/>
      <c r="BQ210" s="70"/>
      <c r="BR210" s="70"/>
      <c r="BS210" s="70"/>
      <c r="BT210" s="70"/>
      <c r="BU210" s="70"/>
      <c r="BV210" s="70"/>
      <c r="BW210" s="70"/>
      <c r="BX210" s="70"/>
      <c r="BY210" s="70"/>
      <c r="BZ210" s="70"/>
      <c r="CA210" s="70"/>
      <c r="CB210" s="70"/>
      <c r="CC210" s="70"/>
      <c r="CD210" s="70"/>
      <c r="CE210" s="70"/>
      <c r="CF210" s="70"/>
      <c r="CG210" s="70"/>
      <c r="CH210" s="70"/>
      <c r="CI210" s="70"/>
      <c r="CJ210" s="70"/>
      <c r="CK210" s="70"/>
      <c r="CL210" s="70"/>
      <c r="CM210" s="70"/>
      <c r="CN210" s="70"/>
      <c r="CO210" s="70"/>
      <c r="CP210" s="70"/>
      <c r="CQ210" s="70"/>
      <c r="CR210" s="70"/>
      <c r="CS210" s="70"/>
      <c r="CT210" s="70"/>
      <c r="CU210" s="70"/>
      <c r="CV210" s="70"/>
      <c r="CW210" s="70"/>
      <c r="CX210" s="70"/>
      <c r="CY210" s="70"/>
    </row>
    <row r="211" spans="1:103" s="46" customFormat="1" ht="36.75" customHeight="1">
      <c r="A211" s="43"/>
      <c r="B211" s="43"/>
      <c r="C211" s="43"/>
      <c r="D211" s="44" t="s">
        <v>218</v>
      </c>
      <c r="E211" s="44" t="s">
        <v>218</v>
      </c>
      <c r="F211" s="79"/>
      <c r="G211" s="37">
        <f t="shared" si="9"/>
        <v>0</v>
      </c>
      <c r="H211" s="80"/>
      <c r="I211" s="79"/>
      <c r="J211" s="81">
        <f t="shared" si="8"/>
        <v>0</v>
      </c>
      <c r="K211" s="45">
        <v>70000</v>
      </c>
      <c r="L211" s="58"/>
      <c r="M211" s="45">
        <f t="shared" si="4"/>
        <v>70000</v>
      </c>
      <c r="N211" s="4">
        <f t="shared" si="10"/>
        <v>70</v>
      </c>
      <c r="O211" s="12"/>
      <c r="P211" s="41"/>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c r="CV211" s="12"/>
      <c r="CW211" s="12"/>
      <c r="CX211" s="12"/>
      <c r="CY211" s="12"/>
    </row>
    <row r="212" spans="1:103" s="46" customFormat="1" ht="36.75" customHeight="1">
      <c r="A212" s="43"/>
      <c r="B212" s="43"/>
      <c r="C212" s="43"/>
      <c r="D212" s="44" t="s">
        <v>239</v>
      </c>
      <c r="E212" s="44" t="s">
        <v>239</v>
      </c>
      <c r="F212" s="79"/>
      <c r="G212" s="37">
        <f t="shared" si="9"/>
        <v>0</v>
      </c>
      <c r="H212" s="80"/>
      <c r="I212" s="79"/>
      <c r="J212" s="81">
        <f aca="true" t="shared" si="11" ref="J212:J276">ROUND(I212/1000,1)</f>
        <v>0</v>
      </c>
      <c r="K212" s="45">
        <v>70000</v>
      </c>
      <c r="L212" s="58"/>
      <c r="M212" s="45">
        <f t="shared" si="4"/>
        <v>70000</v>
      </c>
      <c r="N212" s="4">
        <f t="shared" si="10"/>
        <v>70</v>
      </c>
      <c r="O212" s="12"/>
      <c r="P212" s="41"/>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12"/>
    </row>
    <row r="213" spans="1:103" s="46" customFormat="1" ht="36.75" customHeight="1">
      <c r="A213" s="43"/>
      <c r="B213" s="43"/>
      <c r="C213" s="43"/>
      <c r="D213" s="44" t="s">
        <v>219</v>
      </c>
      <c r="E213" s="44" t="s">
        <v>219</v>
      </c>
      <c r="F213" s="79"/>
      <c r="G213" s="37">
        <f aca="true" t="shared" si="12" ref="G213:G277">ROUND(F213/1000,1)</f>
        <v>0</v>
      </c>
      <c r="H213" s="80"/>
      <c r="I213" s="79"/>
      <c r="J213" s="81">
        <f t="shared" si="11"/>
        <v>0</v>
      </c>
      <c r="K213" s="45">
        <v>70000</v>
      </c>
      <c r="L213" s="58"/>
      <c r="M213" s="45">
        <f t="shared" si="4"/>
        <v>70000</v>
      </c>
      <c r="N213" s="4">
        <f aca="true" t="shared" si="13" ref="N213:N277">ROUND(M213/1000,1)</f>
        <v>70</v>
      </c>
      <c r="O213" s="12"/>
      <c r="P213" s="41"/>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12"/>
    </row>
    <row r="214" spans="1:103" s="46" customFormat="1" ht="36.75" customHeight="1">
      <c r="A214" s="43"/>
      <c r="B214" s="43"/>
      <c r="C214" s="43"/>
      <c r="D214" s="44" t="s">
        <v>220</v>
      </c>
      <c r="E214" s="44" t="s">
        <v>220</v>
      </c>
      <c r="F214" s="79"/>
      <c r="G214" s="37">
        <f t="shared" si="12"/>
        <v>0</v>
      </c>
      <c r="H214" s="80"/>
      <c r="I214" s="79"/>
      <c r="J214" s="81">
        <f t="shared" si="11"/>
        <v>0</v>
      </c>
      <c r="K214" s="45">
        <v>70000</v>
      </c>
      <c r="L214" s="58"/>
      <c r="M214" s="45">
        <f t="shared" si="4"/>
        <v>70000</v>
      </c>
      <c r="N214" s="4">
        <f t="shared" si="13"/>
        <v>70</v>
      </c>
      <c r="O214" s="12"/>
      <c r="P214" s="41"/>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row>
    <row r="215" spans="1:103" s="46" customFormat="1" ht="36.75" customHeight="1">
      <c r="A215" s="43"/>
      <c r="B215" s="43"/>
      <c r="C215" s="43"/>
      <c r="D215" s="44" t="s">
        <v>221</v>
      </c>
      <c r="E215" s="44" t="s">
        <v>221</v>
      </c>
      <c r="F215" s="79"/>
      <c r="G215" s="37">
        <f t="shared" si="12"/>
        <v>0</v>
      </c>
      <c r="H215" s="80"/>
      <c r="I215" s="79"/>
      <c r="J215" s="81">
        <f t="shared" si="11"/>
        <v>0</v>
      </c>
      <c r="K215" s="45">
        <v>70000</v>
      </c>
      <c r="L215" s="58"/>
      <c r="M215" s="45">
        <f t="shared" si="4"/>
        <v>70000</v>
      </c>
      <c r="N215" s="4">
        <f t="shared" si="13"/>
        <v>70</v>
      </c>
      <c r="O215" s="12"/>
      <c r="P215" s="41"/>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c r="CT215" s="12"/>
      <c r="CU215" s="12"/>
      <c r="CV215" s="12"/>
      <c r="CW215" s="12"/>
      <c r="CX215" s="12"/>
      <c r="CY215" s="12"/>
    </row>
    <row r="216" spans="1:103" s="69" customFormat="1" ht="26.25" customHeight="1">
      <c r="A216" s="62"/>
      <c r="B216" s="62"/>
      <c r="C216" s="62"/>
      <c r="D216" s="61" t="s">
        <v>195</v>
      </c>
      <c r="E216" s="61" t="s">
        <v>195</v>
      </c>
      <c r="F216" s="85"/>
      <c r="G216" s="37">
        <f t="shared" si="12"/>
        <v>0</v>
      </c>
      <c r="H216" s="86"/>
      <c r="I216" s="85"/>
      <c r="J216" s="81">
        <f t="shared" si="11"/>
        <v>0</v>
      </c>
      <c r="K216" s="38">
        <f>SUM(K217:K267)</f>
        <v>80459448</v>
      </c>
      <c r="L216" s="38">
        <f>SUM(L217:L267)</f>
        <v>400000</v>
      </c>
      <c r="M216" s="38">
        <f>SUM(M217:M267)</f>
        <v>80859448</v>
      </c>
      <c r="N216" s="39">
        <f>SUM(N217:N267)</f>
        <v>80797.70000000001</v>
      </c>
      <c r="O216" s="70"/>
      <c r="P216" s="41"/>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c r="BH216" s="70"/>
      <c r="BI216" s="70"/>
      <c r="BJ216" s="70"/>
      <c r="BK216" s="70"/>
      <c r="BL216" s="70"/>
      <c r="BM216" s="70"/>
      <c r="BN216" s="70"/>
      <c r="BO216" s="70"/>
      <c r="BP216" s="70"/>
      <c r="BQ216" s="70"/>
      <c r="BR216" s="70"/>
      <c r="BS216" s="70"/>
      <c r="BT216" s="70"/>
      <c r="BU216" s="70"/>
      <c r="BV216" s="70"/>
      <c r="BW216" s="70"/>
      <c r="BX216" s="70"/>
      <c r="BY216" s="70"/>
      <c r="BZ216" s="70"/>
      <c r="CA216" s="70"/>
      <c r="CB216" s="70"/>
      <c r="CC216" s="70"/>
      <c r="CD216" s="70"/>
      <c r="CE216" s="70"/>
      <c r="CF216" s="70"/>
      <c r="CG216" s="70"/>
      <c r="CH216" s="70"/>
      <c r="CI216" s="70"/>
      <c r="CJ216" s="70"/>
      <c r="CK216" s="70"/>
      <c r="CL216" s="70"/>
      <c r="CM216" s="70"/>
      <c r="CN216" s="70"/>
      <c r="CO216" s="70"/>
      <c r="CP216" s="70"/>
      <c r="CQ216" s="70"/>
      <c r="CR216" s="70"/>
      <c r="CS216" s="70"/>
      <c r="CT216" s="70"/>
      <c r="CU216" s="70"/>
      <c r="CV216" s="70"/>
      <c r="CW216" s="70"/>
      <c r="CX216" s="70"/>
      <c r="CY216" s="70"/>
    </row>
    <row r="217" spans="1:103" s="46" customFormat="1" ht="40.5">
      <c r="A217" s="43"/>
      <c r="B217" s="43"/>
      <c r="C217" s="43"/>
      <c r="D217" s="44" t="s">
        <v>197</v>
      </c>
      <c r="E217" s="44" t="s">
        <v>197</v>
      </c>
      <c r="F217" s="79">
        <v>9995386</v>
      </c>
      <c r="G217" s="37">
        <f t="shared" si="12"/>
        <v>9995.4</v>
      </c>
      <c r="H217" s="80">
        <v>24</v>
      </c>
      <c r="I217" s="79">
        <v>2401568</v>
      </c>
      <c r="J217" s="81">
        <f t="shared" si="11"/>
        <v>2401.6</v>
      </c>
      <c r="K217" s="45">
        <f>200000+500000</f>
        <v>700000</v>
      </c>
      <c r="L217" s="45"/>
      <c r="M217" s="45">
        <f aca="true" t="shared" si="14" ref="M217:M284">K217+L217</f>
        <v>700000</v>
      </c>
      <c r="N217" s="4">
        <f t="shared" si="13"/>
        <v>700</v>
      </c>
      <c r="O217" s="12"/>
      <c r="P217" s="41"/>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c r="CT217" s="12"/>
      <c r="CU217" s="12"/>
      <c r="CV217" s="12"/>
      <c r="CW217" s="12"/>
      <c r="CX217" s="12"/>
      <c r="CY217" s="12"/>
    </row>
    <row r="218" spans="1:103" s="46" customFormat="1" ht="40.5">
      <c r="A218" s="43"/>
      <c r="B218" s="43"/>
      <c r="C218" s="43"/>
      <c r="D218" s="44" t="s">
        <v>198</v>
      </c>
      <c r="E218" s="44" t="s">
        <v>198</v>
      </c>
      <c r="F218" s="79">
        <v>11282117</v>
      </c>
      <c r="G218" s="37">
        <f t="shared" si="12"/>
        <v>11282.1</v>
      </c>
      <c r="H218" s="80">
        <v>61</v>
      </c>
      <c r="I218" s="79">
        <v>6879469</v>
      </c>
      <c r="J218" s="81">
        <f t="shared" si="11"/>
        <v>6879.5</v>
      </c>
      <c r="K218" s="45">
        <f>1000000+2050000</f>
        <v>3050000</v>
      </c>
      <c r="L218" s="45"/>
      <c r="M218" s="45">
        <f t="shared" si="14"/>
        <v>3050000</v>
      </c>
      <c r="N218" s="4">
        <f t="shared" si="13"/>
        <v>3050</v>
      </c>
      <c r="O218" s="12"/>
      <c r="P218" s="41"/>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c r="CV218" s="12"/>
      <c r="CW218" s="12"/>
      <c r="CX218" s="12"/>
      <c r="CY218" s="12"/>
    </row>
    <row r="219" spans="1:103" s="46" customFormat="1" ht="79.5" customHeight="1">
      <c r="A219" s="43"/>
      <c r="B219" s="43"/>
      <c r="C219" s="43"/>
      <c r="D219" s="82" t="s">
        <v>263</v>
      </c>
      <c r="E219" s="82" t="s">
        <v>263</v>
      </c>
      <c r="F219" s="79"/>
      <c r="G219" s="37">
        <f t="shared" si="12"/>
        <v>0</v>
      </c>
      <c r="H219" s="80"/>
      <c r="I219" s="79"/>
      <c r="J219" s="81">
        <f t="shared" si="11"/>
        <v>0</v>
      </c>
      <c r="K219" s="45">
        <v>500000</v>
      </c>
      <c r="L219" s="45"/>
      <c r="M219" s="45">
        <f t="shared" si="14"/>
        <v>500000</v>
      </c>
      <c r="N219" s="4">
        <f t="shared" si="13"/>
        <v>500</v>
      </c>
      <c r="O219" s="12"/>
      <c r="P219" s="41"/>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12"/>
    </row>
    <row r="220" spans="1:103" s="46" customFormat="1" ht="80.25" customHeight="1">
      <c r="A220" s="43"/>
      <c r="B220" s="43"/>
      <c r="C220" s="43"/>
      <c r="D220" s="82" t="s">
        <v>264</v>
      </c>
      <c r="E220" s="82" t="s">
        <v>264</v>
      </c>
      <c r="F220" s="79"/>
      <c r="G220" s="37">
        <f t="shared" si="12"/>
        <v>0</v>
      </c>
      <c r="H220" s="80"/>
      <c r="I220" s="79"/>
      <c r="J220" s="81">
        <f t="shared" si="11"/>
        <v>0</v>
      </c>
      <c r="K220" s="45">
        <v>500000</v>
      </c>
      <c r="L220" s="45"/>
      <c r="M220" s="45">
        <f t="shared" si="14"/>
        <v>500000</v>
      </c>
      <c r="N220" s="4">
        <f t="shared" si="13"/>
        <v>500</v>
      </c>
      <c r="O220" s="12"/>
      <c r="P220" s="41"/>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row>
    <row r="221" spans="1:103" s="46" customFormat="1" ht="40.5">
      <c r="A221" s="43"/>
      <c r="B221" s="43"/>
      <c r="C221" s="43"/>
      <c r="D221" s="82" t="s">
        <v>289</v>
      </c>
      <c r="E221" s="82" t="s">
        <v>289</v>
      </c>
      <c r="F221" s="79"/>
      <c r="G221" s="37">
        <f t="shared" si="12"/>
        <v>0</v>
      </c>
      <c r="H221" s="80"/>
      <c r="I221" s="79"/>
      <c r="J221" s="81">
        <f t="shared" si="11"/>
        <v>0</v>
      </c>
      <c r="K221" s="45">
        <v>30000</v>
      </c>
      <c r="L221" s="45"/>
      <c r="M221" s="45">
        <f t="shared" si="14"/>
        <v>30000</v>
      </c>
      <c r="N221" s="4">
        <f t="shared" si="13"/>
        <v>30</v>
      </c>
      <c r="O221" s="12"/>
      <c r="P221" s="41"/>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row>
    <row r="222" spans="1:103" s="46" customFormat="1" ht="40.5">
      <c r="A222" s="43"/>
      <c r="B222" s="43"/>
      <c r="C222" s="43"/>
      <c r="D222" s="82" t="s">
        <v>276</v>
      </c>
      <c r="E222" s="82" t="s">
        <v>276</v>
      </c>
      <c r="F222" s="79"/>
      <c r="G222" s="37">
        <f t="shared" si="12"/>
        <v>0</v>
      </c>
      <c r="H222" s="80"/>
      <c r="I222" s="79"/>
      <c r="J222" s="81">
        <f t="shared" si="11"/>
        <v>0</v>
      </c>
      <c r="K222" s="45">
        <v>4005000</v>
      </c>
      <c r="L222" s="45"/>
      <c r="M222" s="45">
        <f t="shared" si="14"/>
        <v>4005000</v>
      </c>
      <c r="N222" s="4">
        <f t="shared" si="13"/>
        <v>4005</v>
      </c>
      <c r="O222" s="12"/>
      <c r="P222" s="41"/>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c r="CV222" s="12"/>
      <c r="CW222" s="12"/>
      <c r="CX222" s="12"/>
      <c r="CY222" s="12"/>
    </row>
    <row r="223" spans="1:103" s="46" customFormat="1" ht="40.5">
      <c r="A223" s="43"/>
      <c r="B223" s="43"/>
      <c r="C223" s="43"/>
      <c r="D223" s="44" t="s">
        <v>199</v>
      </c>
      <c r="E223" s="44" t="s">
        <v>199</v>
      </c>
      <c r="F223" s="79">
        <v>5382485</v>
      </c>
      <c r="G223" s="37">
        <f t="shared" si="12"/>
        <v>5382.5</v>
      </c>
      <c r="H223" s="80">
        <v>88.6</v>
      </c>
      <c r="I223" s="79">
        <v>4766800</v>
      </c>
      <c r="J223" s="81">
        <f t="shared" si="11"/>
        <v>4766.8</v>
      </c>
      <c r="K223" s="45">
        <f>1322041+1322041</f>
        <v>2644082</v>
      </c>
      <c r="L223" s="45"/>
      <c r="M223" s="45">
        <f t="shared" si="14"/>
        <v>2644082</v>
      </c>
      <c r="N223" s="4">
        <f t="shared" si="13"/>
        <v>2644.1</v>
      </c>
      <c r="O223" s="12"/>
      <c r="P223" s="41"/>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J223" s="12"/>
      <c r="CK223" s="12"/>
      <c r="CL223" s="12"/>
      <c r="CM223" s="12"/>
      <c r="CN223" s="12"/>
      <c r="CO223" s="12"/>
      <c r="CP223" s="12"/>
      <c r="CQ223" s="12"/>
      <c r="CR223" s="12"/>
      <c r="CS223" s="12"/>
      <c r="CT223" s="12"/>
      <c r="CU223" s="12"/>
      <c r="CV223" s="12"/>
      <c r="CW223" s="12"/>
      <c r="CX223" s="12"/>
      <c r="CY223" s="12"/>
    </row>
    <row r="224" spans="1:103" s="46" customFormat="1" ht="40.5">
      <c r="A224" s="43"/>
      <c r="B224" s="43"/>
      <c r="C224" s="43"/>
      <c r="D224" s="44" t="s">
        <v>200</v>
      </c>
      <c r="E224" s="44" t="s">
        <v>200</v>
      </c>
      <c r="F224" s="79"/>
      <c r="G224" s="37">
        <f t="shared" si="12"/>
        <v>0</v>
      </c>
      <c r="H224" s="80"/>
      <c r="I224" s="79"/>
      <c r="J224" s="81">
        <f t="shared" si="11"/>
        <v>0</v>
      </c>
      <c r="K224" s="45">
        <f>5263766-3000000</f>
        <v>2263766</v>
      </c>
      <c r="L224" s="58"/>
      <c r="M224" s="45">
        <f t="shared" si="14"/>
        <v>2263766</v>
      </c>
      <c r="N224" s="4">
        <f>ROUND(M224/1000,1)-0.1</f>
        <v>2263.7000000000003</v>
      </c>
      <c r="O224" s="12"/>
      <c r="P224" s="41"/>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c r="CJ224" s="12"/>
      <c r="CK224" s="12"/>
      <c r="CL224" s="12"/>
      <c r="CM224" s="12"/>
      <c r="CN224" s="12"/>
      <c r="CO224" s="12"/>
      <c r="CP224" s="12"/>
      <c r="CQ224" s="12"/>
      <c r="CR224" s="12"/>
      <c r="CS224" s="12"/>
      <c r="CT224" s="12"/>
      <c r="CU224" s="12"/>
      <c r="CV224" s="12"/>
      <c r="CW224" s="12"/>
      <c r="CX224" s="12"/>
      <c r="CY224" s="12"/>
    </row>
    <row r="225" spans="1:103" s="46" customFormat="1" ht="40.5">
      <c r="A225" s="43"/>
      <c r="B225" s="43"/>
      <c r="C225" s="43"/>
      <c r="D225" s="44" t="s">
        <v>265</v>
      </c>
      <c r="E225" s="44" t="s">
        <v>265</v>
      </c>
      <c r="F225" s="79"/>
      <c r="G225" s="37">
        <f t="shared" si="12"/>
        <v>0</v>
      </c>
      <c r="H225" s="80"/>
      <c r="I225" s="79"/>
      <c r="J225" s="81">
        <f t="shared" si="11"/>
        <v>0</v>
      </c>
      <c r="K225" s="45">
        <v>425000</v>
      </c>
      <c r="L225" s="45"/>
      <c r="M225" s="45">
        <f t="shared" si="14"/>
        <v>425000</v>
      </c>
      <c r="N225" s="4">
        <f>ROUND(M225/1000,1)+300</f>
        <v>725</v>
      </c>
      <c r="O225" s="12"/>
      <c r="P225" s="41"/>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c r="CG225" s="12"/>
      <c r="CH225" s="12"/>
      <c r="CI225" s="12"/>
      <c r="CJ225" s="12"/>
      <c r="CK225" s="12"/>
      <c r="CL225" s="12"/>
      <c r="CM225" s="12"/>
      <c r="CN225" s="12"/>
      <c r="CO225" s="12"/>
      <c r="CP225" s="12"/>
      <c r="CQ225" s="12"/>
      <c r="CR225" s="12"/>
      <c r="CS225" s="12"/>
      <c r="CT225" s="12"/>
      <c r="CU225" s="12"/>
      <c r="CV225" s="12"/>
      <c r="CW225" s="12"/>
      <c r="CX225" s="12"/>
      <c r="CY225" s="12"/>
    </row>
    <row r="226" spans="1:103" s="46" customFormat="1" ht="51" customHeight="1">
      <c r="A226" s="43"/>
      <c r="B226" s="43"/>
      <c r="C226" s="43"/>
      <c r="D226" s="44" t="s">
        <v>277</v>
      </c>
      <c r="E226" s="44" t="s">
        <v>277</v>
      </c>
      <c r="F226" s="79"/>
      <c r="G226" s="37">
        <f t="shared" si="12"/>
        <v>0</v>
      </c>
      <c r="H226" s="80"/>
      <c r="I226" s="79"/>
      <c r="J226" s="81">
        <f t="shared" si="11"/>
        <v>0</v>
      </c>
      <c r="K226" s="45">
        <v>250000</v>
      </c>
      <c r="L226" s="45"/>
      <c r="M226" s="45">
        <f>K226+L226</f>
        <v>250000</v>
      </c>
      <c r="N226" s="4">
        <f t="shared" si="13"/>
        <v>250</v>
      </c>
      <c r="O226" s="12"/>
      <c r="P226" s="41"/>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row>
    <row r="227" spans="1:103" s="46" customFormat="1" ht="51" customHeight="1">
      <c r="A227" s="43"/>
      <c r="B227" s="43"/>
      <c r="C227" s="43"/>
      <c r="D227" s="44" t="s">
        <v>278</v>
      </c>
      <c r="E227" s="44" t="s">
        <v>278</v>
      </c>
      <c r="F227" s="79"/>
      <c r="G227" s="37">
        <f t="shared" si="12"/>
        <v>0</v>
      </c>
      <c r="H227" s="80"/>
      <c r="I227" s="79"/>
      <c r="J227" s="81">
        <f t="shared" si="11"/>
        <v>0</v>
      </c>
      <c r="K227" s="45">
        <v>250000</v>
      </c>
      <c r="L227" s="45"/>
      <c r="M227" s="45">
        <f>K227+L227</f>
        <v>250000</v>
      </c>
      <c r="N227" s="4">
        <f t="shared" si="13"/>
        <v>250</v>
      </c>
      <c r="O227" s="12"/>
      <c r="P227" s="41"/>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c r="BX227" s="12"/>
      <c r="BY227" s="12"/>
      <c r="BZ227" s="12"/>
      <c r="CA227" s="12"/>
      <c r="CB227" s="12"/>
      <c r="CC227" s="12"/>
      <c r="CD227" s="12"/>
      <c r="CE227" s="12"/>
      <c r="CF227" s="12"/>
      <c r="CG227" s="12"/>
      <c r="CH227" s="12"/>
      <c r="CI227" s="12"/>
      <c r="CJ227" s="12"/>
      <c r="CK227" s="12"/>
      <c r="CL227" s="12"/>
      <c r="CM227" s="12"/>
      <c r="CN227" s="12"/>
      <c r="CO227" s="12"/>
      <c r="CP227" s="12"/>
      <c r="CQ227" s="12"/>
      <c r="CR227" s="12"/>
      <c r="CS227" s="12"/>
      <c r="CT227" s="12"/>
      <c r="CU227" s="12"/>
      <c r="CV227" s="12"/>
      <c r="CW227" s="12"/>
      <c r="CX227" s="12"/>
      <c r="CY227" s="12"/>
    </row>
    <row r="228" spans="1:103" s="46" customFormat="1" ht="58.5" customHeight="1">
      <c r="A228" s="43"/>
      <c r="B228" s="43"/>
      <c r="C228" s="43"/>
      <c r="D228" s="44" t="s">
        <v>275</v>
      </c>
      <c r="E228" s="44" t="s">
        <v>275</v>
      </c>
      <c r="F228" s="79"/>
      <c r="G228" s="37">
        <f t="shared" si="12"/>
        <v>0</v>
      </c>
      <c r="H228" s="80"/>
      <c r="I228" s="79"/>
      <c r="J228" s="81">
        <f t="shared" si="11"/>
        <v>0</v>
      </c>
      <c r="K228" s="45">
        <v>500000</v>
      </c>
      <c r="L228" s="45"/>
      <c r="M228" s="45">
        <f>K228+L228</f>
        <v>500000</v>
      </c>
      <c r="N228" s="4">
        <f t="shared" si="13"/>
        <v>500</v>
      </c>
      <c r="O228" s="12"/>
      <c r="P228" s="41"/>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c r="BM228" s="12"/>
      <c r="BN228" s="12"/>
      <c r="BO228" s="12"/>
      <c r="BP228" s="12"/>
      <c r="BQ228" s="12"/>
      <c r="BR228" s="12"/>
      <c r="BS228" s="12"/>
      <c r="BT228" s="12"/>
      <c r="BU228" s="12"/>
      <c r="BV228" s="12"/>
      <c r="BW228" s="12"/>
      <c r="BX228" s="12"/>
      <c r="BY228" s="12"/>
      <c r="BZ228" s="12"/>
      <c r="CA228" s="12"/>
      <c r="CB228" s="12"/>
      <c r="CC228" s="12"/>
      <c r="CD228" s="12"/>
      <c r="CE228" s="12"/>
      <c r="CF228" s="12"/>
      <c r="CG228" s="12"/>
      <c r="CH228" s="12"/>
      <c r="CI228" s="12"/>
      <c r="CJ228" s="12"/>
      <c r="CK228" s="12"/>
      <c r="CL228" s="12"/>
      <c r="CM228" s="12"/>
      <c r="CN228" s="12"/>
      <c r="CO228" s="12"/>
      <c r="CP228" s="12"/>
      <c r="CQ228" s="12"/>
      <c r="CR228" s="12"/>
      <c r="CS228" s="12"/>
      <c r="CT228" s="12"/>
      <c r="CU228" s="12"/>
      <c r="CV228" s="12"/>
      <c r="CW228" s="12"/>
      <c r="CX228" s="12"/>
      <c r="CY228" s="12"/>
    </row>
    <row r="229" spans="1:103" s="46" customFormat="1" ht="51" customHeight="1">
      <c r="A229" s="43"/>
      <c r="B229" s="43"/>
      <c r="C229" s="43"/>
      <c r="D229" s="44" t="s">
        <v>378</v>
      </c>
      <c r="E229" s="44" t="s">
        <v>270</v>
      </c>
      <c r="F229" s="79"/>
      <c r="G229" s="37">
        <f t="shared" si="12"/>
        <v>0</v>
      </c>
      <c r="H229" s="80"/>
      <c r="I229" s="79"/>
      <c r="J229" s="81">
        <f t="shared" si="11"/>
        <v>0</v>
      </c>
      <c r="K229" s="45">
        <v>500000</v>
      </c>
      <c r="L229" s="45"/>
      <c r="M229" s="45">
        <f>K229+L229</f>
        <v>500000</v>
      </c>
      <c r="N229" s="4">
        <f t="shared" si="13"/>
        <v>500</v>
      </c>
      <c r="O229" s="12"/>
      <c r="P229" s="41"/>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c r="BM229" s="12"/>
      <c r="BN229" s="12"/>
      <c r="BO229" s="12"/>
      <c r="BP229" s="12"/>
      <c r="BQ229" s="12"/>
      <c r="BR229" s="12"/>
      <c r="BS229" s="12"/>
      <c r="BT229" s="12"/>
      <c r="BU229" s="12"/>
      <c r="BV229" s="12"/>
      <c r="BW229" s="12"/>
      <c r="BX229" s="12"/>
      <c r="BY229" s="12"/>
      <c r="BZ229" s="12"/>
      <c r="CA229" s="12"/>
      <c r="CB229" s="12"/>
      <c r="CC229" s="12"/>
      <c r="CD229" s="12"/>
      <c r="CE229" s="12"/>
      <c r="CF229" s="12"/>
      <c r="CG229" s="12"/>
      <c r="CH229" s="12"/>
      <c r="CI229" s="12"/>
      <c r="CJ229" s="12"/>
      <c r="CK229" s="12"/>
      <c r="CL229" s="12"/>
      <c r="CM229" s="12"/>
      <c r="CN229" s="12"/>
      <c r="CO229" s="12"/>
      <c r="CP229" s="12"/>
      <c r="CQ229" s="12"/>
      <c r="CR229" s="12"/>
      <c r="CS229" s="12"/>
      <c r="CT229" s="12"/>
      <c r="CU229" s="12"/>
      <c r="CV229" s="12"/>
      <c r="CW229" s="12"/>
      <c r="CX229" s="12"/>
      <c r="CY229" s="12"/>
    </row>
    <row r="230" spans="1:103" s="46" customFormat="1" ht="51" customHeight="1">
      <c r="A230" s="43"/>
      <c r="B230" s="43"/>
      <c r="C230" s="43"/>
      <c r="D230" s="44" t="s">
        <v>398</v>
      </c>
      <c r="E230" s="44"/>
      <c r="F230" s="79"/>
      <c r="G230" s="37"/>
      <c r="H230" s="80"/>
      <c r="I230" s="79"/>
      <c r="J230" s="81"/>
      <c r="K230" s="45"/>
      <c r="L230" s="45"/>
      <c r="M230" s="45"/>
      <c r="N230" s="4">
        <f>54.9+2.1</f>
        <v>57</v>
      </c>
      <c r="O230" s="12"/>
      <c r="P230" s="41"/>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12"/>
      <c r="CC230" s="12"/>
      <c r="CD230" s="12"/>
      <c r="CE230" s="12"/>
      <c r="CF230" s="12"/>
      <c r="CG230" s="12"/>
      <c r="CH230" s="12"/>
      <c r="CI230" s="12"/>
      <c r="CJ230" s="12"/>
      <c r="CK230" s="12"/>
      <c r="CL230" s="12"/>
      <c r="CM230" s="12"/>
      <c r="CN230" s="12"/>
      <c r="CO230" s="12"/>
      <c r="CP230" s="12"/>
      <c r="CQ230" s="12"/>
      <c r="CR230" s="12"/>
      <c r="CS230" s="12"/>
      <c r="CT230" s="12"/>
      <c r="CU230" s="12"/>
      <c r="CV230" s="12"/>
      <c r="CW230" s="12"/>
      <c r="CX230" s="12"/>
      <c r="CY230" s="12"/>
    </row>
    <row r="231" spans="1:103" s="46" customFormat="1" ht="51" customHeight="1">
      <c r="A231" s="43"/>
      <c r="B231" s="43"/>
      <c r="C231" s="43"/>
      <c r="D231" s="44" t="s">
        <v>399</v>
      </c>
      <c r="E231" s="44"/>
      <c r="F231" s="79"/>
      <c r="G231" s="37"/>
      <c r="H231" s="80"/>
      <c r="I231" s="79"/>
      <c r="J231" s="81"/>
      <c r="K231" s="45"/>
      <c r="L231" s="45"/>
      <c r="M231" s="45"/>
      <c r="N231" s="4">
        <v>42.8</v>
      </c>
      <c r="O231" s="12"/>
      <c r="P231" s="41"/>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c r="BM231" s="12"/>
      <c r="BN231" s="12"/>
      <c r="BO231" s="12"/>
      <c r="BP231" s="12"/>
      <c r="BQ231" s="12"/>
      <c r="BR231" s="12"/>
      <c r="BS231" s="12"/>
      <c r="BT231" s="12"/>
      <c r="BU231" s="12"/>
      <c r="BV231" s="12"/>
      <c r="BW231" s="12"/>
      <c r="BX231" s="12"/>
      <c r="BY231" s="12"/>
      <c r="BZ231" s="12"/>
      <c r="CA231" s="12"/>
      <c r="CB231" s="12"/>
      <c r="CC231" s="12"/>
      <c r="CD231" s="12"/>
      <c r="CE231" s="12"/>
      <c r="CF231" s="12"/>
      <c r="CG231" s="12"/>
      <c r="CH231" s="12"/>
      <c r="CI231" s="12"/>
      <c r="CJ231" s="12"/>
      <c r="CK231" s="12"/>
      <c r="CL231" s="12"/>
      <c r="CM231" s="12"/>
      <c r="CN231" s="12"/>
      <c r="CO231" s="12"/>
      <c r="CP231" s="12"/>
      <c r="CQ231" s="12"/>
      <c r="CR231" s="12"/>
      <c r="CS231" s="12"/>
      <c r="CT231" s="12"/>
      <c r="CU231" s="12"/>
      <c r="CV231" s="12"/>
      <c r="CW231" s="12"/>
      <c r="CX231" s="12"/>
      <c r="CY231" s="12"/>
    </row>
    <row r="232" spans="1:103" s="46" customFormat="1" ht="51" customHeight="1">
      <c r="A232" s="43"/>
      <c r="B232" s="43"/>
      <c r="C232" s="43"/>
      <c r="D232" s="44" t="s">
        <v>400</v>
      </c>
      <c r="E232" s="44"/>
      <c r="F232" s="79"/>
      <c r="G232" s="37"/>
      <c r="H232" s="80"/>
      <c r="I232" s="79"/>
      <c r="J232" s="81"/>
      <c r="K232" s="45"/>
      <c r="L232" s="45"/>
      <c r="M232" s="45"/>
      <c r="N232" s="4">
        <v>43</v>
      </c>
      <c r="O232" s="12"/>
      <c r="P232" s="41"/>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c r="BT232" s="12"/>
      <c r="BU232" s="12"/>
      <c r="BV232" s="12"/>
      <c r="BW232" s="12"/>
      <c r="BX232" s="12"/>
      <c r="BY232" s="12"/>
      <c r="BZ232" s="12"/>
      <c r="CA232" s="12"/>
      <c r="CB232" s="12"/>
      <c r="CC232" s="12"/>
      <c r="CD232" s="12"/>
      <c r="CE232" s="12"/>
      <c r="CF232" s="12"/>
      <c r="CG232" s="12"/>
      <c r="CH232" s="12"/>
      <c r="CI232" s="12"/>
      <c r="CJ232" s="12"/>
      <c r="CK232" s="12"/>
      <c r="CL232" s="12"/>
      <c r="CM232" s="12"/>
      <c r="CN232" s="12"/>
      <c r="CO232" s="12"/>
      <c r="CP232" s="12"/>
      <c r="CQ232" s="12"/>
      <c r="CR232" s="12"/>
      <c r="CS232" s="12"/>
      <c r="CT232" s="12"/>
      <c r="CU232" s="12"/>
      <c r="CV232" s="12"/>
      <c r="CW232" s="12"/>
      <c r="CX232" s="12"/>
      <c r="CY232" s="12"/>
    </row>
    <row r="233" spans="1:103" s="46" customFormat="1" ht="51" customHeight="1">
      <c r="A233" s="43"/>
      <c r="B233" s="43"/>
      <c r="C233" s="43"/>
      <c r="D233" s="44" t="s">
        <v>401</v>
      </c>
      <c r="E233" s="44"/>
      <c r="F233" s="79"/>
      <c r="G233" s="37"/>
      <c r="H233" s="80"/>
      <c r="I233" s="79"/>
      <c r="J233" s="81"/>
      <c r="K233" s="45"/>
      <c r="L233" s="45"/>
      <c r="M233" s="45"/>
      <c r="N233" s="4">
        <v>4.5</v>
      </c>
      <c r="O233" s="12"/>
      <c r="P233" s="41"/>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c r="BM233" s="12"/>
      <c r="BN233" s="12"/>
      <c r="BO233" s="12"/>
      <c r="BP233" s="12"/>
      <c r="BQ233" s="12"/>
      <c r="BR233" s="12"/>
      <c r="BS233" s="12"/>
      <c r="BT233" s="12"/>
      <c r="BU233" s="12"/>
      <c r="BV233" s="12"/>
      <c r="BW233" s="12"/>
      <c r="BX233" s="12"/>
      <c r="BY233" s="12"/>
      <c r="BZ233" s="12"/>
      <c r="CA233" s="12"/>
      <c r="CB233" s="12"/>
      <c r="CC233" s="12"/>
      <c r="CD233" s="12"/>
      <c r="CE233" s="12"/>
      <c r="CF233" s="12"/>
      <c r="CG233" s="12"/>
      <c r="CH233" s="12"/>
      <c r="CI233" s="12"/>
      <c r="CJ233" s="12"/>
      <c r="CK233" s="12"/>
      <c r="CL233" s="12"/>
      <c r="CM233" s="12"/>
      <c r="CN233" s="12"/>
      <c r="CO233" s="12"/>
      <c r="CP233" s="12"/>
      <c r="CQ233" s="12"/>
      <c r="CR233" s="12"/>
      <c r="CS233" s="12"/>
      <c r="CT233" s="12"/>
      <c r="CU233" s="12"/>
      <c r="CV233" s="12"/>
      <c r="CW233" s="12"/>
      <c r="CX233" s="12"/>
      <c r="CY233" s="12"/>
    </row>
    <row r="234" spans="1:103" s="46" customFormat="1" ht="40.5">
      <c r="A234" s="43"/>
      <c r="B234" s="43"/>
      <c r="C234" s="43"/>
      <c r="D234" s="44" t="s">
        <v>201</v>
      </c>
      <c r="E234" s="44" t="s">
        <v>201</v>
      </c>
      <c r="F234" s="79"/>
      <c r="G234" s="37">
        <f t="shared" si="12"/>
        <v>0</v>
      </c>
      <c r="H234" s="80"/>
      <c r="I234" s="79"/>
      <c r="J234" s="81">
        <f t="shared" si="11"/>
        <v>0</v>
      </c>
      <c r="K234" s="45">
        <f>1000000-500000+2500000</f>
        <v>3000000</v>
      </c>
      <c r="L234" s="45"/>
      <c r="M234" s="45">
        <f t="shared" si="14"/>
        <v>3000000</v>
      </c>
      <c r="N234" s="4">
        <f t="shared" si="13"/>
        <v>3000</v>
      </c>
      <c r="O234" s="12"/>
      <c r="P234" s="41"/>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2"/>
      <c r="BX234" s="12"/>
      <c r="BY234" s="12"/>
      <c r="BZ234" s="12"/>
      <c r="CA234" s="12"/>
      <c r="CB234" s="12"/>
      <c r="CC234" s="12"/>
      <c r="CD234" s="12"/>
      <c r="CE234" s="12"/>
      <c r="CF234" s="12"/>
      <c r="CG234" s="12"/>
      <c r="CH234" s="12"/>
      <c r="CI234" s="12"/>
      <c r="CJ234" s="12"/>
      <c r="CK234" s="12"/>
      <c r="CL234" s="12"/>
      <c r="CM234" s="12"/>
      <c r="CN234" s="12"/>
      <c r="CO234" s="12"/>
      <c r="CP234" s="12"/>
      <c r="CQ234" s="12"/>
      <c r="CR234" s="12"/>
      <c r="CS234" s="12"/>
      <c r="CT234" s="12"/>
      <c r="CU234" s="12"/>
      <c r="CV234" s="12"/>
      <c r="CW234" s="12"/>
      <c r="CX234" s="12"/>
      <c r="CY234" s="12"/>
    </row>
    <row r="235" spans="1:103" s="46" customFormat="1" ht="67.5" customHeight="1">
      <c r="A235" s="43"/>
      <c r="B235" s="43"/>
      <c r="C235" s="43"/>
      <c r="D235" s="82" t="s">
        <v>387</v>
      </c>
      <c r="E235" s="82" t="s">
        <v>306</v>
      </c>
      <c r="F235" s="79"/>
      <c r="G235" s="37">
        <f t="shared" si="12"/>
        <v>0</v>
      </c>
      <c r="H235" s="80"/>
      <c r="I235" s="79"/>
      <c r="J235" s="81">
        <f t="shared" si="11"/>
        <v>0</v>
      </c>
      <c r="K235" s="45">
        <v>100000</v>
      </c>
      <c r="L235" s="45"/>
      <c r="M235" s="45">
        <f t="shared" si="14"/>
        <v>100000</v>
      </c>
      <c r="N235" s="4">
        <f t="shared" si="13"/>
        <v>100</v>
      </c>
      <c r="O235" s="12"/>
      <c r="P235" s="41"/>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c r="BR235" s="12"/>
      <c r="BS235" s="12"/>
      <c r="BT235" s="12"/>
      <c r="BU235" s="12"/>
      <c r="BV235" s="12"/>
      <c r="BW235" s="12"/>
      <c r="BX235" s="12"/>
      <c r="BY235" s="12"/>
      <c r="BZ235" s="12"/>
      <c r="CA235" s="12"/>
      <c r="CB235" s="12"/>
      <c r="CC235" s="12"/>
      <c r="CD235" s="12"/>
      <c r="CE235" s="12"/>
      <c r="CF235" s="12"/>
      <c r="CG235" s="12"/>
      <c r="CH235" s="12"/>
      <c r="CI235" s="12"/>
      <c r="CJ235" s="12"/>
      <c r="CK235" s="12"/>
      <c r="CL235" s="12"/>
      <c r="CM235" s="12"/>
      <c r="CN235" s="12"/>
      <c r="CO235" s="12"/>
      <c r="CP235" s="12"/>
      <c r="CQ235" s="12"/>
      <c r="CR235" s="12"/>
      <c r="CS235" s="12"/>
      <c r="CT235" s="12"/>
      <c r="CU235" s="12"/>
      <c r="CV235" s="12"/>
      <c r="CW235" s="12"/>
      <c r="CX235" s="12"/>
      <c r="CY235" s="12"/>
    </row>
    <row r="236" spans="1:103" s="46" customFormat="1" ht="40.5">
      <c r="A236" s="43"/>
      <c r="B236" s="43"/>
      <c r="C236" s="43"/>
      <c r="D236" s="44" t="s">
        <v>247</v>
      </c>
      <c r="E236" s="44" t="s">
        <v>247</v>
      </c>
      <c r="F236" s="79"/>
      <c r="G236" s="37">
        <f t="shared" si="12"/>
        <v>0</v>
      </c>
      <c r="H236" s="80"/>
      <c r="I236" s="79"/>
      <c r="J236" s="81">
        <f t="shared" si="11"/>
        <v>0</v>
      </c>
      <c r="K236" s="45">
        <v>1000000</v>
      </c>
      <c r="L236" s="45"/>
      <c r="M236" s="45">
        <f t="shared" si="14"/>
        <v>1000000</v>
      </c>
      <c r="N236" s="4">
        <f t="shared" si="13"/>
        <v>1000</v>
      </c>
      <c r="O236" s="12"/>
      <c r="P236" s="41"/>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c r="BR236" s="12"/>
      <c r="BS236" s="12"/>
      <c r="BT236" s="12"/>
      <c r="BU236" s="12"/>
      <c r="BV236" s="12"/>
      <c r="BW236" s="12"/>
      <c r="BX236" s="12"/>
      <c r="BY236" s="12"/>
      <c r="BZ236" s="12"/>
      <c r="CA236" s="12"/>
      <c r="CB236" s="12"/>
      <c r="CC236" s="12"/>
      <c r="CD236" s="12"/>
      <c r="CE236" s="12"/>
      <c r="CF236" s="12"/>
      <c r="CG236" s="12"/>
      <c r="CH236" s="12"/>
      <c r="CI236" s="12"/>
      <c r="CJ236" s="12"/>
      <c r="CK236" s="12"/>
      <c r="CL236" s="12"/>
      <c r="CM236" s="12"/>
      <c r="CN236" s="12"/>
      <c r="CO236" s="12"/>
      <c r="CP236" s="12"/>
      <c r="CQ236" s="12"/>
      <c r="CR236" s="12"/>
      <c r="CS236" s="12"/>
      <c r="CT236" s="12"/>
      <c r="CU236" s="12"/>
      <c r="CV236" s="12"/>
      <c r="CW236" s="12"/>
      <c r="CX236" s="12"/>
      <c r="CY236" s="12"/>
    </row>
    <row r="237" spans="1:103" s="46" customFormat="1" ht="42" customHeight="1">
      <c r="A237" s="43"/>
      <c r="B237" s="43"/>
      <c r="C237" s="43"/>
      <c r="D237" s="44" t="s">
        <v>266</v>
      </c>
      <c r="E237" s="44" t="s">
        <v>266</v>
      </c>
      <c r="F237" s="79"/>
      <c r="G237" s="37">
        <f t="shared" si="12"/>
        <v>0</v>
      </c>
      <c r="H237" s="80"/>
      <c r="I237" s="79"/>
      <c r="J237" s="81">
        <f t="shared" si="11"/>
        <v>0</v>
      </c>
      <c r="K237" s="45">
        <v>500000</v>
      </c>
      <c r="L237" s="45"/>
      <c r="M237" s="45">
        <f t="shared" si="14"/>
        <v>500000</v>
      </c>
      <c r="N237" s="4">
        <f>ROUND(M237/1000,1)+200</f>
        <v>700</v>
      </c>
      <c r="O237" s="12"/>
      <c r="P237" s="41"/>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c r="BM237" s="12"/>
      <c r="BN237" s="12"/>
      <c r="BO237" s="12"/>
      <c r="BP237" s="12"/>
      <c r="BQ237" s="12"/>
      <c r="BR237" s="12"/>
      <c r="BS237" s="12"/>
      <c r="BT237" s="12"/>
      <c r="BU237" s="12"/>
      <c r="BV237" s="12"/>
      <c r="BW237" s="12"/>
      <c r="BX237" s="12"/>
      <c r="BY237" s="12"/>
      <c r="BZ237" s="12"/>
      <c r="CA237" s="12"/>
      <c r="CB237" s="12"/>
      <c r="CC237" s="12"/>
      <c r="CD237" s="12"/>
      <c r="CE237" s="12"/>
      <c r="CF237" s="12"/>
      <c r="CG237" s="12"/>
      <c r="CH237" s="12"/>
      <c r="CI237" s="12"/>
      <c r="CJ237" s="12"/>
      <c r="CK237" s="12"/>
      <c r="CL237" s="12"/>
      <c r="CM237" s="12"/>
      <c r="CN237" s="12"/>
      <c r="CO237" s="12"/>
      <c r="CP237" s="12"/>
      <c r="CQ237" s="12"/>
      <c r="CR237" s="12"/>
      <c r="CS237" s="12"/>
      <c r="CT237" s="12"/>
      <c r="CU237" s="12"/>
      <c r="CV237" s="12"/>
      <c r="CW237" s="12"/>
      <c r="CX237" s="12"/>
      <c r="CY237" s="12"/>
    </row>
    <row r="238" spans="1:103" s="46" customFormat="1" ht="66" customHeight="1">
      <c r="A238" s="43"/>
      <c r="B238" s="43"/>
      <c r="C238" s="43"/>
      <c r="D238" s="44" t="s">
        <v>402</v>
      </c>
      <c r="E238" s="44"/>
      <c r="F238" s="79"/>
      <c r="G238" s="37"/>
      <c r="H238" s="80"/>
      <c r="I238" s="79"/>
      <c r="J238" s="81"/>
      <c r="K238" s="45"/>
      <c r="L238" s="45"/>
      <c r="M238" s="45"/>
      <c r="N238" s="4">
        <v>291</v>
      </c>
      <c r="O238" s="12"/>
      <c r="P238" s="41"/>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c r="CC238" s="12"/>
      <c r="CD238" s="12"/>
      <c r="CE238" s="12"/>
      <c r="CF238" s="12"/>
      <c r="CG238" s="12"/>
      <c r="CH238" s="12"/>
      <c r="CI238" s="12"/>
      <c r="CJ238" s="12"/>
      <c r="CK238" s="12"/>
      <c r="CL238" s="12"/>
      <c r="CM238" s="12"/>
      <c r="CN238" s="12"/>
      <c r="CO238" s="12"/>
      <c r="CP238" s="12"/>
      <c r="CQ238" s="12"/>
      <c r="CR238" s="12"/>
      <c r="CS238" s="12"/>
      <c r="CT238" s="12"/>
      <c r="CU238" s="12"/>
      <c r="CV238" s="12"/>
      <c r="CW238" s="12"/>
      <c r="CX238" s="12"/>
      <c r="CY238" s="12"/>
    </row>
    <row r="239" spans="1:103" s="46" customFormat="1" ht="40.5">
      <c r="A239" s="43"/>
      <c r="B239" s="43"/>
      <c r="C239" s="43"/>
      <c r="D239" s="44" t="s">
        <v>212</v>
      </c>
      <c r="E239" s="44" t="s">
        <v>212</v>
      </c>
      <c r="F239" s="79"/>
      <c r="G239" s="37">
        <f t="shared" si="12"/>
        <v>0</v>
      </c>
      <c r="H239" s="80"/>
      <c r="I239" s="79"/>
      <c r="J239" s="81">
        <f t="shared" si="11"/>
        <v>0</v>
      </c>
      <c r="K239" s="45">
        <v>200000</v>
      </c>
      <c r="L239" s="45"/>
      <c r="M239" s="45">
        <f>K239+L239</f>
        <v>200000</v>
      </c>
      <c r="N239" s="4">
        <f t="shared" si="13"/>
        <v>200</v>
      </c>
      <c r="O239" s="12"/>
      <c r="P239" s="41"/>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c r="BM239" s="12"/>
      <c r="BN239" s="12"/>
      <c r="BO239" s="12"/>
      <c r="BP239" s="12"/>
      <c r="BQ239" s="12"/>
      <c r="BR239" s="12"/>
      <c r="BS239" s="12"/>
      <c r="BT239" s="12"/>
      <c r="BU239" s="12"/>
      <c r="BV239" s="12"/>
      <c r="BW239" s="12"/>
      <c r="BX239" s="12"/>
      <c r="BY239" s="12"/>
      <c r="BZ239" s="12"/>
      <c r="CA239" s="12"/>
      <c r="CB239" s="12"/>
      <c r="CC239" s="12"/>
      <c r="CD239" s="12"/>
      <c r="CE239" s="12"/>
      <c r="CF239" s="12"/>
      <c r="CG239" s="12"/>
      <c r="CH239" s="12"/>
      <c r="CI239" s="12"/>
      <c r="CJ239" s="12"/>
      <c r="CK239" s="12"/>
      <c r="CL239" s="12"/>
      <c r="CM239" s="12"/>
      <c r="CN239" s="12"/>
      <c r="CO239" s="12"/>
      <c r="CP239" s="12"/>
      <c r="CQ239" s="12"/>
      <c r="CR239" s="12"/>
      <c r="CS239" s="12"/>
      <c r="CT239" s="12"/>
      <c r="CU239" s="12"/>
      <c r="CV239" s="12"/>
      <c r="CW239" s="12"/>
      <c r="CX239" s="12"/>
      <c r="CY239" s="12"/>
    </row>
    <row r="240" spans="1:103" s="46" customFormat="1" ht="69" customHeight="1">
      <c r="A240" s="43"/>
      <c r="B240" s="43"/>
      <c r="C240" s="43"/>
      <c r="D240" s="44" t="s">
        <v>211</v>
      </c>
      <c r="E240" s="44" t="s">
        <v>211</v>
      </c>
      <c r="F240" s="79">
        <v>10359229</v>
      </c>
      <c r="G240" s="37">
        <f t="shared" si="12"/>
        <v>10359.2</v>
      </c>
      <c r="H240" s="80">
        <v>40.9</v>
      </c>
      <c r="I240" s="79">
        <v>4240867</v>
      </c>
      <c r="J240" s="81">
        <f t="shared" si="11"/>
        <v>4240.9</v>
      </c>
      <c r="K240" s="45">
        <f>1000000+1100000</f>
        <v>2100000</v>
      </c>
      <c r="L240" s="45"/>
      <c r="M240" s="45">
        <f>K240+L240</f>
        <v>2100000</v>
      </c>
      <c r="N240" s="4">
        <f t="shared" si="13"/>
        <v>2100</v>
      </c>
      <c r="O240" s="12"/>
      <c r="P240" s="41"/>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c r="BM240" s="12"/>
      <c r="BN240" s="12"/>
      <c r="BO240" s="12"/>
      <c r="BP240" s="12"/>
      <c r="BQ240" s="12"/>
      <c r="BR240" s="12"/>
      <c r="BS240" s="12"/>
      <c r="BT240" s="12"/>
      <c r="BU240" s="12"/>
      <c r="BV240" s="12"/>
      <c r="BW240" s="12"/>
      <c r="BX240" s="12"/>
      <c r="BY240" s="12"/>
      <c r="BZ240" s="12"/>
      <c r="CA240" s="12"/>
      <c r="CB240" s="12"/>
      <c r="CC240" s="12"/>
      <c r="CD240" s="12"/>
      <c r="CE240" s="12"/>
      <c r="CF240" s="12"/>
      <c r="CG240" s="12"/>
      <c r="CH240" s="12"/>
      <c r="CI240" s="12"/>
      <c r="CJ240" s="12"/>
      <c r="CK240" s="12"/>
      <c r="CL240" s="12"/>
      <c r="CM240" s="12"/>
      <c r="CN240" s="12"/>
      <c r="CO240" s="12"/>
      <c r="CP240" s="12"/>
      <c r="CQ240" s="12"/>
      <c r="CR240" s="12"/>
      <c r="CS240" s="12"/>
      <c r="CT240" s="12"/>
      <c r="CU240" s="12"/>
      <c r="CV240" s="12"/>
      <c r="CW240" s="12"/>
      <c r="CX240" s="12"/>
      <c r="CY240" s="12"/>
    </row>
    <row r="241" spans="1:103" s="46" customFormat="1" ht="40.5">
      <c r="A241" s="43"/>
      <c r="B241" s="43"/>
      <c r="C241" s="43"/>
      <c r="D241" s="44" t="s">
        <v>202</v>
      </c>
      <c r="E241" s="44" t="s">
        <v>202</v>
      </c>
      <c r="F241" s="79">
        <v>8134171</v>
      </c>
      <c r="G241" s="37">
        <f t="shared" si="12"/>
        <v>8134.2</v>
      </c>
      <c r="H241" s="80">
        <v>87.2</v>
      </c>
      <c r="I241" s="79">
        <v>7095619</v>
      </c>
      <c r="J241" s="81">
        <f t="shared" si="11"/>
        <v>7095.6</v>
      </c>
      <c r="K241" s="45">
        <f>2000000+1000000</f>
        <v>3000000</v>
      </c>
      <c r="L241" s="45"/>
      <c r="M241" s="45">
        <f t="shared" si="14"/>
        <v>3000000</v>
      </c>
      <c r="N241" s="4">
        <f t="shared" si="13"/>
        <v>3000</v>
      </c>
      <c r="O241" s="12"/>
      <c r="P241" s="41"/>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c r="BM241" s="12"/>
      <c r="BN241" s="12"/>
      <c r="BO241" s="12"/>
      <c r="BP241" s="12"/>
      <c r="BQ241" s="12"/>
      <c r="BR241" s="12"/>
      <c r="BS241" s="12"/>
      <c r="BT241" s="12"/>
      <c r="BU241" s="12"/>
      <c r="BV241" s="12"/>
      <c r="BW241" s="12"/>
      <c r="BX241" s="12"/>
      <c r="BY241" s="12"/>
      <c r="BZ241" s="12"/>
      <c r="CA241" s="12"/>
      <c r="CB241" s="12"/>
      <c r="CC241" s="12"/>
      <c r="CD241" s="12"/>
      <c r="CE241" s="12"/>
      <c r="CF241" s="12"/>
      <c r="CG241" s="12"/>
      <c r="CH241" s="12"/>
      <c r="CI241" s="12"/>
      <c r="CJ241" s="12"/>
      <c r="CK241" s="12"/>
      <c r="CL241" s="12"/>
      <c r="CM241" s="12"/>
      <c r="CN241" s="12"/>
      <c r="CO241" s="12"/>
      <c r="CP241" s="12"/>
      <c r="CQ241" s="12"/>
      <c r="CR241" s="12"/>
      <c r="CS241" s="12"/>
      <c r="CT241" s="12"/>
      <c r="CU241" s="12"/>
      <c r="CV241" s="12"/>
      <c r="CW241" s="12"/>
      <c r="CX241" s="12"/>
      <c r="CY241" s="12"/>
    </row>
    <row r="242" spans="1:103" s="46" customFormat="1" ht="33" customHeight="1">
      <c r="A242" s="43"/>
      <c r="B242" s="43"/>
      <c r="C242" s="43"/>
      <c r="D242" s="44" t="s">
        <v>203</v>
      </c>
      <c r="E242" s="44" t="s">
        <v>203</v>
      </c>
      <c r="F242" s="79">
        <v>33898627</v>
      </c>
      <c r="G242" s="37">
        <f t="shared" si="12"/>
        <v>33898.6</v>
      </c>
      <c r="H242" s="80">
        <v>98.1</v>
      </c>
      <c r="I242" s="79">
        <v>33247860</v>
      </c>
      <c r="J242" s="81">
        <f t="shared" si="11"/>
        <v>33247.9</v>
      </c>
      <c r="K242" s="45">
        <f>5000000+5000000</f>
        <v>10000000</v>
      </c>
      <c r="L242" s="45"/>
      <c r="M242" s="45">
        <f t="shared" si="14"/>
        <v>10000000</v>
      </c>
      <c r="N242" s="4">
        <f t="shared" si="13"/>
        <v>10000</v>
      </c>
      <c r="O242" s="12"/>
      <c r="P242" s="41"/>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c r="BM242" s="12"/>
      <c r="BN242" s="12"/>
      <c r="BO242" s="12"/>
      <c r="BP242" s="12"/>
      <c r="BQ242" s="12"/>
      <c r="BR242" s="12"/>
      <c r="BS242" s="12"/>
      <c r="BT242" s="12"/>
      <c r="BU242" s="12"/>
      <c r="BV242" s="12"/>
      <c r="BW242" s="12"/>
      <c r="BX242" s="12"/>
      <c r="BY242" s="12"/>
      <c r="BZ242" s="12"/>
      <c r="CA242" s="12"/>
      <c r="CB242" s="12"/>
      <c r="CC242" s="12"/>
      <c r="CD242" s="12"/>
      <c r="CE242" s="12"/>
      <c r="CF242" s="12"/>
      <c r="CG242" s="12"/>
      <c r="CH242" s="12"/>
      <c r="CI242" s="12"/>
      <c r="CJ242" s="12"/>
      <c r="CK242" s="12"/>
      <c r="CL242" s="12"/>
      <c r="CM242" s="12"/>
      <c r="CN242" s="12"/>
      <c r="CO242" s="12"/>
      <c r="CP242" s="12"/>
      <c r="CQ242" s="12"/>
      <c r="CR242" s="12"/>
      <c r="CS242" s="12"/>
      <c r="CT242" s="12"/>
      <c r="CU242" s="12"/>
      <c r="CV242" s="12"/>
      <c r="CW242" s="12"/>
      <c r="CX242" s="12"/>
      <c r="CY242" s="12"/>
    </row>
    <row r="243" spans="1:103" s="46" customFormat="1" ht="40.5">
      <c r="A243" s="43"/>
      <c r="B243" s="43"/>
      <c r="C243" s="43"/>
      <c r="D243" s="44" t="s">
        <v>225</v>
      </c>
      <c r="E243" s="44" t="s">
        <v>225</v>
      </c>
      <c r="F243" s="79"/>
      <c r="G243" s="37">
        <f t="shared" si="12"/>
        <v>0</v>
      </c>
      <c r="H243" s="80"/>
      <c r="I243" s="79"/>
      <c r="J243" s="81">
        <f t="shared" si="11"/>
        <v>0</v>
      </c>
      <c r="K243" s="45">
        <v>2700000</v>
      </c>
      <c r="L243" s="45"/>
      <c r="M243" s="45">
        <f t="shared" si="14"/>
        <v>2700000</v>
      </c>
      <c r="N243" s="4">
        <f t="shared" si="13"/>
        <v>2700</v>
      </c>
      <c r="O243" s="12"/>
      <c r="P243" s="41"/>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c r="BM243" s="12"/>
      <c r="BN243" s="12"/>
      <c r="BO243" s="12"/>
      <c r="BP243" s="12"/>
      <c r="BQ243" s="12"/>
      <c r="BR243" s="12"/>
      <c r="BS243" s="12"/>
      <c r="BT243" s="12"/>
      <c r="BU243" s="12"/>
      <c r="BV243" s="12"/>
      <c r="BW243" s="12"/>
      <c r="BX243" s="12"/>
      <c r="BY243" s="12"/>
      <c r="BZ243" s="12"/>
      <c r="CA243" s="12"/>
      <c r="CB243" s="12"/>
      <c r="CC243" s="12"/>
      <c r="CD243" s="12"/>
      <c r="CE243" s="12"/>
      <c r="CF243" s="12"/>
      <c r="CG243" s="12"/>
      <c r="CH243" s="12"/>
      <c r="CI243" s="12"/>
      <c r="CJ243" s="12"/>
      <c r="CK243" s="12"/>
      <c r="CL243" s="12"/>
      <c r="CM243" s="12"/>
      <c r="CN243" s="12"/>
      <c r="CO243" s="12"/>
      <c r="CP243" s="12"/>
      <c r="CQ243" s="12"/>
      <c r="CR243" s="12"/>
      <c r="CS243" s="12"/>
      <c r="CT243" s="12"/>
      <c r="CU243" s="12"/>
      <c r="CV243" s="12"/>
      <c r="CW243" s="12"/>
      <c r="CX243" s="12"/>
      <c r="CY243" s="12"/>
    </row>
    <row r="244" spans="1:103" s="46" customFormat="1" ht="31.5" customHeight="1">
      <c r="A244" s="43"/>
      <c r="B244" s="43"/>
      <c r="C244" s="43"/>
      <c r="D244" s="44" t="s">
        <v>215</v>
      </c>
      <c r="E244" s="44" t="s">
        <v>215</v>
      </c>
      <c r="F244" s="79">
        <v>14670250</v>
      </c>
      <c r="G244" s="37">
        <f t="shared" si="12"/>
        <v>14670.3</v>
      </c>
      <c r="H244" s="80">
        <v>98.5</v>
      </c>
      <c r="I244" s="79">
        <v>14443532</v>
      </c>
      <c r="J244" s="81">
        <f t="shared" si="11"/>
        <v>14443.5</v>
      </c>
      <c r="K244" s="45">
        <f>2000000+5000000</f>
        <v>7000000</v>
      </c>
      <c r="L244" s="45"/>
      <c r="M244" s="45">
        <f>K244+L244</f>
        <v>7000000</v>
      </c>
      <c r="N244" s="4">
        <f t="shared" si="13"/>
        <v>7000</v>
      </c>
      <c r="O244" s="12"/>
      <c r="P244" s="41"/>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c r="BM244" s="12"/>
      <c r="BN244" s="12"/>
      <c r="BO244" s="12"/>
      <c r="BP244" s="12"/>
      <c r="BQ244" s="12"/>
      <c r="BR244" s="12"/>
      <c r="BS244" s="12"/>
      <c r="BT244" s="12"/>
      <c r="BU244" s="12"/>
      <c r="BV244" s="12"/>
      <c r="BW244" s="12"/>
      <c r="BX244" s="12"/>
      <c r="BY244" s="12"/>
      <c r="BZ244" s="12"/>
      <c r="CA244" s="12"/>
      <c r="CB244" s="12"/>
      <c r="CC244" s="12"/>
      <c r="CD244" s="12"/>
      <c r="CE244" s="12"/>
      <c r="CF244" s="12"/>
      <c r="CG244" s="12"/>
      <c r="CH244" s="12"/>
      <c r="CI244" s="12"/>
      <c r="CJ244" s="12"/>
      <c r="CK244" s="12"/>
      <c r="CL244" s="12"/>
      <c r="CM244" s="12"/>
      <c r="CN244" s="12"/>
      <c r="CO244" s="12"/>
      <c r="CP244" s="12"/>
      <c r="CQ244" s="12"/>
      <c r="CR244" s="12"/>
      <c r="CS244" s="12"/>
      <c r="CT244" s="12"/>
      <c r="CU244" s="12"/>
      <c r="CV244" s="12"/>
      <c r="CW244" s="12"/>
      <c r="CX244" s="12"/>
      <c r="CY244" s="12"/>
    </row>
    <row r="245" spans="1:103" s="46" customFormat="1" ht="40.5" customHeight="1">
      <c r="A245" s="43"/>
      <c r="B245" s="43"/>
      <c r="C245" s="43"/>
      <c r="D245" s="44" t="s">
        <v>204</v>
      </c>
      <c r="E245" s="44" t="s">
        <v>204</v>
      </c>
      <c r="F245" s="79">
        <v>7365869</v>
      </c>
      <c r="G245" s="37">
        <f t="shared" si="12"/>
        <v>7365.9</v>
      </c>
      <c r="H245" s="80">
        <v>76.3</v>
      </c>
      <c r="I245" s="79">
        <v>5617385</v>
      </c>
      <c r="J245" s="81">
        <f t="shared" si="11"/>
        <v>5617.4</v>
      </c>
      <c r="K245" s="45">
        <v>2000000</v>
      </c>
      <c r="L245" s="45"/>
      <c r="M245" s="45">
        <f t="shared" si="14"/>
        <v>2000000</v>
      </c>
      <c r="N245" s="4">
        <f t="shared" si="13"/>
        <v>2000</v>
      </c>
      <c r="O245" s="12"/>
      <c r="P245" s="41"/>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c r="BX245" s="12"/>
      <c r="BY245" s="12"/>
      <c r="BZ245" s="12"/>
      <c r="CA245" s="12"/>
      <c r="CB245" s="12"/>
      <c r="CC245" s="12"/>
      <c r="CD245" s="12"/>
      <c r="CE245" s="12"/>
      <c r="CF245" s="12"/>
      <c r="CG245" s="12"/>
      <c r="CH245" s="12"/>
      <c r="CI245" s="12"/>
      <c r="CJ245" s="12"/>
      <c r="CK245" s="12"/>
      <c r="CL245" s="12"/>
      <c r="CM245" s="12"/>
      <c r="CN245" s="12"/>
      <c r="CO245" s="12"/>
      <c r="CP245" s="12"/>
      <c r="CQ245" s="12"/>
      <c r="CR245" s="12"/>
      <c r="CS245" s="12"/>
      <c r="CT245" s="12"/>
      <c r="CU245" s="12"/>
      <c r="CV245" s="12"/>
      <c r="CW245" s="12"/>
      <c r="CX245" s="12"/>
      <c r="CY245" s="12"/>
    </row>
    <row r="246" spans="1:103" s="46" customFormat="1" ht="43.5" customHeight="1">
      <c r="A246" s="43"/>
      <c r="B246" s="43"/>
      <c r="C246" s="43"/>
      <c r="D246" s="44" t="s">
        <v>205</v>
      </c>
      <c r="E246" s="44" t="s">
        <v>205</v>
      </c>
      <c r="F246" s="79">
        <v>2512375</v>
      </c>
      <c r="G246" s="37">
        <f t="shared" si="12"/>
        <v>2512.4</v>
      </c>
      <c r="H246" s="80">
        <v>100</v>
      </c>
      <c r="I246" s="79">
        <v>2512375</v>
      </c>
      <c r="J246" s="81">
        <f t="shared" si="11"/>
        <v>2512.4</v>
      </c>
      <c r="K246" s="45">
        <f>2000000+400000</f>
        <v>2400000</v>
      </c>
      <c r="L246" s="45"/>
      <c r="M246" s="45">
        <f t="shared" si="14"/>
        <v>2400000</v>
      </c>
      <c r="N246" s="4">
        <f t="shared" si="13"/>
        <v>2400</v>
      </c>
      <c r="O246" s="12"/>
      <c r="P246" s="41"/>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c r="CJ246" s="12"/>
      <c r="CK246" s="12"/>
      <c r="CL246" s="12"/>
      <c r="CM246" s="12"/>
      <c r="CN246" s="12"/>
      <c r="CO246" s="12"/>
      <c r="CP246" s="12"/>
      <c r="CQ246" s="12"/>
      <c r="CR246" s="12"/>
      <c r="CS246" s="12"/>
      <c r="CT246" s="12"/>
      <c r="CU246" s="12"/>
      <c r="CV246" s="12"/>
      <c r="CW246" s="12"/>
      <c r="CX246" s="12"/>
      <c r="CY246" s="12"/>
    </row>
    <row r="247" spans="1:103" s="46" customFormat="1" ht="45.75" customHeight="1">
      <c r="A247" s="43"/>
      <c r="B247" s="43"/>
      <c r="C247" s="43"/>
      <c r="D247" s="44" t="s">
        <v>206</v>
      </c>
      <c r="E247" s="44" t="s">
        <v>206</v>
      </c>
      <c r="F247" s="79">
        <v>4782900</v>
      </c>
      <c r="G247" s="37">
        <f t="shared" si="12"/>
        <v>4782.9</v>
      </c>
      <c r="H247" s="80">
        <v>45.4</v>
      </c>
      <c r="I247" s="79">
        <v>2171239</v>
      </c>
      <c r="J247" s="81">
        <f t="shared" si="11"/>
        <v>2171.2</v>
      </c>
      <c r="K247" s="45">
        <v>2000000</v>
      </c>
      <c r="L247" s="45"/>
      <c r="M247" s="45">
        <f t="shared" si="14"/>
        <v>2000000</v>
      </c>
      <c r="N247" s="4">
        <f t="shared" si="13"/>
        <v>2000</v>
      </c>
      <c r="O247" s="12"/>
      <c r="P247" s="41"/>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c r="BM247" s="12"/>
      <c r="BN247" s="12"/>
      <c r="BO247" s="12"/>
      <c r="BP247" s="12"/>
      <c r="BQ247" s="12"/>
      <c r="BR247" s="12"/>
      <c r="BS247" s="12"/>
      <c r="BT247" s="12"/>
      <c r="BU247" s="12"/>
      <c r="BV247" s="12"/>
      <c r="BW247" s="12"/>
      <c r="BX247" s="12"/>
      <c r="BY247" s="12"/>
      <c r="BZ247" s="12"/>
      <c r="CA247" s="12"/>
      <c r="CB247" s="12"/>
      <c r="CC247" s="12"/>
      <c r="CD247" s="12"/>
      <c r="CE247" s="12"/>
      <c r="CF247" s="12"/>
      <c r="CG247" s="12"/>
      <c r="CH247" s="12"/>
      <c r="CI247" s="12"/>
      <c r="CJ247" s="12"/>
      <c r="CK247" s="12"/>
      <c r="CL247" s="12"/>
      <c r="CM247" s="12"/>
      <c r="CN247" s="12"/>
      <c r="CO247" s="12"/>
      <c r="CP247" s="12"/>
      <c r="CQ247" s="12"/>
      <c r="CR247" s="12"/>
      <c r="CS247" s="12"/>
      <c r="CT247" s="12"/>
      <c r="CU247" s="12"/>
      <c r="CV247" s="12"/>
      <c r="CW247" s="12"/>
      <c r="CX247" s="12"/>
      <c r="CY247" s="12"/>
    </row>
    <row r="248" spans="1:103" s="46" customFormat="1" ht="27" customHeight="1">
      <c r="A248" s="43"/>
      <c r="B248" s="43"/>
      <c r="C248" s="43"/>
      <c r="D248" s="44" t="s">
        <v>207</v>
      </c>
      <c r="E248" s="44" t="s">
        <v>207</v>
      </c>
      <c r="F248" s="79"/>
      <c r="G248" s="37">
        <f t="shared" si="12"/>
        <v>0</v>
      </c>
      <c r="H248" s="80"/>
      <c r="I248" s="79"/>
      <c r="J248" s="81">
        <f t="shared" si="11"/>
        <v>0</v>
      </c>
      <c r="K248" s="45">
        <f>1000000-805000</f>
        <v>195000</v>
      </c>
      <c r="L248" s="45">
        <v>400000</v>
      </c>
      <c r="M248" s="45">
        <f t="shared" si="14"/>
        <v>595000</v>
      </c>
      <c r="N248" s="4">
        <f t="shared" si="13"/>
        <v>595</v>
      </c>
      <c r="O248" s="12"/>
      <c r="P248" s="41"/>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c r="BM248" s="12"/>
      <c r="BN248" s="12"/>
      <c r="BO248" s="12"/>
      <c r="BP248" s="12"/>
      <c r="BQ248" s="12"/>
      <c r="BR248" s="12"/>
      <c r="BS248" s="12"/>
      <c r="BT248" s="12"/>
      <c r="BU248" s="12"/>
      <c r="BV248" s="12"/>
      <c r="BW248" s="12"/>
      <c r="BX248" s="12"/>
      <c r="BY248" s="12"/>
      <c r="BZ248" s="12"/>
      <c r="CA248" s="12"/>
      <c r="CB248" s="12"/>
      <c r="CC248" s="12"/>
      <c r="CD248" s="12"/>
      <c r="CE248" s="12"/>
      <c r="CF248" s="12"/>
      <c r="CG248" s="12"/>
      <c r="CH248" s="12"/>
      <c r="CI248" s="12"/>
      <c r="CJ248" s="12"/>
      <c r="CK248" s="12"/>
      <c r="CL248" s="12"/>
      <c r="CM248" s="12"/>
      <c r="CN248" s="12"/>
      <c r="CO248" s="12"/>
      <c r="CP248" s="12"/>
      <c r="CQ248" s="12"/>
      <c r="CR248" s="12"/>
      <c r="CS248" s="12"/>
      <c r="CT248" s="12"/>
      <c r="CU248" s="12"/>
      <c r="CV248" s="12"/>
      <c r="CW248" s="12"/>
      <c r="CX248" s="12"/>
      <c r="CY248" s="12"/>
    </row>
    <row r="249" spans="1:103" s="46" customFormat="1" ht="56.25" customHeight="1">
      <c r="A249" s="43"/>
      <c r="B249" s="43"/>
      <c r="C249" s="43"/>
      <c r="D249" s="44" t="s">
        <v>208</v>
      </c>
      <c r="E249" s="44" t="s">
        <v>208</v>
      </c>
      <c r="F249" s="79">
        <v>54104796</v>
      </c>
      <c r="G249" s="37">
        <f t="shared" si="12"/>
        <v>54104.8</v>
      </c>
      <c r="H249" s="80">
        <v>28.9</v>
      </c>
      <c r="I249" s="79">
        <v>15616691</v>
      </c>
      <c r="J249" s="81">
        <f t="shared" si="11"/>
        <v>15616.7</v>
      </c>
      <c r="K249" s="45">
        <f>10000000-2000000</f>
        <v>8000000</v>
      </c>
      <c r="L249" s="45"/>
      <c r="M249" s="45">
        <f t="shared" si="14"/>
        <v>8000000</v>
      </c>
      <c r="N249" s="4">
        <f t="shared" si="13"/>
        <v>8000</v>
      </c>
      <c r="O249" s="12"/>
      <c r="P249" s="41"/>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c r="BM249" s="12"/>
      <c r="BN249" s="12"/>
      <c r="BO249" s="12"/>
      <c r="BP249" s="12"/>
      <c r="BQ249" s="12"/>
      <c r="BR249" s="12"/>
      <c r="BS249" s="12"/>
      <c r="BT249" s="12"/>
      <c r="BU249" s="12"/>
      <c r="BV249" s="12"/>
      <c r="BW249" s="12"/>
      <c r="BX249" s="12"/>
      <c r="BY249" s="12"/>
      <c r="BZ249" s="12"/>
      <c r="CA249" s="12"/>
      <c r="CB249" s="12"/>
      <c r="CC249" s="12"/>
      <c r="CD249" s="12"/>
      <c r="CE249" s="12"/>
      <c r="CF249" s="12"/>
      <c r="CG249" s="12"/>
      <c r="CH249" s="12"/>
      <c r="CI249" s="12"/>
      <c r="CJ249" s="12"/>
      <c r="CK249" s="12"/>
      <c r="CL249" s="12"/>
      <c r="CM249" s="12"/>
      <c r="CN249" s="12"/>
      <c r="CO249" s="12"/>
      <c r="CP249" s="12"/>
      <c r="CQ249" s="12"/>
      <c r="CR249" s="12"/>
      <c r="CS249" s="12"/>
      <c r="CT249" s="12"/>
      <c r="CU249" s="12"/>
      <c r="CV249" s="12"/>
      <c r="CW249" s="12"/>
      <c r="CX249" s="12"/>
      <c r="CY249" s="12"/>
    </row>
    <row r="250" spans="1:103" s="46" customFormat="1" ht="58.5" customHeight="1">
      <c r="A250" s="43"/>
      <c r="B250" s="43"/>
      <c r="C250" s="43"/>
      <c r="D250" s="44" t="s">
        <v>209</v>
      </c>
      <c r="E250" s="44" t="s">
        <v>209</v>
      </c>
      <c r="F250" s="79"/>
      <c r="G250" s="37">
        <f t="shared" si="12"/>
        <v>0</v>
      </c>
      <c r="H250" s="80"/>
      <c r="I250" s="79"/>
      <c r="J250" s="81">
        <f t="shared" si="11"/>
        <v>0</v>
      </c>
      <c r="K250" s="45">
        <v>300000</v>
      </c>
      <c r="L250" s="45"/>
      <c r="M250" s="45">
        <f t="shared" si="14"/>
        <v>300000</v>
      </c>
      <c r="N250" s="4">
        <f t="shared" si="13"/>
        <v>300</v>
      </c>
      <c r="O250" s="12"/>
      <c r="P250" s="41"/>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c r="BM250" s="12"/>
      <c r="BN250" s="12"/>
      <c r="BO250" s="12"/>
      <c r="BP250" s="12"/>
      <c r="BQ250" s="12"/>
      <c r="BR250" s="12"/>
      <c r="BS250" s="12"/>
      <c r="BT250" s="12"/>
      <c r="BU250" s="12"/>
      <c r="BV250" s="12"/>
      <c r="BW250" s="12"/>
      <c r="BX250" s="12"/>
      <c r="BY250" s="12"/>
      <c r="BZ250" s="12"/>
      <c r="CA250" s="12"/>
      <c r="CB250" s="12"/>
      <c r="CC250" s="12"/>
      <c r="CD250" s="12"/>
      <c r="CE250" s="12"/>
      <c r="CF250" s="12"/>
      <c r="CG250" s="12"/>
      <c r="CH250" s="12"/>
      <c r="CI250" s="12"/>
      <c r="CJ250" s="12"/>
      <c r="CK250" s="12"/>
      <c r="CL250" s="12"/>
      <c r="CM250" s="12"/>
      <c r="CN250" s="12"/>
      <c r="CO250" s="12"/>
      <c r="CP250" s="12"/>
      <c r="CQ250" s="12"/>
      <c r="CR250" s="12"/>
      <c r="CS250" s="12"/>
      <c r="CT250" s="12"/>
      <c r="CU250" s="12"/>
      <c r="CV250" s="12"/>
      <c r="CW250" s="12"/>
      <c r="CX250" s="12"/>
      <c r="CY250" s="12"/>
    </row>
    <row r="251" spans="1:103" s="46" customFormat="1" ht="57" customHeight="1">
      <c r="A251" s="43"/>
      <c r="B251" s="43"/>
      <c r="C251" s="43"/>
      <c r="D251" s="44" t="s">
        <v>290</v>
      </c>
      <c r="E251" s="44" t="s">
        <v>290</v>
      </c>
      <c r="F251" s="79"/>
      <c r="G251" s="37">
        <f t="shared" si="12"/>
        <v>0</v>
      </c>
      <c r="H251" s="80"/>
      <c r="I251" s="79"/>
      <c r="J251" s="81">
        <f t="shared" si="11"/>
        <v>0</v>
      </c>
      <c r="K251" s="45">
        <v>100000</v>
      </c>
      <c r="L251" s="45"/>
      <c r="M251" s="45">
        <f t="shared" si="14"/>
        <v>100000</v>
      </c>
      <c r="N251" s="4">
        <f t="shared" si="13"/>
        <v>100</v>
      </c>
      <c r="O251" s="12"/>
      <c r="P251" s="41"/>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c r="BM251" s="12"/>
      <c r="BN251" s="12"/>
      <c r="BO251" s="12"/>
      <c r="BP251" s="12"/>
      <c r="BQ251" s="12"/>
      <c r="BR251" s="12"/>
      <c r="BS251" s="12"/>
      <c r="BT251" s="12"/>
      <c r="BU251" s="12"/>
      <c r="BV251" s="12"/>
      <c r="BW251" s="12"/>
      <c r="BX251" s="12"/>
      <c r="BY251" s="12"/>
      <c r="BZ251" s="12"/>
      <c r="CA251" s="12"/>
      <c r="CB251" s="12"/>
      <c r="CC251" s="12"/>
      <c r="CD251" s="12"/>
      <c r="CE251" s="12"/>
      <c r="CF251" s="12"/>
      <c r="CG251" s="12"/>
      <c r="CH251" s="12"/>
      <c r="CI251" s="12"/>
      <c r="CJ251" s="12"/>
      <c r="CK251" s="12"/>
      <c r="CL251" s="12"/>
      <c r="CM251" s="12"/>
      <c r="CN251" s="12"/>
      <c r="CO251" s="12"/>
      <c r="CP251" s="12"/>
      <c r="CQ251" s="12"/>
      <c r="CR251" s="12"/>
      <c r="CS251" s="12"/>
      <c r="CT251" s="12"/>
      <c r="CU251" s="12"/>
      <c r="CV251" s="12"/>
      <c r="CW251" s="12"/>
      <c r="CX251" s="12"/>
      <c r="CY251" s="12"/>
    </row>
    <row r="252" spans="1:103" s="46" customFormat="1" ht="38.25" customHeight="1">
      <c r="A252" s="43"/>
      <c r="B252" s="43"/>
      <c r="C252" s="43"/>
      <c r="D252" s="44" t="s">
        <v>210</v>
      </c>
      <c r="E252" s="44" t="s">
        <v>210</v>
      </c>
      <c r="F252" s="79">
        <v>4291979</v>
      </c>
      <c r="G252" s="37">
        <f t="shared" si="12"/>
        <v>4292</v>
      </c>
      <c r="H252" s="80">
        <v>75.6</v>
      </c>
      <c r="I252" s="79">
        <v>3243169</v>
      </c>
      <c r="J252" s="81">
        <f t="shared" si="11"/>
        <v>3243.2</v>
      </c>
      <c r="K252" s="45">
        <f>1500000-500000</f>
        <v>1000000</v>
      </c>
      <c r="L252" s="45"/>
      <c r="M252" s="45">
        <f t="shared" si="14"/>
        <v>1000000</v>
      </c>
      <c r="N252" s="4">
        <f t="shared" si="13"/>
        <v>1000</v>
      </c>
      <c r="O252" s="12"/>
      <c r="P252" s="41"/>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c r="BX252" s="12"/>
      <c r="BY252" s="12"/>
      <c r="BZ252" s="12"/>
      <c r="CA252" s="12"/>
      <c r="CB252" s="12"/>
      <c r="CC252" s="12"/>
      <c r="CD252" s="12"/>
      <c r="CE252" s="12"/>
      <c r="CF252" s="12"/>
      <c r="CG252" s="12"/>
      <c r="CH252" s="12"/>
      <c r="CI252" s="12"/>
      <c r="CJ252" s="12"/>
      <c r="CK252" s="12"/>
      <c r="CL252" s="12"/>
      <c r="CM252" s="12"/>
      <c r="CN252" s="12"/>
      <c r="CO252" s="12"/>
      <c r="CP252" s="12"/>
      <c r="CQ252" s="12"/>
      <c r="CR252" s="12"/>
      <c r="CS252" s="12"/>
      <c r="CT252" s="12"/>
      <c r="CU252" s="12"/>
      <c r="CV252" s="12"/>
      <c r="CW252" s="12"/>
      <c r="CX252" s="12"/>
      <c r="CY252" s="12"/>
    </row>
    <row r="253" spans="1:103" s="46" customFormat="1" ht="40.5">
      <c r="A253" s="43"/>
      <c r="B253" s="43"/>
      <c r="C253" s="43"/>
      <c r="D253" s="82" t="s">
        <v>213</v>
      </c>
      <c r="E253" s="82" t="s">
        <v>213</v>
      </c>
      <c r="F253" s="79">
        <v>16481572</v>
      </c>
      <c r="G253" s="37">
        <f t="shared" si="12"/>
        <v>16481.6</v>
      </c>
      <c r="H253" s="80">
        <v>95.8</v>
      </c>
      <c r="I253" s="79">
        <v>15789129</v>
      </c>
      <c r="J253" s="81">
        <f t="shared" si="11"/>
        <v>15789.1</v>
      </c>
      <c r="K253" s="45">
        <f>5000000-1000000</f>
        <v>4000000</v>
      </c>
      <c r="L253" s="45"/>
      <c r="M253" s="45">
        <f aca="true" t="shared" si="15" ref="M253:M260">K253+L253</f>
        <v>4000000</v>
      </c>
      <c r="N253" s="4">
        <f t="shared" si="13"/>
        <v>4000</v>
      </c>
      <c r="O253" s="12"/>
      <c r="P253" s="41"/>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c r="BQ253" s="12"/>
      <c r="BR253" s="12"/>
      <c r="BS253" s="12"/>
      <c r="BT253" s="12"/>
      <c r="BU253" s="12"/>
      <c r="BV253" s="12"/>
      <c r="BW253" s="12"/>
      <c r="BX253" s="12"/>
      <c r="BY253" s="12"/>
      <c r="BZ253" s="12"/>
      <c r="CA253" s="12"/>
      <c r="CB253" s="12"/>
      <c r="CC253" s="12"/>
      <c r="CD253" s="12"/>
      <c r="CE253" s="12"/>
      <c r="CF253" s="12"/>
      <c r="CG253" s="12"/>
      <c r="CH253" s="12"/>
      <c r="CI253" s="12"/>
      <c r="CJ253" s="12"/>
      <c r="CK253" s="12"/>
      <c r="CL253" s="12"/>
      <c r="CM253" s="12"/>
      <c r="CN253" s="12"/>
      <c r="CO253" s="12"/>
      <c r="CP253" s="12"/>
      <c r="CQ253" s="12"/>
      <c r="CR253" s="12"/>
      <c r="CS253" s="12"/>
      <c r="CT253" s="12"/>
      <c r="CU253" s="12"/>
      <c r="CV253" s="12"/>
      <c r="CW253" s="12"/>
      <c r="CX253" s="12"/>
      <c r="CY253" s="12"/>
    </row>
    <row r="254" spans="1:103" s="46" customFormat="1" ht="60.75">
      <c r="A254" s="43"/>
      <c r="B254" s="43"/>
      <c r="C254" s="43"/>
      <c r="D254" s="44" t="s">
        <v>214</v>
      </c>
      <c r="E254" s="44" t="s">
        <v>214</v>
      </c>
      <c r="F254" s="79"/>
      <c r="G254" s="37">
        <f t="shared" si="12"/>
        <v>0</v>
      </c>
      <c r="H254" s="80"/>
      <c r="I254" s="79"/>
      <c r="J254" s="81">
        <f t="shared" si="11"/>
        <v>0</v>
      </c>
      <c r="K254" s="45">
        <f>2000000-800000</f>
        <v>1200000</v>
      </c>
      <c r="L254" s="45"/>
      <c r="M254" s="45">
        <f t="shared" si="15"/>
        <v>1200000</v>
      </c>
      <c r="N254" s="4">
        <f>ROUND(M254/1000,1)-1000</f>
        <v>200</v>
      </c>
      <c r="O254" s="12"/>
      <c r="P254" s="41"/>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2"/>
      <c r="BT254" s="12"/>
      <c r="BU254" s="12"/>
      <c r="BV254" s="12"/>
      <c r="BW254" s="12"/>
      <c r="BX254" s="12"/>
      <c r="BY254" s="12"/>
      <c r="BZ254" s="12"/>
      <c r="CA254" s="12"/>
      <c r="CB254" s="12"/>
      <c r="CC254" s="12"/>
      <c r="CD254" s="12"/>
      <c r="CE254" s="12"/>
      <c r="CF254" s="12"/>
      <c r="CG254" s="12"/>
      <c r="CH254" s="12"/>
      <c r="CI254" s="12"/>
      <c r="CJ254" s="12"/>
      <c r="CK254" s="12"/>
      <c r="CL254" s="12"/>
      <c r="CM254" s="12"/>
      <c r="CN254" s="12"/>
      <c r="CO254" s="12"/>
      <c r="CP254" s="12"/>
      <c r="CQ254" s="12"/>
      <c r="CR254" s="12"/>
      <c r="CS254" s="12"/>
      <c r="CT254" s="12"/>
      <c r="CU254" s="12"/>
      <c r="CV254" s="12"/>
      <c r="CW254" s="12"/>
      <c r="CX254" s="12"/>
      <c r="CY254" s="12"/>
    </row>
    <row r="255" spans="1:103" s="46" customFormat="1" ht="40.5">
      <c r="A255" s="43"/>
      <c r="B255" s="43"/>
      <c r="C255" s="43"/>
      <c r="D255" s="44" t="s">
        <v>216</v>
      </c>
      <c r="E255" s="44" t="s">
        <v>216</v>
      </c>
      <c r="F255" s="79"/>
      <c r="G255" s="37">
        <f t="shared" si="12"/>
        <v>0</v>
      </c>
      <c r="H255" s="80"/>
      <c r="I255" s="79"/>
      <c r="J255" s="81">
        <f t="shared" si="11"/>
        <v>0</v>
      </c>
      <c r="K255" s="45">
        <v>3000000</v>
      </c>
      <c r="L255" s="45"/>
      <c r="M255" s="45">
        <f t="shared" si="15"/>
        <v>3000000</v>
      </c>
      <c r="N255" s="4">
        <f t="shared" si="13"/>
        <v>3000</v>
      </c>
      <c r="O255" s="12"/>
      <c r="P255" s="41"/>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c r="BM255" s="12"/>
      <c r="BN255" s="12"/>
      <c r="BO255" s="12"/>
      <c r="BP255" s="12"/>
      <c r="BQ255" s="12"/>
      <c r="BR255" s="12"/>
      <c r="BS255" s="12"/>
      <c r="BT255" s="12"/>
      <c r="BU255" s="12"/>
      <c r="BV255" s="12"/>
      <c r="BW255" s="12"/>
      <c r="BX255" s="12"/>
      <c r="BY255" s="12"/>
      <c r="BZ255" s="12"/>
      <c r="CA255" s="12"/>
      <c r="CB255" s="12"/>
      <c r="CC255" s="12"/>
      <c r="CD255" s="12"/>
      <c r="CE255" s="12"/>
      <c r="CF255" s="12"/>
      <c r="CG255" s="12"/>
      <c r="CH255" s="12"/>
      <c r="CI255" s="12"/>
      <c r="CJ255" s="12"/>
      <c r="CK255" s="12"/>
      <c r="CL255" s="12"/>
      <c r="CM255" s="12"/>
      <c r="CN255" s="12"/>
      <c r="CO255" s="12"/>
      <c r="CP255" s="12"/>
      <c r="CQ255" s="12"/>
      <c r="CR255" s="12"/>
      <c r="CS255" s="12"/>
      <c r="CT255" s="12"/>
      <c r="CU255" s="12"/>
      <c r="CV255" s="12"/>
      <c r="CW255" s="12"/>
      <c r="CX255" s="12"/>
      <c r="CY255" s="12"/>
    </row>
    <row r="256" spans="1:103" s="46" customFormat="1" ht="40.5">
      <c r="A256" s="43"/>
      <c r="B256" s="43"/>
      <c r="C256" s="43"/>
      <c r="D256" s="44" t="s">
        <v>291</v>
      </c>
      <c r="E256" s="44" t="s">
        <v>291</v>
      </c>
      <c r="F256" s="79"/>
      <c r="G256" s="37">
        <f t="shared" si="12"/>
        <v>0</v>
      </c>
      <c r="H256" s="80"/>
      <c r="I256" s="79"/>
      <c r="J256" s="81">
        <f t="shared" si="11"/>
        <v>0</v>
      </c>
      <c r="K256" s="45">
        <v>100000</v>
      </c>
      <c r="L256" s="45"/>
      <c r="M256" s="45">
        <f t="shared" si="15"/>
        <v>100000</v>
      </c>
      <c r="N256" s="4">
        <f t="shared" si="13"/>
        <v>100</v>
      </c>
      <c r="O256" s="12"/>
      <c r="P256" s="41"/>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M256" s="12"/>
      <c r="BN256" s="12"/>
      <c r="BO256" s="12"/>
      <c r="BP256" s="12"/>
      <c r="BQ256" s="12"/>
      <c r="BR256" s="12"/>
      <c r="BS256" s="12"/>
      <c r="BT256" s="12"/>
      <c r="BU256" s="12"/>
      <c r="BV256" s="12"/>
      <c r="BW256" s="12"/>
      <c r="BX256" s="12"/>
      <c r="BY256" s="12"/>
      <c r="BZ256" s="12"/>
      <c r="CA256" s="12"/>
      <c r="CB256" s="12"/>
      <c r="CC256" s="12"/>
      <c r="CD256" s="12"/>
      <c r="CE256" s="12"/>
      <c r="CF256" s="12"/>
      <c r="CG256" s="12"/>
      <c r="CH256" s="12"/>
      <c r="CI256" s="12"/>
      <c r="CJ256" s="12"/>
      <c r="CK256" s="12"/>
      <c r="CL256" s="12"/>
      <c r="CM256" s="12"/>
      <c r="CN256" s="12"/>
      <c r="CO256" s="12"/>
      <c r="CP256" s="12"/>
      <c r="CQ256" s="12"/>
      <c r="CR256" s="12"/>
      <c r="CS256" s="12"/>
      <c r="CT256" s="12"/>
      <c r="CU256" s="12"/>
      <c r="CV256" s="12"/>
      <c r="CW256" s="12"/>
      <c r="CX256" s="12"/>
      <c r="CY256" s="12"/>
    </row>
    <row r="257" spans="1:103" s="46" customFormat="1" ht="40.5">
      <c r="A257" s="43"/>
      <c r="B257" s="43"/>
      <c r="C257" s="43"/>
      <c r="D257" s="44" t="s">
        <v>292</v>
      </c>
      <c r="E257" s="44" t="s">
        <v>292</v>
      </c>
      <c r="F257" s="79"/>
      <c r="G257" s="37">
        <f t="shared" si="12"/>
        <v>0</v>
      </c>
      <c r="H257" s="80"/>
      <c r="I257" s="79"/>
      <c r="J257" s="81">
        <f t="shared" si="11"/>
        <v>0</v>
      </c>
      <c r="K257" s="45">
        <v>100000</v>
      </c>
      <c r="L257" s="45"/>
      <c r="M257" s="45">
        <f t="shared" si="15"/>
        <v>100000</v>
      </c>
      <c r="N257" s="4">
        <f t="shared" si="13"/>
        <v>100</v>
      </c>
      <c r="O257" s="12"/>
      <c r="P257" s="41"/>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c r="BM257" s="12"/>
      <c r="BN257" s="12"/>
      <c r="BO257" s="12"/>
      <c r="BP257" s="12"/>
      <c r="BQ257" s="12"/>
      <c r="BR257" s="12"/>
      <c r="BS257" s="12"/>
      <c r="BT257" s="12"/>
      <c r="BU257" s="12"/>
      <c r="BV257" s="12"/>
      <c r="BW257" s="12"/>
      <c r="BX257" s="12"/>
      <c r="BY257" s="12"/>
      <c r="BZ257" s="12"/>
      <c r="CA257" s="12"/>
      <c r="CB257" s="12"/>
      <c r="CC257" s="12"/>
      <c r="CD257" s="12"/>
      <c r="CE257" s="12"/>
      <c r="CF257" s="12"/>
      <c r="CG257" s="12"/>
      <c r="CH257" s="12"/>
      <c r="CI257" s="12"/>
      <c r="CJ257" s="12"/>
      <c r="CK257" s="12"/>
      <c r="CL257" s="12"/>
      <c r="CM257" s="12"/>
      <c r="CN257" s="12"/>
      <c r="CO257" s="12"/>
      <c r="CP257" s="12"/>
      <c r="CQ257" s="12"/>
      <c r="CR257" s="12"/>
      <c r="CS257" s="12"/>
      <c r="CT257" s="12"/>
      <c r="CU257" s="12"/>
      <c r="CV257" s="12"/>
      <c r="CW257" s="12"/>
      <c r="CX257" s="12"/>
      <c r="CY257" s="12"/>
    </row>
    <row r="258" spans="1:103" s="46" customFormat="1" ht="40.5">
      <c r="A258" s="43"/>
      <c r="B258" s="43"/>
      <c r="C258" s="43"/>
      <c r="D258" s="44" t="s">
        <v>293</v>
      </c>
      <c r="E258" s="44" t="s">
        <v>293</v>
      </c>
      <c r="F258" s="79"/>
      <c r="G258" s="37">
        <f t="shared" si="12"/>
        <v>0</v>
      </c>
      <c r="H258" s="80"/>
      <c r="I258" s="79"/>
      <c r="J258" s="81">
        <f t="shared" si="11"/>
        <v>0</v>
      </c>
      <c r="K258" s="45">
        <v>100000</v>
      </c>
      <c r="L258" s="45"/>
      <c r="M258" s="45">
        <f t="shared" si="15"/>
        <v>100000</v>
      </c>
      <c r="N258" s="4">
        <f t="shared" si="13"/>
        <v>100</v>
      </c>
      <c r="O258" s="12"/>
      <c r="P258" s="41"/>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c r="BQ258" s="12"/>
      <c r="BR258" s="12"/>
      <c r="BS258" s="12"/>
      <c r="BT258" s="12"/>
      <c r="BU258" s="12"/>
      <c r="BV258" s="12"/>
      <c r="BW258" s="12"/>
      <c r="BX258" s="12"/>
      <c r="BY258" s="12"/>
      <c r="BZ258" s="12"/>
      <c r="CA258" s="12"/>
      <c r="CB258" s="12"/>
      <c r="CC258" s="12"/>
      <c r="CD258" s="12"/>
      <c r="CE258" s="12"/>
      <c r="CF258" s="12"/>
      <c r="CG258" s="12"/>
      <c r="CH258" s="12"/>
      <c r="CI258" s="12"/>
      <c r="CJ258" s="12"/>
      <c r="CK258" s="12"/>
      <c r="CL258" s="12"/>
      <c r="CM258" s="12"/>
      <c r="CN258" s="12"/>
      <c r="CO258" s="12"/>
      <c r="CP258" s="12"/>
      <c r="CQ258" s="12"/>
      <c r="CR258" s="12"/>
      <c r="CS258" s="12"/>
      <c r="CT258" s="12"/>
      <c r="CU258" s="12"/>
      <c r="CV258" s="12"/>
      <c r="CW258" s="12"/>
      <c r="CX258" s="12"/>
      <c r="CY258" s="12"/>
    </row>
    <row r="259" spans="1:103" s="46" customFormat="1" ht="54.75" customHeight="1">
      <c r="A259" s="43"/>
      <c r="B259" s="43"/>
      <c r="C259" s="43"/>
      <c r="D259" s="44" t="s">
        <v>294</v>
      </c>
      <c r="E259" s="44" t="s">
        <v>294</v>
      </c>
      <c r="F259" s="79"/>
      <c r="G259" s="37">
        <f t="shared" si="12"/>
        <v>0</v>
      </c>
      <c r="H259" s="80"/>
      <c r="I259" s="79"/>
      <c r="J259" s="81">
        <f t="shared" si="11"/>
        <v>0</v>
      </c>
      <c r="K259" s="45">
        <v>100000</v>
      </c>
      <c r="L259" s="45"/>
      <c r="M259" s="45">
        <f t="shared" si="15"/>
        <v>100000</v>
      </c>
      <c r="N259" s="4">
        <f t="shared" si="13"/>
        <v>100</v>
      </c>
      <c r="O259" s="12"/>
      <c r="P259" s="41"/>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c r="BQ259" s="12"/>
      <c r="BR259" s="12"/>
      <c r="BS259" s="12"/>
      <c r="BT259" s="12"/>
      <c r="BU259" s="12"/>
      <c r="BV259" s="12"/>
      <c r="BW259" s="12"/>
      <c r="BX259" s="12"/>
      <c r="BY259" s="12"/>
      <c r="BZ259" s="12"/>
      <c r="CA259" s="12"/>
      <c r="CB259" s="12"/>
      <c r="CC259" s="12"/>
      <c r="CD259" s="12"/>
      <c r="CE259" s="12"/>
      <c r="CF259" s="12"/>
      <c r="CG259" s="12"/>
      <c r="CH259" s="12"/>
      <c r="CI259" s="12"/>
      <c r="CJ259" s="12"/>
      <c r="CK259" s="12"/>
      <c r="CL259" s="12"/>
      <c r="CM259" s="12"/>
      <c r="CN259" s="12"/>
      <c r="CO259" s="12"/>
      <c r="CP259" s="12"/>
      <c r="CQ259" s="12"/>
      <c r="CR259" s="12"/>
      <c r="CS259" s="12"/>
      <c r="CT259" s="12"/>
      <c r="CU259" s="12"/>
      <c r="CV259" s="12"/>
      <c r="CW259" s="12"/>
      <c r="CX259" s="12"/>
      <c r="CY259" s="12"/>
    </row>
    <row r="260" spans="1:103" s="46" customFormat="1" ht="57" customHeight="1">
      <c r="A260" s="43"/>
      <c r="B260" s="43"/>
      <c r="C260" s="43"/>
      <c r="D260" s="44" t="s">
        <v>388</v>
      </c>
      <c r="E260" s="44" t="s">
        <v>305</v>
      </c>
      <c r="F260" s="79"/>
      <c r="G260" s="37">
        <f t="shared" si="12"/>
        <v>0</v>
      </c>
      <c r="H260" s="80"/>
      <c r="I260" s="79"/>
      <c r="J260" s="81">
        <f t="shared" si="11"/>
        <v>0</v>
      </c>
      <c r="K260" s="45">
        <v>50000</v>
      </c>
      <c r="L260" s="45"/>
      <c r="M260" s="45">
        <f t="shared" si="15"/>
        <v>50000</v>
      </c>
      <c r="N260" s="4">
        <f t="shared" si="13"/>
        <v>50</v>
      </c>
      <c r="O260" s="12"/>
      <c r="P260" s="41"/>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c r="BM260" s="12"/>
      <c r="BN260" s="12"/>
      <c r="BO260" s="12"/>
      <c r="BP260" s="12"/>
      <c r="BQ260" s="12"/>
      <c r="BR260" s="12"/>
      <c r="BS260" s="12"/>
      <c r="BT260" s="12"/>
      <c r="BU260" s="12"/>
      <c r="BV260" s="12"/>
      <c r="BW260" s="12"/>
      <c r="BX260" s="12"/>
      <c r="BY260" s="12"/>
      <c r="BZ260" s="12"/>
      <c r="CA260" s="12"/>
      <c r="CB260" s="12"/>
      <c r="CC260" s="12"/>
      <c r="CD260" s="12"/>
      <c r="CE260" s="12"/>
      <c r="CF260" s="12"/>
      <c r="CG260" s="12"/>
      <c r="CH260" s="12"/>
      <c r="CI260" s="12"/>
      <c r="CJ260" s="12"/>
      <c r="CK260" s="12"/>
      <c r="CL260" s="12"/>
      <c r="CM260" s="12"/>
      <c r="CN260" s="12"/>
      <c r="CO260" s="12"/>
      <c r="CP260" s="12"/>
      <c r="CQ260" s="12"/>
      <c r="CR260" s="12"/>
      <c r="CS260" s="12"/>
      <c r="CT260" s="12"/>
      <c r="CU260" s="12"/>
      <c r="CV260" s="12"/>
      <c r="CW260" s="12"/>
      <c r="CX260" s="12"/>
      <c r="CY260" s="12"/>
    </row>
    <row r="261" spans="1:103" s="46" customFormat="1" ht="38.25" customHeight="1">
      <c r="A261" s="43"/>
      <c r="B261" s="43"/>
      <c r="C261" s="43"/>
      <c r="D261" s="44" t="s">
        <v>248</v>
      </c>
      <c r="E261" s="44" t="s">
        <v>248</v>
      </c>
      <c r="F261" s="79"/>
      <c r="G261" s="37">
        <f t="shared" si="12"/>
        <v>0</v>
      </c>
      <c r="H261" s="80"/>
      <c r="I261" s="79"/>
      <c r="J261" s="81">
        <f t="shared" si="11"/>
        <v>0</v>
      </c>
      <c r="K261" s="45">
        <v>100000</v>
      </c>
      <c r="L261" s="45"/>
      <c r="M261" s="45">
        <f t="shared" si="14"/>
        <v>100000</v>
      </c>
      <c r="N261" s="4">
        <f t="shared" si="13"/>
        <v>100</v>
      </c>
      <c r="O261" s="12"/>
      <c r="P261" s="41"/>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c r="BM261" s="12"/>
      <c r="BN261" s="12"/>
      <c r="BO261" s="12"/>
      <c r="BP261" s="12"/>
      <c r="BQ261" s="12"/>
      <c r="BR261" s="12"/>
      <c r="BS261" s="12"/>
      <c r="BT261" s="12"/>
      <c r="BU261" s="12"/>
      <c r="BV261" s="12"/>
      <c r="BW261" s="12"/>
      <c r="BX261" s="12"/>
      <c r="BY261" s="12"/>
      <c r="BZ261" s="12"/>
      <c r="CA261" s="12"/>
      <c r="CB261" s="12"/>
      <c r="CC261" s="12"/>
      <c r="CD261" s="12"/>
      <c r="CE261" s="12"/>
      <c r="CF261" s="12"/>
      <c r="CG261" s="12"/>
      <c r="CH261" s="12"/>
      <c r="CI261" s="12"/>
      <c r="CJ261" s="12"/>
      <c r="CK261" s="12"/>
      <c r="CL261" s="12"/>
      <c r="CM261" s="12"/>
      <c r="CN261" s="12"/>
      <c r="CO261" s="12"/>
      <c r="CP261" s="12"/>
      <c r="CQ261" s="12"/>
      <c r="CR261" s="12"/>
      <c r="CS261" s="12"/>
      <c r="CT261" s="12"/>
      <c r="CU261" s="12"/>
      <c r="CV261" s="12"/>
      <c r="CW261" s="12"/>
      <c r="CX261" s="12"/>
      <c r="CY261" s="12"/>
    </row>
    <row r="262" spans="1:103" s="46" customFormat="1" ht="29.25" customHeight="1">
      <c r="A262" s="43"/>
      <c r="B262" s="43"/>
      <c r="C262" s="43"/>
      <c r="D262" s="44" t="s">
        <v>249</v>
      </c>
      <c r="E262" s="44" t="s">
        <v>249</v>
      </c>
      <c r="F262" s="79"/>
      <c r="G262" s="37">
        <f t="shared" si="12"/>
        <v>0</v>
      </c>
      <c r="H262" s="80"/>
      <c r="I262" s="79"/>
      <c r="J262" s="81">
        <f t="shared" si="11"/>
        <v>0</v>
      </c>
      <c r="K262" s="45">
        <v>96600</v>
      </c>
      <c r="L262" s="45"/>
      <c r="M262" s="45">
        <f t="shared" si="14"/>
        <v>96600</v>
      </c>
      <c r="N262" s="4">
        <f t="shared" si="13"/>
        <v>96.6</v>
      </c>
      <c r="O262" s="12"/>
      <c r="P262" s="41"/>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12"/>
      <c r="CC262" s="12"/>
      <c r="CD262" s="12"/>
      <c r="CE262" s="12"/>
      <c r="CF262" s="12"/>
      <c r="CG262" s="12"/>
      <c r="CH262" s="12"/>
      <c r="CI262" s="12"/>
      <c r="CJ262" s="12"/>
      <c r="CK262" s="12"/>
      <c r="CL262" s="12"/>
      <c r="CM262" s="12"/>
      <c r="CN262" s="12"/>
      <c r="CO262" s="12"/>
      <c r="CP262" s="12"/>
      <c r="CQ262" s="12"/>
      <c r="CR262" s="12"/>
      <c r="CS262" s="12"/>
      <c r="CT262" s="12"/>
      <c r="CU262" s="12"/>
      <c r="CV262" s="12"/>
      <c r="CW262" s="12"/>
      <c r="CX262" s="12"/>
      <c r="CY262" s="12"/>
    </row>
    <row r="263" spans="1:103" s="46" customFormat="1" ht="40.5">
      <c r="A263" s="43"/>
      <c r="B263" s="43"/>
      <c r="C263" s="43"/>
      <c r="D263" s="44" t="s">
        <v>217</v>
      </c>
      <c r="E263" s="44" t="s">
        <v>217</v>
      </c>
      <c r="F263" s="79">
        <v>31834622</v>
      </c>
      <c r="G263" s="37">
        <f t="shared" si="12"/>
        <v>31834.6</v>
      </c>
      <c r="H263" s="80">
        <v>98.3</v>
      </c>
      <c r="I263" s="79">
        <v>31285694</v>
      </c>
      <c r="J263" s="81">
        <f t="shared" si="11"/>
        <v>31285.7</v>
      </c>
      <c r="K263" s="45">
        <f>5000000+4000000</f>
        <v>9000000</v>
      </c>
      <c r="L263" s="45"/>
      <c r="M263" s="45">
        <f t="shared" si="14"/>
        <v>9000000</v>
      </c>
      <c r="N263" s="4">
        <f t="shared" si="13"/>
        <v>9000</v>
      </c>
      <c r="O263" s="12"/>
      <c r="P263" s="41"/>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c r="BM263" s="12"/>
      <c r="BN263" s="12"/>
      <c r="BO263" s="12"/>
      <c r="BP263" s="12"/>
      <c r="BQ263" s="12"/>
      <c r="BR263" s="12"/>
      <c r="BS263" s="12"/>
      <c r="BT263" s="12"/>
      <c r="BU263" s="12"/>
      <c r="BV263" s="12"/>
      <c r="BW263" s="12"/>
      <c r="BX263" s="12"/>
      <c r="BY263" s="12"/>
      <c r="BZ263" s="12"/>
      <c r="CA263" s="12"/>
      <c r="CB263" s="12"/>
      <c r="CC263" s="12"/>
      <c r="CD263" s="12"/>
      <c r="CE263" s="12"/>
      <c r="CF263" s="12"/>
      <c r="CG263" s="12"/>
      <c r="CH263" s="12"/>
      <c r="CI263" s="12"/>
      <c r="CJ263" s="12"/>
      <c r="CK263" s="12"/>
      <c r="CL263" s="12"/>
      <c r="CM263" s="12"/>
      <c r="CN263" s="12"/>
      <c r="CO263" s="12"/>
      <c r="CP263" s="12"/>
      <c r="CQ263" s="12"/>
      <c r="CR263" s="12"/>
      <c r="CS263" s="12"/>
      <c r="CT263" s="12"/>
      <c r="CU263" s="12"/>
      <c r="CV263" s="12"/>
      <c r="CW263" s="12"/>
      <c r="CX263" s="12"/>
      <c r="CY263" s="12"/>
    </row>
    <row r="264" spans="1:103" s="46" customFormat="1" ht="40.5">
      <c r="A264" s="43"/>
      <c r="B264" s="43"/>
      <c r="C264" s="43"/>
      <c r="D264" s="44" t="s">
        <v>262</v>
      </c>
      <c r="E264" s="44" t="s">
        <v>262</v>
      </c>
      <c r="F264" s="79"/>
      <c r="G264" s="37">
        <f t="shared" si="12"/>
        <v>0</v>
      </c>
      <c r="H264" s="80"/>
      <c r="I264" s="79"/>
      <c r="J264" s="81">
        <f t="shared" si="11"/>
        <v>0</v>
      </c>
      <c r="K264" s="45">
        <v>500000</v>
      </c>
      <c r="L264" s="45"/>
      <c r="M264" s="45">
        <f t="shared" si="14"/>
        <v>500000</v>
      </c>
      <c r="N264" s="4">
        <f t="shared" si="13"/>
        <v>500</v>
      </c>
      <c r="O264" s="12"/>
      <c r="P264" s="41"/>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c r="BJ264" s="12"/>
      <c r="BK264" s="12"/>
      <c r="BL264" s="12"/>
      <c r="BM264" s="12"/>
      <c r="BN264" s="12"/>
      <c r="BO264" s="12"/>
      <c r="BP264" s="12"/>
      <c r="BQ264" s="12"/>
      <c r="BR264" s="12"/>
      <c r="BS264" s="12"/>
      <c r="BT264" s="12"/>
      <c r="BU264" s="12"/>
      <c r="BV264" s="12"/>
      <c r="BW264" s="12"/>
      <c r="BX264" s="12"/>
      <c r="BY264" s="12"/>
      <c r="BZ264" s="12"/>
      <c r="CA264" s="12"/>
      <c r="CB264" s="12"/>
      <c r="CC264" s="12"/>
      <c r="CD264" s="12"/>
      <c r="CE264" s="12"/>
      <c r="CF264" s="12"/>
      <c r="CG264" s="12"/>
      <c r="CH264" s="12"/>
      <c r="CI264" s="12"/>
      <c r="CJ264" s="12"/>
      <c r="CK264" s="12"/>
      <c r="CL264" s="12"/>
      <c r="CM264" s="12"/>
      <c r="CN264" s="12"/>
      <c r="CO264" s="12"/>
      <c r="CP264" s="12"/>
      <c r="CQ264" s="12"/>
      <c r="CR264" s="12"/>
      <c r="CS264" s="12"/>
      <c r="CT264" s="12"/>
      <c r="CU264" s="12"/>
      <c r="CV264" s="12"/>
      <c r="CW264" s="12"/>
      <c r="CX264" s="12"/>
      <c r="CY264" s="12"/>
    </row>
    <row r="265" spans="1:103" s="46" customFormat="1" ht="40.5">
      <c r="A265" s="43"/>
      <c r="B265" s="43"/>
      <c r="C265" s="43"/>
      <c r="D265" s="44" t="s">
        <v>296</v>
      </c>
      <c r="E265" s="44" t="s">
        <v>296</v>
      </c>
      <c r="F265" s="79"/>
      <c r="G265" s="37">
        <f t="shared" si="12"/>
        <v>0</v>
      </c>
      <c r="H265" s="80"/>
      <c r="I265" s="79"/>
      <c r="J265" s="81">
        <f t="shared" si="11"/>
        <v>0</v>
      </c>
      <c r="K265" s="45">
        <v>300000</v>
      </c>
      <c r="L265" s="45"/>
      <c r="M265" s="45">
        <f t="shared" si="14"/>
        <v>300000</v>
      </c>
      <c r="N265" s="4">
        <f t="shared" si="13"/>
        <v>300</v>
      </c>
      <c r="O265" s="12"/>
      <c r="P265" s="41"/>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c r="BM265" s="12"/>
      <c r="BN265" s="12"/>
      <c r="BO265" s="12"/>
      <c r="BP265" s="12"/>
      <c r="BQ265" s="12"/>
      <c r="BR265" s="12"/>
      <c r="BS265" s="12"/>
      <c r="BT265" s="12"/>
      <c r="BU265" s="12"/>
      <c r="BV265" s="12"/>
      <c r="BW265" s="12"/>
      <c r="BX265" s="12"/>
      <c r="BY265" s="12"/>
      <c r="BZ265" s="12"/>
      <c r="CA265" s="12"/>
      <c r="CB265" s="12"/>
      <c r="CC265" s="12"/>
      <c r="CD265" s="12"/>
      <c r="CE265" s="12"/>
      <c r="CF265" s="12"/>
      <c r="CG265" s="12"/>
      <c r="CH265" s="12"/>
      <c r="CI265" s="12"/>
      <c r="CJ265" s="12"/>
      <c r="CK265" s="12"/>
      <c r="CL265" s="12"/>
      <c r="CM265" s="12"/>
      <c r="CN265" s="12"/>
      <c r="CO265" s="12"/>
      <c r="CP265" s="12"/>
      <c r="CQ265" s="12"/>
      <c r="CR265" s="12"/>
      <c r="CS265" s="12"/>
      <c r="CT265" s="12"/>
      <c r="CU265" s="12"/>
      <c r="CV265" s="12"/>
      <c r="CW265" s="12"/>
      <c r="CX265" s="12"/>
      <c r="CY265" s="12"/>
    </row>
    <row r="266" spans="1:103" s="46" customFormat="1" ht="47.25" customHeight="1">
      <c r="A266" s="43"/>
      <c r="B266" s="43"/>
      <c r="C266" s="43"/>
      <c r="D266" s="82" t="s">
        <v>226</v>
      </c>
      <c r="E266" s="82" t="s">
        <v>226</v>
      </c>
      <c r="F266" s="79">
        <v>7995986</v>
      </c>
      <c r="G266" s="37">
        <f t="shared" si="12"/>
        <v>7996</v>
      </c>
      <c r="H266" s="80">
        <v>97.2</v>
      </c>
      <c r="I266" s="79">
        <v>7768864</v>
      </c>
      <c r="J266" s="81">
        <f t="shared" si="11"/>
        <v>7768.9</v>
      </c>
      <c r="K266" s="45">
        <v>500000</v>
      </c>
      <c r="L266" s="45"/>
      <c r="M266" s="45">
        <f t="shared" si="14"/>
        <v>500000</v>
      </c>
      <c r="N266" s="4">
        <f t="shared" si="13"/>
        <v>500</v>
      </c>
      <c r="O266" s="12"/>
      <c r="P266" s="41"/>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c r="BM266" s="12"/>
      <c r="BN266" s="12"/>
      <c r="BO266" s="12"/>
      <c r="BP266" s="12"/>
      <c r="BQ266" s="12"/>
      <c r="BR266" s="12"/>
      <c r="BS266" s="12"/>
      <c r="BT266" s="12"/>
      <c r="BU266" s="12"/>
      <c r="BV266" s="12"/>
      <c r="BW266" s="12"/>
      <c r="BX266" s="12"/>
      <c r="BY266" s="12"/>
      <c r="BZ266" s="12"/>
      <c r="CA266" s="12"/>
      <c r="CB266" s="12"/>
      <c r="CC266" s="12"/>
      <c r="CD266" s="12"/>
      <c r="CE266" s="12"/>
      <c r="CF266" s="12"/>
      <c r="CG266" s="12"/>
      <c r="CH266" s="12"/>
      <c r="CI266" s="12"/>
      <c r="CJ266" s="12"/>
      <c r="CK266" s="12"/>
      <c r="CL266" s="12"/>
      <c r="CM266" s="12"/>
      <c r="CN266" s="12"/>
      <c r="CO266" s="12"/>
      <c r="CP266" s="12"/>
      <c r="CQ266" s="12"/>
      <c r="CR266" s="12"/>
      <c r="CS266" s="12"/>
      <c r="CT266" s="12"/>
      <c r="CU266" s="12"/>
      <c r="CV266" s="12"/>
      <c r="CW266" s="12"/>
      <c r="CX266" s="12"/>
      <c r="CY266" s="12"/>
    </row>
    <row r="267" spans="1:103" s="46" customFormat="1" ht="51" customHeight="1">
      <c r="A267" s="43"/>
      <c r="B267" s="43"/>
      <c r="C267" s="43"/>
      <c r="D267" s="82" t="s">
        <v>227</v>
      </c>
      <c r="E267" s="82" t="s">
        <v>227</v>
      </c>
      <c r="F267" s="79"/>
      <c r="G267" s="37">
        <f t="shared" si="12"/>
        <v>0</v>
      </c>
      <c r="H267" s="80"/>
      <c r="I267" s="79"/>
      <c r="J267" s="81">
        <f t="shared" si="11"/>
        <v>0</v>
      </c>
      <c r="K267" s="45">
        <v>100000</v>
      </c>
      <c r="L267" s="58"/>
      <c r="M267" s="45">
        <f t="shared" si="14"/>
        <v>100000</v>
      </c>
      <c r="N267" s="4">
        <f t="shared" si="13"/>
        <v>100</v>
      </c>
      <c r="O267" s="12"/>
      <c r="P267" s="41"/>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c r="BM267" s="12"/>
      <c r="BN267" s="12"/>
      <c r="BO267" s="12"/>
      <c r="BP267" s="12"/>
      <c r="BQ267" s="12"/>
      <c r="BR267" s="12"/>
      <c r="BS267" s="12"/>
      <c r="BT267" s="12"/>
      <c r="BU267" s="12"/>
      <c r="BV267" s="12"/>
      <c r="BW267" s="12"/>
      <c r="BX267" s="12"/>
      <c r="BY267" s="12"/>
      <c r="BZ267" s="12"/>
      <c r="CA267" s="12"/>
      <c r="CB267" s="12"/>
      <c r="CC267" s="12"/>
      <c r="CD267" s="12"/>
      <c r="CE267" s="12"/>
      <c r="CF267" s="12"/>
      <c r="CG267" s="12"/>
      <c r="CH267" s="12"/>
      <c r="CI267" s="12"/>
      <c r="CJ267" s="12"/>
      <c r="CK267" s="12"/>
      <c r="CL267" s="12"/>
      <c r="CM267" s="12"/>
      <c r="CN267" s="12"/>
      <c r="CO267" s="12"/>
      <c r="CP267" s="12"/>
      <c r="CQ267" s="12"/>
      <c r="CR267" s="12"/>
      <c r="CS267" s="12"/>
      <c r="CT267" s="12"/>
      <c r="CU267" s="12"/>
      <c r="CV267" s="12"/>
      <c r="CW267" s="12"/>
      <c r="CX267" s="12"/>
      <c r="CY267" s="12"/>
    </row>
    <row r="268" spans="1:103" s="69" customFormat="1" ht="26.25" customHeight="1">
      <c r="A268" s="62" t="s">
        <v>93</v>
      </c>
      <c r="B268" s="62" t="s">
        <v>137</v>
      </c>
      <c r="C268" s="62"/>
      <c r="D268" s="61" t="s">
        <v>94</v>
      </c>
      <c r="E268" s="61"/>
      <c r="F268" s="61"/>
      <c r="G268" s="37">
        <f t="shared" si="12"/>
        <v>0</v>
      </c>
      <c r="H268" s="87"/>
      <c r="I268" s="61"/>
      <c r="J268" s="81">
        <f t="shared" si="11"/>
        <v>0</v>
      </c>
      <c r="K268" s="38">
        <f aca="true" t="shared" si="16" ref="K268:N269">K269</f>
        <v>608100</v>
      </c>
      <c r="L268" s="38">
        <f t="shared" si="16"/>
        <v>0</v>
      </c>
      <c r="M268" s="38">
        <f t="shared" si="16"/>
        <v>608100</v>
      </c>
      <c r="N268" s="39">
        <f t="shared" si="16"/>
        <v>608.1</v>
      </c>
      <c r="O268" s="70"/>
      <c r="P268" s="41"/>
      <c r="Q268" s="70"/>
      <c r="R268" s="70"/>
      <c r="S268" s="70"/>
      <c r="T268" s="70"/>
      <c r="U268" s="70"/>
      <c r="V268" s="70"/>
      <c r="W268" s="70"/>
      <c r="X268" s="70"/>
      <c r="Y268" s="70"/>
      <c r="Z268" s="70"/>
      <c r="AA268" s="70"/>
      <c r="AB268" s="70"/>
      <c r="AC268" s="70"/>
      <c r="AD268" s="70"/>
      <c r="AE268" s="70"/>
      <c r="AF268" s="70"/>
      <c r="AG268" s="70"/>
      <c r="AH268" s="70"/>
      <c r="AI268" s="70"/>
      <c r="AJ268" s="70"/>
      <c r="AK268" s="70"/>
      <c r="AL268" s="70"/>
      <c r="AM268" s="70"/>
      <c r="AN268" s="70"/>
      <c r="AO268" s="70"/>
      <c r="AP268" s="70"/>
      <c r="AQ268" s="70"/>
      <c r="AR268" s="70"/>
      <c r="AS268" s="70"/>
      <c r="AT268" s="70"/>
      <c r="AU268" s="70"/>
      <c r="AV268" s="70"/>
      <c r="AW268" s="70"/>
      <c r="AX268" s="70"/>
      <c r="AY268" s="70"/>
      <c r="AZ268" s="70"/>
      <c r="BA268" s="70"/>
      <c r="BB268" s="70"/>
      <c r="BC268" s="70"/>
      <c r="BD268" s="70"/>
      <c r="BE268" s="70"/>
      <c r="BF268" s="70"/>
      <c r="BG268" s="70"/>
      <c r="BH268" s="70"/>
      <c r="BI268" s="70"/>
      <c r="BJ268" s="70"/>
      <c r="BK268" s="70"/>
      <c r="BL268" s="70"/>
      <c r="BM268" s="70"/>
      <c r="BN268" s="70"/>
      <c r="BO268" s="70"/>
      <c r="BP268" s="70"/>
      <c r="BQ268" s="70"/>
      <c r="BR268" s="70"/>
      <c r="BS268" s="70"/>
      <c r="BT268" s="70"/>
      <c r="BU268" s="70"/>
      <c r="BV268" s="70"/>
      <c r="BW268" s="70"/>
      <c r="BX268" s="70"/>
      <c r="BY268" s="70"/>
      <c r="BZ268" s="70"/>
      <c r="CA268" s="70"/>
      <c r="CB268" s="70"/>
      <c r="CC268" s="70"/>
      <c r="CD268" s="70"/>
      <c r="CE268" s="70"/>
      <c r="CF268" s="70"/>
      <c r="CG268" s="70"/>
      <c r="CH268" s="70"/>
      <c r="CI268" s="70"/>
      <c r="CJ268" s="70"/>
      <c r="CK268" s="70"/>
      <c r="CL268" s="70"/>
      <c r="CM268" s="70"/>
      <c r="CN268" s="70"/>
      <c r="CO268" s="70"/>
      <c r="CP268" s="70"/>
      <c r="CQ268" s="70"/>
      <c r="CR268" s="70"/>
      <c r="CS268" s="70"/>
      <c r="CT268" s="70"/>
      <c r="CU268" s="70"/>
      <c r="CV268" s="70"/>
      <c r="CW268" s="70"/>
      <c r="CX268" s="70"/>
      <c r="CY268" s="70"/>
    </row>
    <row r="269" spans="1:103" s="46" customFormat="1" ht="26.25" customHeight="1">
      <c r="A269" s="43" t="s">
        <v>95</v>
      </c>
      <c r="B269" s="43" t="s">
        <v>138</v>
      </c>
      <c r="C269" s="43" t="s">
        <v>132</v>
      </c>
      <c r="D269" s="44" t="s">
        <v>375</v>
      </c>
      <c r="E269" s="58"/>
      <c r="F269" s="44"/>
      <c r="G269" s="37">
        <f t="shared" si="12"/>
        <v>0</v>
      </c>
      <c r="H269" s="88"/>
      <c r="I269" s="44"/>
      <c r="J269" s="81">
        <f t="shared" si="11"/>
        <v>0</v>
      </c>
      <c r="K269" s="45">
        <f t="shared" si="16"/>
        <v>608100</v>
      </c>
      <c r="L269" s="45">
        <f t="shared" si="16"/>
        <v>0</v>
      </c>
      <c r="M269" s="45">
        <f t="shared" si="16"/>
        <v>608100</v>
      </c>
      <c r="N269" s="4">
        <f t="shared" si="13"/>
        <v>608.1</v>
      </c>
      <c r="O269" s="12"/>
      <c r="P269" s="41"/>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c r="BM269" s="12"/>
      <c r="BN269" s="12"/>
      <c r="BO269" s="12"/>
      <c r="BP269" s="12"/>
      <c r="BQ269" s="12"/>
      <c r="BR269" s="12"/>
      <c r="BS269" s="12"/>
      <c r="BT269" s="12"/>
      <c r="BU269" s="12"/>
      <c r="BV269" s="12"/>
      <c r="BW269" s="12"/>
      <c r="BX269" s="12"/>
      <c r="BY269" s="12"/>
      <c r="BZ269" s="12"/>
      <c r="CA269" s="12"/>
      <c r="CB269" s="12"/>
      <c r="CC269" s="12"/>
      <c r="CD269" s="12"/>
      <c r="CE269" s="12"/>
      <c r="CF269" s="12"/>
      <c r="CG269" s="12"/>
      <c r="CH269" s="12"/>
      <c r="CI269" s="12"/>
      <c r="CJ269" s="12"/>
      <c r="CK269" s="12"/>
      <c r="CL269" s="12"/>
      <c r="CM269" s="12"/>
      <c r="CN269" s="12"/>
      <c r="CO269" s="12"/>
      <c r="CP269" s="12"/>
      <c r="CQ269" s="12"/>
      <c r="CR269" s="12"/>
      <c r="CS269" s="12"/>
      <c r="CT269" s="12"/>
      <c r="CU269" s="12"/>
      <c r="CV269" s="12"/>
      <c r="CW269" s="12"/>
      <c r="CX269" s="12"/>
      <c r="CY269" s="12"/>
    </row>
    <row r="270" spans="1:103" s="40" customFormat="1" ht="31.5" customHeight="1">
      <c r="A270" s="34"/>
      <c r="B270" s="34"/>
      <c r="C270" s="34"/>
      <c r="D270" s="89" t="s">
        <v>229</v>
      </c>
      <c r="E270" s="89" t="s">
        <v>229</v>
      </c>
      <c r="F270" s="49"/>
      <c r="G270" s="37">
        <f t="shared" si="12"/>
        <v>0</v>
      </c>
      <c r="H270" s="90"/>
      <c r="I270" s="49"/>
      <c r="J270" s="81">
        <f t="shared" si="11"/>
        <v>0</v>
      </c>
      <c r="K270" s="50">
        <f>108100+500000</f>
        <v>608100</v>
      </c>
      <c r="L270" s="50"/>
      <c r="M270" s="50">
        <f t="shared" si="14"/>
        <v>608100</v>
      </c>
      <c r="N270" s="52">
        <f t="shared" si="13"/>
        <v>608.1</v>
      </c>
      <c r="O270" s="42"/>
      <c r="P270" s="41"/>
      <c r="Q270" s="42"/>
      <c r="R270" s="42"/>
      <c r="S270" s="42"/>
      <c r="T270" s="42"/>
      <c r="U270" s="42"/>
      <c r="V270" s="42"/>
      <c r="W270" s="42"/>
      <c r="X270" s="42"/>
      <c r="Y270" s="42"/>
      <c r="Z270" s="42"/>
      <c r="AA270" s="42"/>
      <c r="AB270" s="42"/>
      <c r="AC270" s="42"/>
      <c r="AD270" s="42"/>
      <c r="AE270" s="42"/>
      <c r="AF270" s="42"/>
      <c r="AG270" s="42"/>
      <c r="AH270" s="42"/>
      <c r="AI270" s="42"/>
      <c r="AJ270" s="42"/>
      <c r="AK270" s="42"/>
      <c r="AL270" s="42"/>
      <c r="AM270" s="42"/>
      <c r="AN270" s="42"/>
      <c r="AO270" s="42"/>
      <c r="AP270" s="42"/>
      <c r="AQ270" s="42"/>
      <c r="AR270" s="42"/>
      <c r="AS270" s="42"/>
      <c r="AT270" s="42"/>
      <c r="AU270" s="42"/>
      <c r="AV270" s="42"/>
      <c r="AW270" s="42"/>
      <c r="AX270" s="42"/>
      <c r="AY270" s="42"/>
      <c r="AZ270" s="42"/>
      <c r="BA270" s="42"/>
      <c r="BB270" s="42"/>
      <c r="BC270" s="42"/>
      <c r="BD270" s="42"/>
      <c r="BE270" s="42"/>
      <c r="BF270" s="42"/>
      <c r="BG270" s="42"/>
      <c r="BH270" s="42"/>
      <c r="BI270" s="42"/>
      <c r="BJ270" s="42"/>
      <c r="BK270" s="42"/>
      <c r="BL270" s="42"/>
      <c r="BM270" s="42"/>
      <c r="BN270" s="42"/>
      <c r="BO270" s="42"/>
      <c r="BP270" s="42"/>
      <c r="BQ270" s="42"/>
      <c r="BR270" s="42"/>
      <c r="BS270" s="42"/>
      <c r="BT270" s="42"/>
      <c r="BU270" s="42"/>
      <c r="BV270" s="42"/>
      <c r="BW270" s="42"/>
      <c r="BX270" s="42"/>
      <c r="BY270" s="42"/>
      <c r="BZ270" s="42"/>
      <c r="CA270" s="42"/>
      <c r="CB270" s="42"/>
      <c r="CC270" s="42"/>
      <c r="CD270" s="42"/>
      <c r="CE270" s="42"/>
      <c r="CF270" s="42"/>
      <c r="CG270" s="42"/>
      <c r="CH270" s="42"/>
      <c r="CI270" s="42"/>
      <c r="CJ270" s="42"/>
      <c r="CK270" s="42"/>
      <c r="CL270" s="42"/>
      <c r="CM270" s="42"/>
      <c r="CN270" s="42"/>
      <c r="CO270" s="42"/>
      <c r="CP270" s="42"/>
      <c r="CQ270" s="42"/>
      <c r="CR270" s="42"/>
      <c r="CS270" s="42"/>
      <c r="CT270" s="42"/>
      <c r="CU270" s="42"/>
      <c r="CV270" s="42"/>
      <c r="CW270" s="42"/>
      <c r="CX270" s="42"/>
      <c r="CY270" s="42"/>
    </row>
    <row r="271" spans="1:103" s="46" customFormat="1" ht="26.25" customHeight="1">
      <c r="A271" s="43" t="s">
        <v>254</v>
      </c>
      <c r="B271" s="43" t="s">
        <v>142</v>
      </c>
      <c r="C271" s="43" t="s">
        <v>143</v>
      </c>
      <c r="D271" s="44" t="s">
        <v>67</v>
      </c>
      <c r="E271" s="44"/>
      <c r="F271" s="44"/>
      <c r="G271" s="37">
        <f t="shared" si="12"/>
        <v>0</v>
      </c>
      <c r="H271" s="88"/>
      <c r="I271" s="44"/>
      <c r="J271" s="81">
        <f t="shared" si="11"/>
        <v>0</v>
      </c>
      <c r="K271" s="45">
        <v>16524000</v>
      </c>
      <c r="L271" s="58"/>
      <c r="M271" s="45">
        <f t="shared" si="14"/>
        <v>16524000</v>
      </c>
      <c r="N271" s="4">
        <f t="shared" si="13"/>
        <v>16524</v>
      </c>
      <c r="O271" s="12"/>
      <c r="P271" s="41"/>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c r="BM271" s="12"/>
      <c r="BN271" s="12"/>
      <c r="BO271" s="12"/>
      <c r="BP271" s="12"/>
      <c r="BQ271" s="12"/>
      <c r="BR271" s="12"/>
      <c r="BS271" s="12"/>
      <c r="BT271" s="12"/>
      <c r="BU271" s="12"/>
      <c r="BV271" s="12"/>
      <c r="BW271" s="12"/>
      <c r="BX271" s="12"/>
      <c r="BY271" s="12"/>
      <c r="BZ271" s="12"/>
      <c r="CA271" s="12"/>
      <c r="CB271" s="12"/>
      <c r="CC271" s="12"/>
      <c r="CD271" s="12"/>
      <c r="CE271" s="12"/>
      <c r="CF271" s="12"/>
      <c r="CG271" s="12"/>
      <c r="CH271" s="12"/>
      <c r="CI271" s="12"/>
      <c r="CJ271" s="12"/>
      <c r="CK271" s="12"/>
      <c r="CL271" s="12"/>
      <c r="CM271" s="12"/>
      <c r="CN271" s="12"/>
      <c r="CO271" s="12"/>
      <c r="CP271" s="12"/>
      <c r="CQ271" s="12"/>
      <c r="CR271" s="12"/>
      <c r="CS271" s="12"/>
      <c r="CT271" s="12"/>
      <c r="CU271" s="12"/>
      <c r="CV271" s="12"/>
      <c r="CW271" s="12"/>
      <c r="CX271" s="12"/>
      <c r="CY271" s="12"/>
    </row>
    <row r="272" spans="1:103" s="46" customFormat="1" ht="40.5">
      <c r="A272" s="57" t="s">
        <v>86</v>
      </c>
      <c r="B272" s="57" t="s">
        <v>146</v>
      </c>
      <c r="C272" s="57" t="s">
        <v>136</v>
      </c>
      <c r="D272" s="44" t="s">
        <v>369</v>
      </c>
      <c r="E272" s="82" t="s">
        <v>173</v>
      </c>
      <c r="F272" s="44"/>
      <c r="G272" s="37">
        <f t="shared" si="12"/>
        <v>0</v>
      </c>
      <c r="H272" s="88"/>
      <c r="I272" s="44"/>
      <c r="J272" s="81">
        <f t="shared" si="11"/>
        <v>0</v>
      </c>
      <c r="K272" s="45">
        <f>13700000+2000000+13150000</f>
        <v>28850000</v>
      </c>
      <c r="L272" s="45"/>
      <c r="M272" s="45">
        <f t="shared" si="14"/>
        <v>28850000</v>
      </c>
      <c r="N272" s="4">
        <f t="shared" si="13"/>
        <v>28850</v>
      </c>
      <c r="O272" s="12"/>
      <c r="P272" s="41"/>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c r="BM272" s="12"/>
      <c r="BN272" s="12"/>
      <c r="BO272" s="12"/>
      <c r="BP272" s="12"/>
      <c r="BQ272" s="12"/>
      <c r="BR272" s="12"/>
      <c r="BS272" s="12"/>
      <c r="BT272" s="12"/>
      <c r="BU272" s="12"/>
      <c r="BV272" s="12"/>
      <c r="BW272" s="12"/>
      <c r="BX272" s="12"/>
      <c r="BY272" s="12"/>
      <c r="BZ272" s="12"/>
      <c r="CA272" s="12"/>
      <c r="CB272" s="12"/>
      <c r="CC272" s="12"/>
      <c r="CD272" s="12"/>
      <c r="CE272" s="12"/>
      <c r="CF272" s="12"/>
      <c r="CG272" s="12"/>
      <c r="CH272" s="12"/>
      <c r="CI272" s="12"/>
      <c r="CJ272" s="12"/>
      <c r="CK272" s="12"/>
      <c r="CL272" s="12"/>
      <c r="CM272" s="12"/>
      <c r="CN272" s="12"/>
      <c r="CO272" s="12"/>
      <c r="CP272" s="12"/>
      <c r="CQ272" s="12"/>
      <c r="CR272" s="12"/>
      <c r="CS272" s="12"/>
      <c r="CT272" s="12"/>
      <c r="CU272" s="12"/>
      <c r="CV272" s="12"/>
      <c r="CW272" s="12"/>
      <c r="CX272" s="12"/>
      <c r="CY272" s="12"/>
    </row>
    <row r="273" spans="1:103" s="40" customFormat="1" ht="26.25" customHeight="1">
      <c r="A273" s="53"/>
      <c r="B273" s="53"/>
      <c r="C273" s="53"/>
      <c r="D273" s="89" t="s">
        <v>173</v>
      </c>
      <c r="E273" s="89"/>
      <c r="F273" s="49"/>
      <c r="G273" s="37">
        <f t="shared" si="12"/>
        <v>0</v>
      </c>
      <c r="H273" s="90"/>
      <c r="I273" s="49"/>
      <c r="J273" s="81">
        <f t="shared" si="11"/>
        <v>0</v>
      </c>
      <c r="K273" s="50">
        <v>28850000</v>
      </c>
      <c r="L273" s="50"/>
      <c r="M273" s="50">
        <v>28850000</v>
      </c>
      <c r="N273" s="52">
        <f t="shared" si="13"/>
        <v>28850</v>
      </c>
      <c r="O273" s="42"/>
      <c r="P273" s="41"/>
      <c r="Q273" s="42"/>
      <c r="R273" s="42"/>
      <c r="S273" s="42"/>
      <c r="T273" s="42"/>
      <c r="U273" s="42"/>
      <c r="V273" s="42"/>
      <c r="W273" s="42"/>
      <c r="X273" s="42"/>
      <c r="Y273" s="42"/>
      <c r="Z273" s="42"/>
      <c r="AA273" s="42"/>
      <c r="AB273" s="42"/>
      <c r="AC273" s="42"/>
      <c r="AD273" s="42"/>
      <c r="AE273" s="42"/>
      <c r="AF273" s="42"/>
      <c r="AG273" s="42"/>
      <c r="AH273" s="42"/>
      <c r="AI273" s="42"/>
      <c r="AJ273" s="42"/>
      <c r="AK273" s="42"/>
      <c r="AL273" s="42"/>
      <c r="AM273" s="42"/>
      <c r="AN273" s="42"/>
      <c r="AO273" s="42"/>
      <c r="AP273" s="42"/>
      <c r="AQ273" s="42"/>
      <c r="AR273" s="42"/>
      <c r="AS273" s="42"/>
      <c r="AT273" s="42"/>
      <c r="AU273" s="42"/>
      <c r="AV273" s="42"/>
      <c r="AW273" s="42"/>
      <c r="AX273" s="42"/>
      <c r="AY273" s="42"/>
      <c r="AZ273" s="42"/>
      <c r="BA273" s="42"/>
      <c r="BB273" s="42"/>
      <c r="BC273" s="42"/>
      <c r="BD273" s="42"/>
      <c r="BE273" s="42"/>
      <c r="BF273" s="42"/>
      <c r="BG273" s="42"/>
      <c r="BH273" s="42"/>
      <c r="BI273" s="42"/>
      <c r="BJ273" s="42"/>
      <c r="BK273" s="42"/>
      <c r="BL273" s="42"/>
      <c r="BM273" s="42"/>
      <c r="BN273" s="42"/>
      <c r="BO273" s="42"/>
      <c r="BP273" s="42"/>
      <c r="BQ273" s="42"/>
      <c r="BR273" s="42"/>
      <c r="BS273" s="42"/>
      <c r="BT273" s="42"/>
      <c r="BU273" s="42"/>
      <c r="BV273" s="42"/>
      <c r="BW273" s="42"/>
      <c r="BX273" s="42"/>
      <c r="BY273" s="42"/>
      <c r="BZ273" s="42"/>
      <c r="CA273" s="42"/>
      <c r="CB273" s="42"/>
      <c r="CC273" s="42"/>
      <c r="CD273" s="42"/>
      <c r="CE273" s="42"/>
      <c r="CF273" s="42"/>
      <c r="CG273" s="42"/>
      <c r="CH273" s="42"/>
      <c r="CI273" s="42"/>
      <c r="CJ273" s="42"/>
      <c r="CK273" s="42"/>
      <c r="CL273" s="42"/>
      <c r="CM273" s="42"/>
      <c r="CN273" s="42"/>
      <c r="CO273" s="42"/>
      <c r="CP273" s="42"/>
      <c r="CQ273" s="42"/>
      <c r="CR273" s="42"/>
      <c r="CS273" s="42"/>
      <c r="CT273" s="42"/>
      <c r="CU273" s="42"/>
      <c r="CV273" s="42"/>
      <c r="CW273" s="42"/>
      <c r="CX273" s="42"/>
      <c r="CY273" s="42"/>
    </row>
    <row r="274" spans="1:103" s="46" customFormat="1" ht="31.5" customHeight="1">
      <c r="A274" s="75">
        <v>4810000</v>
      </c>
      <c r="B274" s="63"/>
      <c r="C274" s="63"/>
      <c r="D274" s="61" t="s">
        <v>90</v>
      </c>
      <c r="E274" s="44"/>
      <c r="F274" s="44"/>
      <c r="G274" s="37">
        <f t="shared" si="12"/>
        <v>0</v>
      </c>
      <c r="H274" s="88"/>
      <c r="I274" s="44"/>
      <c r="J274" s="81">
        <f t="shared" si="11"/>
        <v>0</v>
      </c>
      <c r="K274" s="38">
        <f>K275+K276</f>
        <v>112173</v>
      </c>
      <c r="L274" s="38">
        <f>L275+L276</f>
        <v>0</v>
      </c>
      <c r="M274" s="38">
        <f>M275+M276</f>
        <v>112173</v>
      </c>
      <c r="N274" s="39">
        <f>N275+N276</f>
        <v>112.2</v>
      </c>
      <c r="O274" s="12"/>
      <c r="P274" s="41"/>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c r="BQ274" s="12"/>
      <c r="BR274" s="12"/>
      <c r="BS274" s="12"/>
      <c r="BT274" s="12"/>
      <c r="BU274" s="12"/>
      <c r="BV274" s="12"/>
      <c r="BW274" s="12"/>
      <c r="BX274" s="12"/>
      <c r="BY274" s="12"/>
      <c r="BZ274" s="12"/>
      <c r="CA274" s="12"/>
      <c r="CB274" s="12"/>
      <c r="CC274" s="12"/>
      <c r="CD274" s="12"/>
      <c r="CE274" s="12"/>
      <c r="CF274" s="12"/>
      <c r="CG274" s="12"/>
      <c r="CH274" s="12"/>
      <c r="CI274" s="12"/>
      <c r="CJ274" s="12"/>
      <c r="CK274" s="12"/>
      <c r="CL274" s="12"/>
      <c r="CM274" s="12"/>
      <c r="CN274" s="12"/>
      <c r="CO274" s="12"/>
      <c r="CP274" s="12"/>
      <c r="CQ274" s="12"/>
      <c r="CR274" s="12"/>
      <c r="CS274" s="12"/>
      <c r="CT274" s="12"/>
      <c r="CU274" s="12"/>
      <c r="CV274" s="12"/>
      <c r="CW274" s="12"/>
      <c r="CX274" s="12"/>
      <c r="CY274" s="12"/>
    </row>
    <row r="275" spans="1:103" s="46" customFormat="1" ht="31.5" customHeight="1">
      <c r="A275" s="43" t="s">
        <v>77</v>
      </c>
      <c r="B275" s="43" t="s">
        <v>98</v>
      </c>
      <c r="C275" s="43" t="s">
        <v>99</v>
      </c>
      <c r="D275" s="44" t="s">
        <v>257</v>
      </c>
      <c r="E275" s="44"/>
      <c r="F275" s="44"/>
      <c r="G275" s="37">
        <f t="shared" si="12"/>
        <v>0</v>
      </c>
      <c r="H275" s="88"/>
      <c r="I275" s="44"/>
      <c r="J275" s="81">
        <f t="shared" si="11"/>
        <v>0</v>
      </c>
      <c r="K275" s="45">
        <f>45000+50000</f>
        <v>95000</v>
      </c>
      <c r="L275" s="45"/>
      <c r="M275" s="45">
        <f t="shared" si="14"/>
        <v>95000</v>
      </c>
      <c r="N275" s="4">
        <f t="shared" si="13"/>
        <v>95</v>
      </c>
      <c r="O275" s="12"/>
      <c r="P275" s="41"/>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c r="BM275" s="12"/>
      <c r="BN275" s="12"/>
      <c r="BO275" s="12"/>
      <c r="BP275" s="12"/>
      <c r="BQ275" s="12"/>
      <c r="BR275" s="12"/>
      <c r="BS275" s="12"/>
      <c r="BT275" s="12"/>
      <c r="BU275" s="12"/>
      <c r="BV275" s="12"/>
      <c r="BW275" s="12"/>
      <c r="BX275" s="12"/>
      <c r="BY275" s="12"/>
      <c r="BZ275" s="12"/>
      <c r="CA275" s="12"/>
      <c r="CB275" s="12"/>
      <c r="CC275" s="12"/>
      <c r="CD275" s="12"/>
      <c r="CE275" s="12"/>
      <c r="CF275" s="12"/>
      <c r="CG275" s="12"/>
      <c r="CH275" s="12"/>
      <c r="CI275" s="12"/>
      <c r="CJ275" s="12"/>
      <c r="CK275" s="12"/>
      <c r="CL275" s="12"/>
      <c r="CM275" s="12"/>
      <c r="CN275" s="12"/>
      <c r="CO275" s="12"/>
      <c r="CP275" s="12"/>
      <c r="CQ275" s="12"/>
      <c r="CR275" s="12"/>
      <c r="CS275" s="12"/>
      <c r="CT275" s="12"/>
      <c r="CU275" s="12"/>
      <c r="CV275" s="12"/>
      <c r="CW275" s="12"/>
      <c r="CX275" s="12"/>
      <c r="CY275" s="12"/>
    </row>
    <row r="276" spans="1:103" s="46" customFormat="1" ht="31.5" customHeight="1">
      <c r="A276" s="57" t="s">
        <v>267</v>
      </c>
      <c r="B276" s="57" t="s">
        <v>146</v>
      </c>
      <c r="C276" s="57" t="s">
        <v>136</v>
      </c>
      <c r="D276" s="44" t="s">
        <v>369</v>
      </c>
      <c r="E276" s="82" t="s">
        <v>268</v>
      </c>
      <c r="F276" s="44"/>
      <c r="G276" s="37">
        <f t="shared" si="12"/>
        <v>0</v>
      </c>
      <c r="H276" s="88"/>
      <c r="I276" s="44"/>
      <c r="J276" s="81">
        <f t="shared" si="11"/>
        <v>0</v>
      </c>
      <c r="K276" s="45">
        <v>17173</v>
      </c>
      <c r="L276" s="45"/>
      <c r="M276" s="45">
        <f>K276+L276</f>
        <v>17173</v>
      </c>
      <c r="N276" s="4">
        <f t="shared" si="13"/>
        <v>17.2</v>
      </c>
      <c r="O276" s="12"/>
      <c r="P276" s="41"/>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c r="BM276" s="12"/>
      <c r="BN276" s="12"/>
      <c r="BO276" s="12"/>
      <c r="BP276" s="12"/>
      <c r="BQ276" s="12"/>
      <c r="BR276" s="12"/>
      <c r="BS276" s="12"/>
      <c r="BT276" s="12"/>
      <c r="BU276" s="12"/>
      <c r="BV276" s="12"/>
      <c r="BW276" s="12"/>
      <c r="BX276" s="12"/>
      <c r="BY276" s="12"/>
      <c r="BZ276" s="12"/>
      <c r="CA276" s="12"/>
      <c r="CB276" s="12"/>
      <c r="CC276" s="12"/>
      <c r="CD276" s="12"/>
      <c r="CE276" s="12"/>
      <c r="CF276" s="12"/>
      <c r="CG276" s="12"/>
      <c r="CH276" s="12"/>
      <c r="CI276" s="12"/>
      <c r="CJ276" s="12"/>
      <c r="CK276" s="12"/>
      <c r="CL276" s="12"/>
      <c r="CM276" s="12"/>
      <c r="CN276" s="12"/>
      <c r="CO276" s="12"/>
      <c r="CP276" s="12"/>
      <c r="CQ276" s="12"/>
      <c r="CR276" s="12"/>
      <c r="CS276" s="12"/>
      <c r="CT276" s="12"/>
      <c r="CU276" s="12"/>
      <c r="CV276" s="12"/>
      <c r="CW276" s="12"/>
      <c r="CX276" s="12"/>
      <c r="CY276" s="12"/>
    </row>
    <row r="277" spans="1:103" s="40" customFormat="1" ht="31.5" customHeight="1">
      <c r="A277" s="53"/>
      <c r="B277" s="53"/>
      <c r="C277" s="53"/>
      <c r="D277" s="89" t="s">
        <v>268</v>
      </c>
      <c r="E277" s="89"/>
      <c r="F277" s="49"/>
      <c r="G277" s="91">
        <f t="shared" si="12"/>
        <v>0</v>
      </c>
      <c r="H277" s="90"/>
      <c r="I277" s="49"/>
      <c r="J277" s="92">
        <f aca="true" t="shared" si="17" ref="J277:J284">ROUND(I277/1000,1)</f>
        <v>0</v>
      </c>
      <c r="K277" s="50">
        <v>17173</v>
      </c>
      <c r="L277" s="50"/>
      <c r="M277" s="50">
        <v>17173</v>
      </c>
      <c r="N277" s="52">
        <f t="shared" si="13"/>
        <v>17.2</v>
      </c>
      <c r="O277" s="42"/>
      <c r="P277" s="41"/>
      <c r="Q277" s="42"/>
      <c r="R277" s="42"/>
      <c r="S277" s="42"/>
      <c r="T277" s="42"/>
      <c r="U277" s="42"/>
      <c r="V277" s="42"/>
      <c r="W277" s="42"/>
      <c r="X277" s="42"/>
      <c r="Y277" s="42"/>
      <c r="Z277" s="42"/>
      <c r="AA277" s="42"/>
      <c r="AB277" s="42"/>
      <c r="AC277" s="42"/>
      <c r="AD277" s="42"/>
      <c r="AE277" s="42"/>
      <c r="AF277" s="42"/>
      <c r="AG277" s="42"/>
      <c r="AH277" s="42"/>
      <c r="AI277" s="42"/>
      <c r="AJ277" s="42"/>
      <c r="AK277" s="42"/>
      <c r="AL277" s="42"/>
      <c r="AM277" s="42"/>
      <c r="AN277" s="42"/>
      <c r="AO277" s="42"/>
      <c r="AP277" s="42"/>
      <c r="AQ277" s="42"/>
      <c r="AR277" s="42"/>
      <c r="AS277" s="42"/>
      <c r="AT277" s="42"/>
      <c r="AU277" s="42"/>
      <c r="AV277" s="42"/>
      <c r="AW277" s="42"/>
      <c r="AX277" s="42"/>
      <c r="AY277" s="42"/>
      <c r="AZ277" s="42"/>
      <c r="BA277" s="42"/>
      <c r="BB277" s="42"/>
      <c r="BC277" s="42"/>
      <c r="BD277" s="42"/>
      <c r="BE277" s="42"/>
      <c r="BF277" s="42"/>
      <c r="BG277" s="42"/>
      <c r="BH277" s="42"/>
      <c r="BI277" s="42"/>
      <c r="BJ277" s="42"/>
      <c r="BK277" s="42"/>
      <c r="BL277" s="42"/>
      <c r="BM277" s="42"/>
      <c r="BN277" s="42"/>
      <c r="BO277" s="42"/>
      <c r="BP277" s="42"/>
      <c r="BQ277" s="42"/>
      <c r="BR277" s="42"/>
      <c r="BS277" s="42"/>
      <c r="BT277" s="42"/>
      <c r="BU277" s="42"/>
      <c r="BV277" s="42"/>
      <c r="BW277" s="42"/>
      <c r="BX277" s="42"/>
      <c r="BY277" s="42"/>
      <c r="BZ277" s="42"/>
      <c r="CA277" s="42"/>
      <c r="CB277" s="42"/>
      <c r="CC277" s="42"/>
      <c r="CD277" s="42"/>
      <c r="CE277" s="42"/>
      <c r="CF277" s="42"/>
      <c r="CG277" s="42"/>
      <c r="CH277" s="42"/>
      <c r="CI277" s="42"/>
      <c r="CJ277" s="42"/>
      <c r="CK277" s="42"/>
      <c r="CL277" s="42"/>
      <c r="CM277" s="42"/>
      <c r="CN277" s="42"/>
      <c r="CO277" s="42"/>
      <c r="CP277" s="42"/>
      <c r="CQ277" s="42"/>
      <c r="CR277" s="42"/>
      <c r="CS277" s="42"/>
      <c r="CT277" s="42"/>
      <c r="CU277" s="42"/>
      <c r="CV277" s="42"/>
      <c r="CW277" s="42"/>
      <c r="CX277" s="42"/>
      <c r="CY277" s="42"/>
    </row>
    <row r="278" spans="1:103" s="93" customFormat="1" ht="31.5" customHeight="1">
      <c r="A278" s="75">
        <v>5010000</v>
      </c>
      <c r="B278" s="63"/>
      <c r="C278" s="63"/>
      <c r="D278" s="61" t="s">
        <v>78</v>
      </c>
      <c r="E278" s="61"/>
      <c r="F278" s="61"/>
      <c r="G278" s="37">
        <f aca="true" t="shared" si="18" ref="G278:G284">ROUND(F278/1000,1)</f>
        <v>0</v>
      </c>
      <c r="H278" s="87"/>
      <c r="I278" s="61"/>
      <c r="J278" s="81">
        <f t="shared" si="17"/>
        <v>0</v>
      </c>
      <c r="K278" s="38">
        <f>K279</f>
        <v>21000</v>
      </c>
      <c r="L278" s="38">
        <f>L279</f>
        <v>0</v>
      </c>
      <c r="M278" s="38">
        <f>M279</f>
        <v>21000</v>
      </c>
      <c r="N278" s="39">
        <f>N279</f>
        <v>21</v>
      </c>
      <c r="O278" s="94"/>
      <c r="P278" s="41"/>
      <c r="Q278" s="94"/>
      <c r="R278" s="94"/>
      <c r="S278" s="94"/>
      <c r="T278" s="94"/>
      <c r="U278" s="94"/>
      <c r="V278" s="94"/>
      <c r="W278" s="94"/>
      <c r="X278" s="94"/>
      <c r="Y278" s="94"/>
      <c r="Z278" s="94"/>
      <c r="AA278" s="94"/>
      <c r="AB278" s="94"/>
      <c r="AC278" s="94"/>
      <c r="AD278" s="94"/>
      <c r="AE278" s="94"/>
      <c r="AF278" s="94"/>
      <c r="AG278" s="94"/>
      <c r="AH278" s="94"/>
      <c r="AI278" s="94"/>
      <c r="AJ278" s="94"/>
      <c r="AK278" s="94"/>
      <c r="AL278" s="94"/>
      <c r="AM278" s="94"/>
      <c r="AN278" s="94"/>
      <c r="AO278" s="94"/>
      <c r="AP278" s="94"/>
      <c r="AQ278" s="94"/>
      <c r="AR278" s="94"/>
      <c r="AS278" s="94"/>
      <c r="AT278" s="94"/>
      <c r="AU278" s="94"/>
      <c r="AV278" s="94"/>
      <c r="AW278" s="94"/>
      <c r="AX278" s="94"/>
      <c r="AY278" s="94"/>
      <c r="AZ278" s="94"/>
      <c r="BA278" s="94"/>
      <c r="BB278" s="94"/>
      <c r="BC278" s="94"/>
      <c r="BD278" s="94"/>
      <c r="BE278" s="94"/>
      <c r="BF278" s="94"/>
      <c r="BG278" s="94"/>
      <c r="BH278" s="94"/>
      <c r="BI278" s="94"/>
      <c r="BJ278" s="94"/>
      <c r="BK278" s="94"/>
      <c r="BL278" s="94"/>
      <c r="BM278" s="94"/>
      <c r="BN278" s="94"/>
      <c r="BO278" s="94"/>
      <c r="BP278" s="94"/>
      <c r="BQ278" s="94"/>
      <c r="BR278" s="94"/>
      <c r="BS278" s="94"/>
      <c r="BT278" s="94"/>
      <c r="BU278" s="94"/>
      <c r="BV278" s="94"/>
      <c r="BW278" s="94"/>
      <c r="BX278" s="94"/>
      <c r="BY278" s="94"/>
      <c r="BZ278" s="94"/>
      <c r="CA278" s="94"/>
      <c r="CB278" s="94"/>
      <c r="CC278" s="94"/>
      <c r="CD278" s="94"/>
      <c r="CE278" s="94"/>
      <c r="CF278" s="94"/>
      <c r="CG278" s="94"/>
      <c r="CH278" s="94"/>
      <c r="CI278" s="94"/>
      <c r="CJ278" s="94"/>
      <c r="CK278" s="94"/>
      <c r="CL278" s="94"/>
      <c r="CM278" s="94"/>
      <c r="CN278" s="94"/>
      <c r="CO278" s="94"/>
      <c r="CP278" s="94"/>
      <c r="CQ278" s="94"/>
      <c r="CR278" s="94"/>
      <c r="CS278" s="94"/>
      <c r="CT278" s="94"/>
      <c r="CU278" s="94"/>
      <c r="CV278" s="94"/>
      <c r="CW278" s="94"/>
      <c r="CX278" s="94"/>
      <c r="CY278" s="94"/>
    </row>
    <row r="279" spans="1:103" s="46" customFormat="1" ht="31.5" customHeight="1">
      <c r="A279" s="43" t="s">
        <v>79</v>
      </c>
      <c r="B279" s="43" t="s">
        <v>98</v>
      </c>
      <c r="C279" s="43" t="s">
        <v>99</v>
      </c>
      <c r="D279" s="44" t="s">
        <v>257</v>
      </c>
      <c r="E279" s="44"/>
      <c r="F279" s="44"/>
      <c r="G279" s="37">
        <f t="shared" si="18"/>
        <v>0</v>
      </c>
      <c r="H279" s="88"/>
      <c r="I279" s="44"/>
      <c r="J279" s="81">
        <f t="shared" si="17"/>
        <v>0</v>
      </c>
      <c r="K279" s="45">
        <v>21000</v>
      </c>
      <c r="L279" s="58"/>
      <c r="M279" s="45">
        <f t="shared" si="14"/>
        <v>21000</v>
      </c>
      <c r="N279" s="4">
        <f aca="true" t="shared" si="19" ref="N279:N284">ROUND(M279/1000,1)</f>
        <v>21</v>
      </c>
      <c r="O279" s="12"/>
      <c r="P279" s="41"/>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c r="BM279" s="12"/>
      <c r="BN279" s="12"/>
      <c r="BO279" s="12"/>
      <c r="BP279" s="12"/>
      <c r="BQ279" s="12"/>
      <c r="BR279" s="12"/>
      <c r="BS279" s="12"/>
      <c r="BT279" s="12"/>
      <c r="BU279" s="12"/>
      <c r="BV279" s="12"/>
      <c r="BW279" s="12"/>
      <c r="BX279" s="12"/>
      <c r="BY279" s="12"/>
      <c r="BZ279" s="12"/>
      <c r="CA279" s="12"/>
      <c r="CB279" s="12"/>
      <c r="CC279" s="12"/>
      <c r="CD279" s="12"/>
      <c r="CE279" s="12"/>
      <c r="CF279" s="12"/>
      <c r="CG279" s="12"/>
      <c r="CH279" s="12"/>
      <c r="CI279" s="12"/>
      <c r="CJ279" s="12"/>
      <c r="CK279" s="12"/>
      <c r="CL279" s="12"/>
      <c r="CM279" s="12"/>
      <c r="CN279" s="12"/>
      <c r="CO279" s="12"/>
      <c r="CP279" s="12"/>
      <c r="CQ279" s="12"/>
      <c r="CR279" s="12"/>
      <c r="CS279" s="12"/>
      <c r="CT279" s="12"/>
      <c r="CU279" s="12"/>
      <c r="CV279" s="12"/>
      <c r="CW279" s="12"/>
      <c r="CX279" s="12"/>
      <c r="CY279" s="12"/>
    </row>
    <row r="280" spans="1:103" s="46" customFormat="1" ht="42" customHeight="1">
      <c r="A280" s="62" t="s">
        <v>80</v>
      </c>
      <c r="B280" s="43"/>
      <c r="C280" s="43"/>
      <c r="D280" s="61" t="s">
        <v>91</v>
      </c>
      <c r="E280" s="61"/>
      <c r="F280" s="61"/>
      <c r="G280" s="37">
        <f t="shared" si="18"/>
        <v>0</v>
      </c>
      <c r="H280" s="87"/>
      <c r="I280" s="61"/>
      <c r="J280" s="81">
        <f t="shared" si="17"/>
        <v>0</v>
      </c>
      <c r="K280" s="38">
        <f>K281</f>
        <v>131000</v>
      </c>
      <c r="L280" s="38">
        <f>L281</f>
        <v>0</v>
      </c>
      <c r="M280" s="38">
        <f>M281</f>
        <v>131000</v>
      </c>
      <c r="N280" s="39">
        <f>N281</f>
        <v>186</v>
      </c>
      <c r="O280" s="12"/>
      <c r="P280" s="41"/>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c r="BM280" s="12"/>
      <c r="BN280" s="12"/>
      <c r="BO280" s="12"/>
      <c r="BP280" s="12"/>
      <c r="BQ280" s="12"/>
      <c r="BR280" s="12"/>
      <c r="BS280" s="12"/>
      <c r="BT280" s="12"/>
      <c r="BU280" s="12"/>
      <c r="BV280" s="12"/>
      <c r="BW280" s="12"/>
      <c r="BX280" s="12"/>
      <c r="BY280" s="12"/>
      <c r="BZ280" s="12"/>
      <c r="CA280" s="12"/>
      <c r="CB280" s="12"/>
      <c r="CC280" s="12"/>
      <c r="CD280" s="12"/>
      <c r="CE280" s="12"/>
      <c r="CF280" s="12"/>
      <c r="CG280" s="12"/>
      <c r="CH280" s="12"/>
      <c r="CI280" s="12"/>
      <c r="CJ280" s="12"/>
      <c r="CK280" s="12"/>
      <c r="CL280" s="12"/>
      <c r="CM280" s="12"/>
      <c r="CN280" s="12"/>
      <c r="CO280" s="12"/>
      <c r="CP280" s="12"/>
      <c r="CQ280" s="12"/>
      <c r="CR280" s="12"/>
      <c r="CS280" s="12"/>
      <c r="CT280" s="12"/>
      <c r="CU280" s="12"/>
      <c r="CV280" s="12"/>
      <c r="CW280" s="12"/>
      <c r="CX280" s="12"/>
      <c r="CY280" s="12"/>
    </row>
    <row r="281" spans="1:103" s="46" customFormat="1" ht="25.5" customHeight="1">
      <c r="A281" s="43" t="s">
        <v>81</v>
      </c>
      <c r="B281" s="43" t="s">
        <v>98</v>
      </c>
      <c r="C281" s="43" t="s">
        <v>99</v>
      </c>
      <c r="D281" s="44" t="s">
        <v>257</v>
      </c>
      <c r="E281" s="44"/>
      <c r="F281" s="44"/>
      <c r="G281" s="37">
        <f t="shared" si="18"/>
        <v>0</v>
      </c>
      <c r="H281" s="88"/>
      <c r="I281" s="44"/>
      <c r="J281" s="81">
        <f t="shared" si="17"/>
        <v>0</v>
      </c>
      <c r="K281" s="45">
        <f>50000+81000</f>
        <v>131000</v>
      </c>
      <c r="L281" s="45"/>
      <c r="M281" s="45">
        <f t="shared" si="14"/>
        <v>131000</v>
      </c>
      <c r="N281" s="4">
        <f>ROUND(M281/1000,1)+55</f>
        <v>186</v>
      </c>
      <c r="O281" s="12"/>
      <c r="P281" s="41"/>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c r="BM281" s="12"/>
      <c r="BN281" s="12"/>
      <c r="BO281" s="12"/>
      <c r="BP281" s="12"/>
      <c r="BQ281" s="12"/>
      <c r="BR281" s="12"/>
      <c r="BS281" s="12"/>
      <c r="BT281" s="12"/>
      <c r="BU281" s="12"/>
      <c r="BV281" s="12"/>
      <c r="BW281" s="12"/>
      <c r="BX281" s="12"/>
      <c r="BY281" s="12"/>
      <c r="BZ281" s="12"/>
      <c r="CA281" s="12"/>
      <c r="CB281" s="12"/>
      <c r="CC281" s="12"/>
      <c r="CD281" s="12"/>
      <c r="CE281" s="12"/>
      <c r="CF281" s="12"/>
      <c r="CG281" s="12"/>
      <c r="CH281" s="12"/>
      <c r="CI281" s="12"/>
      <c r="CJ281" s="12"/>
      <c r="CK281" s="12"/>
      <c r="CL281" s="12"/>
      <c r="CM281" s="12"/>
      <c r="CN281" s="12"/>
      <c r="CO281" s="12"/>
      <c r="CP281" s="12"/>
      <c r="CQ281" s="12"/>
      <c r="CR281" s="12"/>
      <c r="CS281" s="12"/>
      <c r="CT281" s="12"/>
      <c r="CU281" s="12"/>
      <c r="CV281" s="12"/>
      <c r="CW281" s="12"/>
      <c r="CX281" s="12"/>
      <c r="CY281" s="12"/>
    </row>
    <row r="282" spans="1:103" s="46" customFormat="1" ht="56.25" customHeight="1">
      <c r="A282" s="75">
        <v>7610000</v>
      </c>
      <c r="B282" s="63"/>
      <c r="C282" s="63"/>
      <c r="D282" s="61" t="s">
        <v>92</v>
      </c>
      <c r="E282" s="61"/>
      <c r="F282" s="61"/>
      <c r="G282" s="37">
        <f t="shared" si="18"/>
        <v>0</v>
      </c>
      <c r="H282" s="87"/>
      <c r="I282" s="61"/>
      <c r="J282" s="81">
        <f t="shared" si="17"/>
        <v>0</v>
      </c>
      <c r="K282" s="38">
        <f>K283</f>
        <v>1500000</v>
      </c>
      <c r="L282" s="38">
        <f>L283</f>
        <v>0</v>
      </c>
      <c r="M282" s="38">
        <f>M283</f>
        <v>1500000</v>
      </c>
      <c r="N282" s="72">
        <f t="shared" si="19"/>
        <v>1500</v>
      </c>
      <c r="O282" s="12"/>
      <c r="P282" s="41"/>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c r="BM282" s="12"/>
      <c r="BN282" s="12"/>
      <c r="BO282" s="12"/>
      <c r="BP282" s="12"/>
      <c r="BQ282" s="12"/>
      <c r="BR282" s="12"/>
      <c r="BS282" s="12"/>
      <c r="BT282" s="12"/>
      <c r="BU282" s="12"/>
      <c r="BV282" s="12"/>
      <c r="BW282" s="12"/>
      <c r="BX282" s="12"/>
      <c r="BY282" s="12"/>
      <c r="BZ282" s="12"/>
      <c r="CA282" s="12"/>
      <c r="CB282" s="12"/>
      <c r="CC282" s="12"/>
      <c r="CD282" s="12"/>
      <c r="CE282" s="12"/>
      <c r="CF282" s="12"/>
      <c r="CG282" s="12"/>
      <c r="CH282" s="12"/>
      <c r="CI282" s="12"/>
      <c r="CJ282" s="12"/>
      <c r="CK282" s="12"/>
      <c r="CL282" s="12"/>
      <c r="CM282" s="12"/>
      <c r="CN282" s="12"/>
      <c r="CO282" s="12"/>
      <c r="CP282" s="12"/>
      <c r="CQ282" s="12"/>
      <c r="CR282" s="12"/>
      <c r="CS282" s="12"/>
      <c r="CT282" s="12"/>
      <c r="CU282" s="12"/>
      <c r="CV282" s="12"/>
      <c r="CW282" s="12"/>
      <c r="CX282" s="12"/>
      <c r="CY282" s="12"/>
    </row>
    <row r="283" spans="1:103" s="46" customFormat="1" ht="30" customHeight="1">
      <c r="A283" s="63">
        <v>7618800</v>
      </c>
      <c r="B283" s="63">
        <v>8800</v>
      </c>
      <c r="C283" s="43" t="s">
        <v>98</v>
      </c>
      <c r="D283" s="73" t="s">
        <v>376</v>
      </c>
      <c r="E283" s="73"/>
      <c r="F283" s="73"/>
      <c r="G283" s="37">
        <f t="shared" si="18"/>
        <v>0</v>
      </c>
      <c r="H283" s="88"/>
      <c r="I283" s="73"/>
      <c r="J283" s="30">
        <f t="shared" si="17"/>
        <v>0</v>
      </c>
      <c r="K283" s="45">
        <f>K284</f>
        <v>1500000</v>
      </c>
      <c r="L283" s="45">
        <f>L284</f>
        <v>0</v>
      </c>
      <c r="M283" s="45">
        <f t="shared" si="14"/>
        <v>1500000</v>
      </c>
      <c r="N283" s="4">
        <f t="shared" si="19"/>
        <v>1500</v>
      </c>
      <c r="O283" s="12"/>
      <c r="P283" s="41"/>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c r="BM283" s="12"/>
      <c r="BN283" s="12"/>
      <c r="BO283" s="12"/>
      <c r="BP283" s="12"/>
      <c r="BQ283" s="12"/>
      <c r="BR283" s="12"/>
      <c r="BS283" s="12"/>
      <c r="BT283" s="12"/>
      <c r="BU283" s="12"/>
      <c r="BV283" s="12"/>
      <c r="BW283" s="12"/>
      <c r="BX283" s="12"/>
      <c r="BY283" s="12"/>
      <c r="BZ283" s="12"/>
      <c r="CA283" s="12"/>
      <c r="CB283" s="12"/>
      <c r="CC283" s="12"/>
      <c r="CD283" s="12"/>
      <c r="CE283" s="12"/>
      <c r="CF283" s="12"/>
      <c r="CG283" s="12"/>
      <c r="CH283" s="12"/>
      <c r="CI283" s="12"/>
      <c r="CJ283" s="12"/>
      <c r="CK283" s="12"/>
      <c r="CL283" s="12"/>
      <c r="CM283" s="12"/>
      <c r="CN283" s="12"/>
      <c r="CO283" s="12"/>
      <c r="CP283" s="12"/>
      <c r="CQ283" s="12"/>
      <c r="CR283" s="12"/>
      <c r="CS283" s="12"/>
      <c r="CT283" s="12"/>
      <c r="CU283" s="12"/>
      <c r="CV283" s="12"/>
      <c r="CW283" s="12"/>
      <c r="CX283" s="12"/>
      <c r="CY283" s="12"/>
    </row>
    <row r="284" spans="1:103" s="46" customFormat="1" ht="30" customHeight="1">
      <c r="A284" s="65">
        <v>7618800</v>
      </c>
      <c r="B284" s="65">
        <v>8800</v>
      </c>
      <c r="C284" s="53" t="s">
        <v>98</v>
      </c>
      <c r="D284" s="74" t="s">
        <v>82</v>
      </c>
      <c r="E284" s="74"/>
      <c r="F284" s="74"/>
      <c r="G284" s="37">
        <f t="shared" si="18"/>
        <v>0</v>
      </c>
      <c r="H284" s="95"/>
      <c r="I284" s="74"/>
      <c r="J284" s="30">
        <f t="shared" si="17"/>
        <v>0</v>
      </c>
      <c r="K284" s="50">
        <f>500000+500000+500000</f>
        <v>1500000</v>
      </c>
      <c r="L284" s="96"/>
      <c r="M284" s="50">
        <f t="shared" si="14"/>
        <v>1500000</v>
      </c>
      <c r="N284" s="52">
        <f t="shared" si="19"/>
        <v>1500</v>
      </c>
      <c r="O284" s="12"/>
      <c r="P284" s="41"/>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c r="BM284" s="12"/>
      <c r="BN284" s="12"/>
      <c r="BO284" s="12"/>
      <c r="BP284" s="12"/>
      <c r="BQ284" s="12"/>
      <c r="BR284" s="12"/>
      <c r="BS284" s="12"/>
      <c r="BT284" s="12"/>
      <c r="BU284" s="12"/>
      <c r="BV284" s="12"/>
      <c r="BW284" s="12"/>
      <c r="BX284" s="12"/>
      <c r="BY284" s="12"/>
      <c r="BZ284" s="12"/>
      <c r="CA284" s="12"/>
      <c r="CB284" s="12"/>
      <c r="CC284" s="12"/>
      <c r="CD284" s="12"/>
      <c r="CE284" s="12"/>
      <c r="CF284" s="12"/>
      <c r="CG284" s="12"/>
      <c r="CH284" s="12"/>
      <c r="CI284" s="12"/>
      <c r="CJ284" s="12"/>
      <c r="CK284" s="12"/>
      <c r="CL284" s="12"/>
      <c r="CM284" s="12"/>
      <c r="CN284" s="12"/>
      <c r="CO284" s="12"/>
      <c r="CP284" s="12"/>
      <c r="CQ284" s="12"/>
      <c r="CR284" s="12"/>
      <c r="CS284" s="12"/>
      <c r="CT284" s="12"/>
      <c r="CU284" s="12"/>
      <c r="CV284" s="12"/>
      <c r="CW284" s="12"/>
      <c r="CX284" s="12"/>
      <c r="CY284" s="12"/>
    </row>
    <row r="285" spans="1:103" s="46" customFormat="1" ht="35.25" customHeight="1">
      <c r="A285" s="63"/>
      <c r="B285" s="63"/>
      <c r="C285" s="63"/>
      <c r="D285" s="1" t="s">
        <v>380</v>
      </c>
      <c r="E285" s="61"/>
      <c r="F285" s="61"/>
      <c r="G285" s="61"/>
      <c r="H285" s="61"/>
      <c r="I285" s="61"/>
      <c r="J285" s="61"/>
      <c r="K285" s="38" t="e">
        <f>K18+K40+K51+K58+K77+K111+K114+K116+K274+K278+K280+K282+K68+K70</f>
        <v>#REF!</v>
      </c>
      <c r="L285" s="38" t="e">
        <f>L18+L40+L51+L58+L77+L111+L114+L116+L274+L278+L280+L282+L68+L70</f>
        <v>#REF!</v>
      </c>
      <c r="M285" s="38" t="e">
        <f>M18+M40+M51+M58+M77+M111+M114+M116+M274+M278+M280+M282+M68+M70</f>
        <v>#REF!</v>
      </c>
      <c r="N285" s="39">
        <f>N18+N40+N51+N58+N77+N111+N114+N116+N274+N278+N280+N282+N68+N70</f>
        <v>568555.7999999999</v>
      </c>
      <c r="O285" s="12"/>
      <c r="P285" s="41"/>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c r="BM285" s="12"/>
      <c r="BN285" s="12"/>
      <c r="BO285" s="12"/>
      <c r="BP285" s="12"/>
      <c r="BQ285" s="12"/>
      <c r="BR285" s="12"/>
      <c r="BS285" s="12"/>
      <c r="BT285" s="12"/>
      <c r="BU285" s="12"/>
      <c r="BV285" s="12"/>
      <c r="BW285" s="12"/>
      <c r="BX285" s="12"/>
      <c r="BY285" s="12"/>
      <c r="BZ285" s="12"/>
      <c r="CA285" s="12"/>
      <c r="CB285" s="12"/>
      <c r="CC285" s="12"/>
      <c r="CD285" s="12"/>
      <c r="CE285" s="12"/>
      <c r="CF285" s="12"/>
      <c r="CG285" s="12"/>
      <c r="CH285" s="12"/>
      <c r="CI285" s="12"/>
      <c r="CJ285" s="12"/>
      <c r="CK285" s="12"/>
      <c r="CL285" s="12"/>
      <c r="CM285" s="12"/>
      <c r="CN285" s="12"/>
      <c r="CO285" s="12"/>
      <c r="CP285" s="12"/>
      <c r="CQ285" s="12"/>
      <c r="CR285" s="12"/>
      <c r="CS285" s="12"/>
      <c r="CT285" s="12"/>
      <c r="CU285" s="12"/>
      <c r="CV285" s="12"/>
      <c r="CW285" s="12"/>
      <c r="CX285" s="12"/>
      <c r="CY285" s="12"/>
    </row>
    <row r="286" spans="1:103" s="46" customFormat="1" ht="31.5" customHeight="1">
      <c r="A286" s="63"/>
      <c r="B286" s="63"/>
      <c r="C286" s="63"/>
      <c r="D286" s="1" t="s">
        <v>381</v>
      </c>
      <c r="E286" s="61"/>
      <c r="F286" s="61"/>
      <c r="G286" s="61"/>
      <c r="H286" s="61"/>
      <c r="I286" s="61"/>
      <c r="J286" s="61"/>
      <c r="K286" s="38"/>
      <c r="L286" s="58"/>
      <c r="M286" s="58"/>
      <c r="N286" s="97">
        <v>10433.9</v>
      </c>
      <c r="O286" s="12"/>
      <c r="P286" s="41"/>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2"/>
      <c r="BW286" s="12"/>
      <c r="BX286" s="12"/>
      <c r="BY286" s="12"/>
      <c r="BZ286" s="12"/>
      <c r="CA286" s="12"/>
      <c r="CB286" s="12"/>
      <c r="CC286" s="12"/>
      <c r="CD286" s="12"/>
      <c r="CE286" s="12"/>
      <c r="CF286" s="12"/>
      <c r="CG286" s="12"/>
      <c r="CH286" s="12"/>
      <c r="CI286" s="12"/>
      <c r="CJ286" s="12"/>
      <c r="CK286" s="12"/>
      <c r="CL286" s="12"/>
      <c r="CM286" s="12"/>
      <c r="CN286" s="12"/>
      <c r="CO286" s="12"/>
      <c r="CP286" s="12"/>
      <c r="CQ286" s="12"/>
      <c r="CR286" s="12"/>
      <c r="CS286" s="12"/>
      <c r="CT286" s="12"/>
      <c r="CU286" s="12"/>
      <c r="CV286" s="12"/>
      <c r="CW286" s="12"/>
      <c r="CX286" s="12"/>
      <c r="CY286" s="12"/>
    </row>
    <row r="287" spans="1:103" s="46" customFormat="1" ht="44.25" customHeight="1">
      <c r="A287" s="63"/>
      <c r="B287" s="63"/>
      <c r="C287" s="63"/>
      <c r="D287" s="1" t="s">
        <v>382</v>
      </c>
      <c r="E287" s="61"/>
      <c r="F287" s="61"/>
      <c r="G287" s="61"/>
      <c r="H287" s="61"/>
      <c r="I287" s="61"/>
      <c r="J287" s="61"/>
      <c r="K287" s="38"/>
      <c r="L287" s="58"/>
      <c r="M287" s="58"/>
      <c r="N287" s="97">
        <v>69.8</v>
      </c>
      <c r="O287" s="12"/>
      <c r="P287" s="41"/>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c r="BM287" s="12"/>
      <c r="BN287" s="12"/>
      <c r="BO287" s="12"/>
      <c r="BP287" s="12"/>
      <c r="BQ287" s="12"/>
      <c r="BR287" s="12"/>
      <c r="BS287" s="12"/>
      <c r="BT287" s="12"/>
      <c r="BU287" s="12"/>
      <c r="BV287" s="12"/>
      <c r="BW287" s="12"/>
      <c r="BX287" s="12"/>
      <c r="BY287" s="12"/>
      <c r="BZ287" s="12"/>
      <c r="CA287" s="12"/>
      <c r="CB287" s="12"/>
      <c r="CC287" s="12"/>
      <c r="CD287" s="12"/>
      <c r="CE287" s="12"/>
      <c r="CF287" s="12"/>
      <c r="CG287" s="12"/>
      <c r="CH287" s="12"/>
      <c r="CI287" s="12"/>
      <c r="CJ287" s="12"/>
      <c r="CK287" s="12"/>
      <c r="CL287" s="12"/>
      <c r="CM287" s="12"/>
      <c r="CN287" s="12"/>
      <c r="CO287" s="12"/>
      <c r="CP287" s="12"/>
      <c r="CQ287" s="12"/>
      <c r="CR287" s="12"/>
      <c r="CS287" s="12"/>
      <c r="CT287" s="12"/>
      <c r="CU287" s="12"/>
      <c r="CV287" s="12"/>
      <c r="CW287" s="12"/>
      <c r="CX287" s="12"/>
      <c r="CY287" s="12"/>
    </row>
    <row r="288" spans="1:103" s="46" customFormat="1" ht="29.25" customHeight="1">
      <c r="A288" s="63"/>
      <c r="B288" s="63"/>
      <c r="C288" s="63"/>
      <c r="D288" s="3" t="s">
        <v>184</v>
      </c>
      <c r="E288" s="61"/>
      <c r="F288" s="61"/>
      <c r="G288" s="61"/>
      <c r="H288" s="61"/>
      <c r="I288" s="61"/>
      <c r="J288" s="61"/>
      <c r="K288" s="38"/>
      <c r="L288" s="58"/>
      <c r="M288" s="58"/>
      <c r="N288" s="56">
        <v>69.8</v>
      </c>
      <c r="O288" s="12"/>
      <c r="P288" s="41"/>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2"/>
      <c r="BL288" s="12"/>
      <c r="BM288" s="12"/>
      <c r="BN288" s="12"/>
      <c r="BO288" s="12"/>
      <c r="BP288" s="12"/>
      <c r="BQ288" s="12"/>
      <c r="BR288" s="12"/>
      <c r="BS288" s="12"/>
      <c r="BT288" s="12"/>
      <c r="BU288" s="12"/>
      <c r="BV288" s="12"/>
      <c r="BW288" s="12"/>
      <c r="BX288" s="12"/>
      <c r="BY288" s="12"/>
      <c r="BZ288" s="12"/>
      <c r="CA288" s="12"/>
      <c r="CB288" s="12"/>
      <c r="CC288" s="12"/>
      <c r="CD288" s="12"/>
      <c r="CE288" s="12"/>
      <c r="CF288" s="12"/>
      <c r="CG288" s="12"/>
      <c r="CH288" s="12"/>
      <c r="CI288" s="12"/>
      <c r="CJ288" s="12"/>
      <c r="CK288" s="12"/>
      <c r="CL288" s="12"/>
      <c r="CM288" s="12"/>
      <c r="CN288" s="12"/>
      <c r="CO288" s="12"/>
      <c r="CP288" s="12"/>
      <c r="CQ288" s="12"/>
      <c r="CR288" s="12"/>
      <c r="CS288" s="12"/>
      <c r="CT288" s="12"/>
      <c r="CU288" s="12"/>
      <c r="CV288" s="12"/>
      <c r="CW288" s="12"/>
      <c r="CX288" s="12"/>
      <c r="CY288" s="12"/>
    </row>
    <row r="289" spans="11:16" ht="15" customHeight="1" hidden="1">
      <c r="K289" s="98"/>
      <c r="L289" s="12"/>
      <c r="P289" s="41"/>
    </row>
    <row r="290" spans="1:12" ht="20.25">
      <c r="A290" s="117"/>
      <c r="B290" s="117"/>
      <c r="C290" s="117"/>
      <c r="D290" s="117"/>
      <c r="E290" s="117"/>
      <c r="F290" s="7"/>
      <c r="G290" s="7"/>
      <c r="H290" s="7"/>
      <c r="I290" s="120"/>
      <c r="J290" s="120"/>
      <c r="K290" s="120"/>
      <c r="L290" s="12"/>
    </row>
    <row r="291" spans="11:12" ht="20.25">
      <c r="K291" s="98"/>
      <c r="L291" s="12"/>
    </row>
    <row r="292" spans="11:12" ht="21" customHeight="1">
      <c r="K292" s="98"/>
      <c r="L292" s="12"/>
    </row>
    <row r="293" spans="1:12" ht="20.25">
      <c r="A293" s="99"/>
      <c r="B293" s="8"/>
      <c r="C293" s="12"/>
      <c r="D293" s="100"/>
      <c r="E293" s="7"/>
      <c r="F293" s="7"/>
      <c r="G293" s="7"/>
      <c r="H293" s="7"/>
      <c r="I293" s="101"/>
      <c r="J293" s="101"/>
      <c r="K293" s="26"/>
      <c r="L293" s="12"/>
    </row>
    <row r="294" spans="1:12" ht="40.5" customHeight="1">
      <c r="A294" s="119"/>
      <c r="B294" s="119"/>
      <c r="C294" s="102"/>
      <c r="D294" s="108" t="s">
        <v>406</v>
      </c>
      <c r="E294" s="102"/>
      <c r="F294" s="102"/>
      <c r="G294" s="102"/>
      <c r="H294" s="102"/>
      <c r="I294" s="101"/>
      <c r="J294" s="101"/>
      <c r="K294" s="102"/>
      <c r="L294" s="12"/>
    </row>
    <row r="295" spans="1:14" ht="27">
      <c r="A295" s="119"/>
      <c r="B295" s="119"/>
      <c r="C295" s="7"/>
      <c r="D295" s="109" t="s">
        <v>404</v>
      </c>
      <c r="E295" s="7"/>
      <c r="F295" s="7"/>
      <c r="G295" s="7"/>
      <c r="H295" s="46"/>
      <c r="I295" s="101"/>
      <c r="J295" s="118" t="s">
        <v>405</v>
      </c>
      <c r="K295" s="118"/>
      <c r="L295" s="118"/>
      <c r="M295" s="118"/>
      <c r="N295" s="118"/>
    </row>
    <row r="296" spans="1:12" ht="20.25">
      <c r="A296" s="8"/>
      <c r="B296" s="8"/>
      <c r="C296" s="8"/>
      <c r="D296" s="103"/>
      <c r="E296" s="103"/>
      <c r="F296" s="103"/>
      <c r="G296" s="103"/>
      <c r="H296" s="103"/>
      <c r="I296" s="103"/>
      <c r="J296" s="103"/>
      <c r="K296" s="5"/>
      <c r="L296" s="12"/>
    </row>
    <row r="297" spans="1:13" s="8" customFormat="1" ht="24" customHeight="1">
      <c r="A297" s="94"/>
      <c r="B297" s="94"/>
      <c r="C297" s="94"/>
      <c r="D297" s="103"/>
      <c r="E297" s="103"/>
      <c r="F297" s="103"/>
      <c r="G297" s="103"/>
      <c r="H297" s="103"/>
      <c r="I297" s="103"/>
      <c r="J297" s="103"/>
      <c r="K297" s="104"/>
      <c r="L297" s="12"/>
      <c r="M297" s="105"/>
    </row>
    <row r="298" spans="1:13" s="8" customFormat="1" ht="20.25">
      <c r="A298" s="104"/>
      <c r="B298" s="104"/>
      <c r="C298" s="104"/>
      <c r="D298" s="106"/>
      <c r="E298" s="106"/>
      <c r="F298" s="106"/>
      <c r="G298" s="106"/>
      <c r="H298" s="106"/>
      <c r="I298" s="106"/>
      <c r="J298" s="106"/>
      <c r="K298" s="106"/>
      <c r="L298" s="12"/>
      <c r="M298" s="105"/>
    </row>
    <row r="299" ht="20.25">
      <c r="L299" s="12"/>
    </row>
    <row r="300" ht="20.25">
      <c r="L300" s="12"/>
    </row>
    <row r="301" ht="20.25">
      <c r="L301" s="12"/>
    </row>
  </sheetData>
  <sheetProtection/>
  <mergeCells count="25">
    <mergeCell ref="J295:N295"/>
    <mergeCell ref="A15:A16"/>
    <mergeCell ref="A295:B295"/>
    <mergeCell ref="H15:H16"/>
    <mergeCell ref="M15:M16"/>
    <mergeCell ref="A290:E290"/>
    <mergeCell ref="I290:K290"/>
    <mergeCell ref="A294:B294"/>
    <mergeCell ref="K15:K16"/>
    <mergeCell ref="C15:C16"/>
    <mergeCell ref="N15:N16"/>
    <mergeCell ref="B15:B16"/>
    <mergeCell ref="H1:N1"/>
    <mergeCell ref="H2:N2"/>
    <mergeCell ref="D10:N10"/>
    <mergeCell ref="D11:N11"/>
    <mergeCell ref="H3:N3"/>
    <mergeCell ref="I5:M5"/>
    <mergeCell ref="L15:L16"/>
    <mergeCell ref="F15:F16"/>
    <mergeCell ref="G15:G16"/>
    <mergeCell ref="E15:E16"/>
    <mergeCell ref="I15:I16"/>
    <mergeCell ref="J15:J16"/>
    <mergeCell ref="D15:D16"/>
  </mergeCells>
  <printOptions horizontalCentered="1"/>
  <pageMargins left="0.1968503937007874" right="0.1968503937007874" top="1.1811023622047245" bottom="0.4330708661417323" header="0.5118110236220472" footer="0.03937007874015748"/>
  <pageSetup firstPageNumber="14" useFirstPageNumber="1" fitToHeight="13" fitToWidth="1" horizontalDpi="600" verticalDpi="600" orientation="landscape" paperSize="9" scale="52" r:id="rId1"/>
  <headerFooter>
    <oddFooter>&amp;R&amp;22&amp;P</oddFooter>
  </headerFooter>
  <rowBreaks count="8" manualBreakCount="8">
    <brk id="34" min="3" max="13" man="1"/>
    <brk id="58" min="3" max="13" man="1"/>
    <brk id="73" min="3" max="13" man="1"/>
    <brk id="104" min="3" max="13" man="1"/>
    <brk id="197" min="3" max="13" man="1"/>
    <brk id="223" min="3" max="13" man="1"/>
    <brk id="253" min="3" max="13" man="1"/>
    <brk id="279" min="3" max="1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2017-05-18T05:04:51Z</cp:lastPrinted>
  <dcterms:created xsi:type="dcterms:W3CDTF">2014-01-17T10:52:16Z</dcterms:created>
  <dcterms:modified xsi:type="dcterms:W3CDTF">2017-05-24T05:47:45Z</dcterms:modified>
  <cp:category/>
  <cp:version/>
  <cp:contentType/>
  <cp:contentStatus/>
</cp:coreProperties>
</file>