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8" windowWidth="12396" windowHeight="9312" tabRatio="266" activeTab="0"/>
  </bookViews>
  <sheets>
    <sheet name="дод. 3" sheetId="1" r:id="rId1"/>
    <sheet name="дод. 4" sheetId="2" r:id="rId2"/>
  </sheets>
  <definedNames>
    <definedName name="_xlfn.AGGREGATE" hidden="1">#NAME?</definedName>
    <definedName name="_xlnm.Print_Titles" localSheetId="0">'дод. 3'!$8:$11</definedName>
    <definedName name="_xlnm.Print_Titles" localSheetId="1">'дод. 4'!$8:$11</definedName>
    <definedName name="_xlnm.Print_Area" localSheetId="0">'дод. 3'!$B$1:$R$329</definedName>
    <definedName name="_xlnm.Print_Area" localSheetId="1">'дод. 4'!$B$1:$Q$259</definedName>
  </definedNames>
  <calcPr fullCalcOnLoad="1"/>
</workbook>
</file>

<file path=xl/sharedStrings.xml><?xml version="1.0" encoding="utf-8"?>
<sst xmlns="http://schemas.openxmlformats.org/spreadsheetml/2006/main" count="1467" uniqueCount="591">
  <si>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</si>
  <si>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</si>
  <si>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</si>
  <si>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</si>
  <si>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</si>
  <si>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</si>
  <si>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</si>
  <si>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</si>
  <si>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</si>
  <si>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</si>
  <si>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</si>
  <si>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</si>
  <si>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</si>
  <si>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</si>
  <si>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</si>
  <si>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</si>
  <si>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</si>
  <si>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</si>
  <si>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</si>
  <si>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</si>
  <si>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</si>
  <si>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</si>
  <si>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</si>
  <si>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</si>
  <si>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</si>
  <si>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</si>
  <si>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</si>
  <si>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</si>
  <si>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</si>
  <si>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</si>
  <si>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</si>
  <si>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</si>
  <si>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</si>
  <si>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</si>
  <si>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</si>
  <si>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</si>
  <si>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</si>
  <si>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</si>
  <si>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</si>
  <si>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</si>
  <si>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</si>
  <si>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</si>
  <si>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</si>
  <si>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</si>
  <si>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</si>
  <si>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</si>
  <si>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</si>
  <si>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</si>
  <si>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</si>
  <si>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</si>
  <si>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</si>
  <si>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</si>
  <si>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</si>
  <si>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</si>
  <si>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</si>
  <si>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</si>
  <si>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</si>
  <si>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</si>
  <si>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</si>
  <si>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</si>
  <si>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</si>
  <si>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</si>
  <si>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</si>
  <si>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</si>
  <si>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</si>
  <si>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</si>
  <si>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</si>
  <si>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</si>
  <si>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</si>
  <si>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</si>
  <si>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</si>
  <si>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</si>
  <si>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</si>
  <si>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</si>
  <si>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</si>
  <si>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</si>
  <si>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</si>
  <si>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</si>
  <si>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</si>
  <si>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</si>
  <si>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</si>
  <si>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</si>
  <si>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</si>
  <si>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</si>
  <si>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</si>
  <si>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</si>
  <si>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</si>
  <si>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</si>
  <si>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</si>
  <si>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</si>
  <si>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</si>
  <si>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</si>
  <si>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</si>
  <si>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</si>
  <si>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</si>
  <si>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</si>
  <si>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</si>
  <si>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</si>
  <si>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</si>
  <si>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</si>
  <si>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</si>
  <si>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</si>
  <si>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</si>
  <si>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</si>
  <si>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</si>
  <si>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</si>
  <si>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</si>
  <si>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</si>
  <si>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</si>
  <si>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</si>
  <si>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</si>
  <si>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</si>
  <si>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</si>
  <si>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</si>
  <si>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</si>
  <si>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</si>
  <si>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</si>
  <si>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</si>
  <si>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</si>
  <si>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</si>
  <si>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</si>
  <si>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</si>
  <si>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</si>
  <si>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</si>
  <si>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</si>
  <si>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</si>
  <si>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</si>
  <si>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</si>
  <si>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</si>
  <si>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</si>
  <si>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</si>
  <si>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</si>
  <si>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</si>
  <si>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</si>
  <si>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</si>
  <si>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</si>
  <si>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</si>
  <si>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</si>
  <si>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</si>
  <si>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</si>
  <si>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</si>
  <si>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</si>
  <si>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</si>
  <si>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</si>
  <si>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</si>
  <si>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</si>
  <si>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</si>
  <si>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</si>
  <si>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</si>
  <si>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</si>
  <si>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</si>
  <si>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</si>
  <si>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</si>
  <si>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</si>
  <si>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</si>
  <si>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</si>
  <si>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</si>
  <si>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</si>
  <si>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</si>
  <si>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</si>
  <si>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</si>
  <si>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</si>
  <si>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</si>
  <si>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</si>
  <si>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</si>
  <si>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</si>
  <si>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</si>
  <si>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</si>
  <si>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</si>
  <si>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</si>
  <si>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</si>
  <si>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</si>
  <si>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</si>
  <si>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</si>
  <si>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</si>
  <si>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</si>
  <si>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</si>
  <si>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</si>
  <si>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</si>
  <si>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</si>
  <si>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</si>
  <si>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</si>
  <si>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</si>
  <si>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</si>
  <si>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</si>
  <si>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</si>
  <si>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</si>
  <si>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</si>
  <si>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</si>
  <si>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</si>
  <si>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</si>
  <si>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</si>
  <si>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</si>
  <si>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</si>
  <si>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</si>
  <si>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</si>
  <si>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</si>
  <si>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</si>
  <si>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</si>
  <si>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</si>
  <si>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</si>
  <si>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</si>
  <si>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</si>
  <si>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</si>
  <si>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</si>
  <si>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</si>
  <si>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</si>
  <si>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</si>
  <si>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</si>
  <si>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</si>
  <si>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</si>
  <si>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</si>
  <si>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</si>
  <si>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</si>
  <si>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</si>
  <si>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</si>
  <si>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</si>
  <si>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</si>
  <si>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</si>
  <si>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</si>
  <si>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</si>
  <si>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</si>
  <si>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</si>
  <si>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</si>
  <si>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</si>
  <si>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</si>
  <si>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</si>
  <si>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</si>
  <si>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</si>
  <si>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</si>
  <si>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</si>
  <si>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</si>
  <si>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</si>
  <si>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</si>
  <si>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</si>
  <si>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</si>
  <si>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</si>
  <si>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</si>
  <si>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</si>
  <si>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</si>
  <si>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</si>
  <si>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</si>
  <si>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</si>
  <si>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</si>
  <si>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</si>
  <si>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</si>
  <si>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</si>
  <si>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</si>
  <si>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</si>
  <si>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</si>
  <si>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</si>
  <si>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</si>
  <si>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</si>
  <si>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</si>
  <si>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</si>
  <si>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</si>
  <si>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</si>
  <si>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</si>
  <si>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</si>
  <si>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</si>
  <si>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</si>
  <si>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</si>
  <si>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</si>
  <si>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</si>
  <si>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</si>
  <si>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</si>
  <si>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</si>
  <si>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</si>
  <si>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</si>
  <si>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</si>
  <si>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</si>
  <si>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</si>
  <si>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</si>
  <si>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</si>
  <si>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</si>
  <si>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</si>
  <si>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</si>
  <si>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</si>
  <si>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</si>
  <si>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</si>
  <si>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</si>
  <si>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</si>
  <si>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</si>
  <si>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</si>
  <si>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</si>
  <si>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</si>
  <si>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</si>
  <si>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</si>
  <si>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</si>
  <si>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</si>
  <si>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</si>
  <si>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</si>
  <si>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</si>
  <si>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</si>
  <si>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</si>
  <si>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</si>
  <si>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</si>
  <si>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</si>
  <si>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</si>
  <si>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</si>
  <si>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</si>
  <si>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</si>
  <si>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</si>
  <si>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</si>
  <si>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</si>
  <si>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</si>
  <si>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</si>
  <si>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</si>
  <si>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</si>
  <si>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</si>
  <si>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</si>
  <si>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</si>
  <si>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</si>
  <si>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</si>
  <si>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</si>
  <si>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</si>
  <si>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</si>
  <si>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</si>
  <si>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</si>
  <si>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</si>
  <si>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</si>
  <si>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</si>
  <si>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</si>
  <si>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</si>
  <si>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</si>
  <si>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</si>
  <si>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</si>
  <si>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</si>
  <si>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</si>
  <si>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</si>
  <si>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</si>
  <si>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</si>
  <si>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</si>
  <si>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</si>
  <si>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</si>
  <si>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</si>
  <si>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</si>
  <si>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</si>
  <si>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</si>
  <si>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</si>
  <si>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</si>
  <si>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</si>
  <si>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</si>
  <si>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</si>
  <si>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</si>
  <si>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</si>
  <si>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</si>
  <si>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</si>
  <si>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</si>
  <si>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</si>
  <si>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</si>
  <si>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</si>
  <si>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</si>
  <si>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</si>
  <si>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</si>
  <si>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</si>
  <si>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</si>
  <si>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</si>
  <si>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</si>
  <si>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</si>
  <si>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</si>
  <si>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</si>
  <si>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</si>
  <si>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</si>
  <si>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</si>
  <si>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</si>
  <si>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</si>
  <si>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</si>
  <si>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</si>
  <si>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</si>
  <si>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</si>
  <si>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</si>
  <si>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</si>
  <si>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</si>
  <si>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</si>
  <si>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</si>
  <si>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</si>
  <si>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</si>
  <si>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</si>
  <si>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</si>
  <si>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</si>
  <si>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</si>
  <si>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</si>
  <si>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</si>
  <si>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</si>
  <si>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</si>
  <si>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</si>
  <si>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</si>
  <si>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</si>
  <si>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</si>
  <si>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</si>
  <si>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</si>
  <si>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</si>
  <si>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</si>
  <si>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</si>
  <si>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</si>
  <si>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</si>
  <si>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</si>
  <si>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</si>
  <si>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</si>
  <si>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</si>
  <si>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</si>
  <si>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</si>
  <si>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</si>
  <si>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</si>
  <si>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</si>
  <si>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</si>
  <si>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</si>
  <si>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</si>
  <si>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</si>
  <si>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</si>
  <si>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</si>
  <si>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</si>
  <si>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</si>
  <si>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</si>
  <si>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</si>
  <si>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</si>
  <si>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</si>
  <si>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</si>
  <si>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</si>
  <si>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</si>
  <si>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</si>
  <si>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</si>
  <si>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</si>
  <si>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</si>
  <si>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</si>
  <si>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</si>
  <si>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</si>
  <si>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</si>
  <si>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</si>
  <si>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</si>
  <si>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</si>
  <si>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</si>
  <si>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</si>
  <si>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</si>
  <si>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</si>
  <si>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</si>
  <si>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</si>
  <si>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</si>
  <si>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</si>
  <si>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</si>
  <si>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</si>
  <si>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</si>
  <si>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</si>
  <si>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</si>
  <si>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</si>
  <si>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</si>
  <si>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</si>
  <si>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</si>
  <si>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</si>
  <si>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</si>
  <si>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</si>
  <si>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</si>
  <si>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</si>
  <si>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</si>
  <si>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</si>
  <si>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</si>
  <si>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</si>
  <si>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</si>
  <si>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</si>
  <si>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</si>
  <si>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</si>
  <si>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</si>
  <si>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</si>
  <si>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</si>
  <si>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</si>
  <si>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</si>
  <si>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</si>
  <si>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</si>
  <si>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</si>
  <si>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</si>
  <si>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</si>
  <si>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</si>
  <si>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</si>
  <si>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</si>
  <si>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</si>
  <si>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</si>
  <si>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</si>
  <si>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</si>
  <si>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</si>
  <si>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</si>
  <si>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</si>
  <si>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</si>
  <si>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</si>
  <si>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</si>
  <si>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</si>
  <si>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</si>
  <si>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</si>
  <si>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</si>
  <si>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</si>
  <si>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</si>
  <si>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</si>
  <si>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</si>
  <si>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</si>
  <si>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</si>
  <si>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</si>
  <si>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</si>
  <si>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</si>
  <si>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</si>
  <si>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</si>
  <si>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</si>
  <si>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</si>
  <si>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</si>
  <si>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</si>
  <si>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</si>
  <si>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</si>
  <si>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</si>
  <si>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</si>
  <si>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</si>
  <si>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</si>
  <si>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</si>
  <si>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</si>
  <si>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</si>
  <si>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</si>
  <si>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</si>
  <si>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</si>
  <si>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</si>
  <si>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</si>
  <si>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</si>
  <si>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</si>
  <si>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</si>
  <si>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</si>
  <si>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</si>
  <si>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</si>
  <si>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</si>
  <si>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</si>
  <si>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</si>
  <si>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</si>
  <si>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</si>
  <si>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</si>
  <si>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</si>
  <si>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</si>
  <si>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</si>
  <si>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</si>
  <si>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</si>
  <si>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</si>
  <si>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</si>
  <si>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</si>
  <si>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</si>
  <si>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</si>
  <si>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</si>
  <si>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</si>
  <si>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</si>
  <si>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</si>
  <si>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</si>
  <si>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</si>
  <si>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</si>
  <si>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</si>
  <si>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</si>
  <si>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</si>
  <si>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</si>
  <si>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</si>
  <si>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</si>
  <si>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</si>
  <si>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</si>
  <si>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</si>
  <si>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</si>
  <si>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</si>
  <si>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</si>
  <si>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</si>
  <si>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Інша субвенція Краснопільському районному бюджету</t>
  </si>
  <si>
    <t xml:space="preserve">Інша субвенція сільському бюджету с. Піщане </t>
  </si>
  <si>
    <t xml:space="preserve">Інша субвенція до обласного бюджету Сумської області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</si>
  <si>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</si>
  <si>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</si>
  <si>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</si>
  <si>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</si>
  <si>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</si>
  <si>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</si>
  <si>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</si>
  <si>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101000</t>
  </si>
  <si>
    <t>1410000</t>
  </si>
  <si>
    <t>В. о. директора департаменту фінансів, економіки та інвестицій</t>
  </si>
  <si>
    <t>Л.І. Співакова</t>
  </si>
  <si>
    <t xml:space="preserve">                Додаток 4</t>
  </si>
  <si>
    <t>до  рішення виконавчого комітету</t>
  </si>
  <si>
    <t xml:space="preserve">від 15.08.2017 № </t>
  </si>
  <si>
    <t xml:space="preserve">                Додаток 3</t>
  </si>
  <si>
    <t>4818800</t>
  </si>
  <si>
    <t>у т. ч. за рахунок субвенції з держбюджету</t>
  </si>
  <si>
    <t>29</t>
  </si>
  <si>
    <t>30</t>
  </si>
  <si>
    <t>31</t>
  </si>
  <si>
    <t>32</t>
  </si>
  <si>
    <t>33</t>
  </si>
  <si>
    <t>34</t>
  </si>
  <si>
    <t>35</t>
  </si>
  <si>
    <t>36</t>
  </si>
  <si>
    <t xml:space="preserve">Інша субвенція Сумському районному бюджету </t>
  </si>
  <si>
    <t>Інша субвенція Сумському районному бюджету</t>
  </si>
  <si>
    <t>від 15.08.2017 № 450</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</si>
</sst>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65">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sz val="21"/>
      <name val="Times New Roman"/>
      <family val="1"/>
    </font>
    <font>
      <b/>
      <sz val="21"/>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21" fillId="0" borderId="0">
      <alignment/>
      <protection/>
    </xf>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4" borderId="1" applyNumberFormat="0" applyAlignment="0" applyProtection="0"/>
    <xf numFmtId="0" fontId="8" fillId="7" borderId="2" applyNumberFormat="0" applyAlignment="0" applyProtection="0"/>
    <xf numFmtId="0" fontId="9" fillId="45" borderId="3" applyNumberFormat="0" applyAlignment="0" applyProtection="0"/>
    <xf numFmtId="0" fontId="16" fillId="45" borderId="2"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1" fillId="46"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55" fillId="0" borderId="7" applyNumberFormat="0" applyFill="0" applyAlignment="0" applyProtection="0"/>
    <xf numFmtId="0" fontId="13" fillId="0" borderId="8" applyNumberFormat="0" applyFill="0" applyAlignment="0" applyProtection="0"/>
    <xf numFmtId="0" fontId="56" fillId="47" borderId="9" applyNumberFormat="0" applyAlignment="0" applyProtection="0"/>
    <xf numFmtId="0" fontId="11" fillId="48" borderId="10" applyNumberFormat="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18" fillId="49" borderId="0" applyNumberFormat="0" applyBorder="0" applyAlignment="0" applyProtection="0"/>
    <xf numFmtId="0" fontId="58" fillId="50" borderId="1" applyNumberFormat="0" applyAlignment="0" applyProtection="0"/>
    <xf numFmtId="0" fontId="21" fillId="0" borderId="0">
      <alignment/>
      <protection/>
    </xf>
    <xf numFmtId="0" fontId="24" fillId="0" borderId="0" applyNumberFormat="0" applyFill="0" applyBorder="0" applyAlignment="0" applyProtection="0"/>
    <xf numFmtId="0" fontId="59" fillId="0" borderId="11" applyNumberFormat="0" applyFill="0" applyAlignment="0" applyProtection="0"/>
    <xf numFmtId="0" fontId="7" fillId="3" borderId="0" applyNumberFormat="0" applyBorder="0" applyAlignment="0" applyProtection="0"/>
    <xf numFmtId="0" fontId="60" fillId="51" borderId="0" applyNumberFormat="0" applyBorder="0" applyAlignment="0" applyProtection="0"/>
    <xf numFmtId="0" fontId="12" fillId="0" borderId="0" applyNumberFormat="0" applyFill="0" applyBorder="0" applyAlignment="0" applyProtection="0"/>
    <xf numFmtId="0" fontId="15" fillId="52" borderId="12" applyNumberFormat="0" applyFont="0" applyAlignment="0" applyProtection="0"/>
    <xf numFmtId="0" fontId="0" fillId="53" borderId="13" applyNumberFormat="0" applyFont="0" applyAlignment="0" applyProtection="0"/>
    <xf numFmtId="199" fontId="1" fillId="0" borderId="0" applyFont="0" applyFill="0" applyBorder="0" applyAlignment="0" applyProtection="0"/>
    <xf numFmtId="0" fontId="61" fillId="50" borderId="14" applyNumberFormat="0" applyAlignment="0" applyProtection="0"/>
    <xf numFmtId="0" fontId="19" fillId="0" borderId="15" applyNumberFormat="0" applyFill="0" applyAlignment="0" applyProtection="0"/>
    <xf numFmtId="0" fontId="62" fillId="54" borderId="0" applyNumberFormat="0" applyBorder="0" applyAlignment="0" applyProtection="0"/>
    <xf numFmtId="0" fontId="20"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58">
    <xf numFmtId="0" fontId="0" fillId="0" borderId="0" xfId="0"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0" fillId="0" borderId="0" xfId="0" applyFont="1" applyFill="1" applyAlignment="1">
      <alignment horizontal="center"/>
    </xf>
    <xf numFmtId="0" fontId="5" fillId="0" borderId="16"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Alignment="1" applyProtection="1">
      <alignment/>
      <protection/>
    </xf>
    <xf numFmtId="0" fontId="28" fillId="0" borderId="17" xfId="0" applyNumberFormat="1" applyFont="1" applyFill="1" applyBorder="1" applyAlignment="1" applyProtection="1">
      <alignment/>
      <protection/>
    </xf>
    <xf numFmtId="0" fontId="28" fillId="0" borderId="0" xfId="0" applyFont="1" applyFill="1" applyAlignment="1">
      <alignment/>
    </xf>
    <xf numFmtId="0" fontId="28" fillId="0" borderId="18" xfId="0" applyNumberFormat="1" applyFont="1" applyFill="1" applyBorder="1" applyAlignment="1" applyProtection="1">
      <alignment/>
      <protection/>
    </xf>
    <xf numFmtId="0" fontId="28" fillId="0" borderId="19"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20" xfId="0" applyNumberFormat="1" applyFont="1" applyFill="1" applyBorder="1" applyAlignment="1">
      <alignment horizontal="center" vertical="center"/>
    </xf>
    <xf numFmtId="0" fontId="29" fillId="0" borderId="20"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30" fillId="0" borderId="20" xfId="0" applyFont="1" applyFill="1" applyBorder="1" applyAlignment="1">
      <alignment horizontal="left" vertical="center" wrapText="1"/>
    </xf>
    <xf numFmtId="49" fontId="28" fillId="0" borderId="20"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0" fontId="28" fillId="0" borderId="0" xfId="0" applyNumberFormat="1" applyFont="1" applyFill="1" applyAlignment="1" applyProtection="1">
      <alignment vertical="center"/>
      <protection/>
    </xf>
    <xf numFmtId="0" fontId="28" fillId="0" borderId="20" xfId="0" applyFont="1" applyFill="1" applyBorder="1" applyAlignment="1">
      <alignment horizontal="left" vertical="center" wrapText="1"/>
    </xf>
    <xf numFmtId="0" fontId="30" fillId="0" borderId="20" xfId="0" applyNumberFormat="1" applyFont="1" applyFill="1" applyBorder="1" applyAlignment="1" applyProtection="1">
      <alignment horizontal="center" vertical="center"/>
      <protection/>
    </xf>
    <xf numFmtId="0" fontId="28" fillId="0" borderId="20" xfId="0" applyNumberFormat="1" applyFont="1" applyFill="1" applyBorder="1" applyAlignment="1" applyProtection="1">
      <alignment horizontal="center" vertical="center"/>
      <protection/>
    </xf>
    <xf numFmtId="49" fontId="28" fillId="0" borderId="20" xfId="0" applyNumberFormat="1" applyFont="1" applyFill="1" applyBorder="1" applyAlignment="1" applyProtection="1">
      <alignment horizontal="center" vertical="center"/>
      <protection/>
    </xf>
    <xf numFmtId="0" fontId="30" fillId="0" borderId="20" xfId="0" applyNumberFormat="1" applyFont="1" applyFill="1" applyBorder="1" applyAlignment="1" applyProtection="1">
      <alignment horizontal="center" vertical="center"/>
      <protection/>
    </xf>
    <xf numFmtId="49" fontId="30" fillId="0" borderId="20" xfId="0" applyNumberFormat="1" applyFont="1" applyFill="1" applyBorder="1" applyAlignment="1">
      <alignment horizontal="center" vertical="center"/>
    </xf>
    <xf numFmtId="0" fontId="30" fillId="0" borderId="20" xfId="0" applyFont="1" applyFill="1" applyBorder="1" applyAlignment="1">
      <alignment horizontal="left" vertical="center" wrapText="1"/>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0" fontId="30" fillId="0" borderId="0" xfId="0" applyNumberFormat="1" applyFont="1" applyFill="1" applyAlignment="1" applyProtection="1">
      <alignment vertical="center"/>
      <protection/>
    </xf>
    <xf numFmtId="0" fontId="30" fillId="0" borderId="0" xfId="0" applyFont="1" applyFill="1" applyAlignment="1">
      <alignment vertical="center"/>
    </xf>
    <xf numFmtId="0" fontId="30" fillId="0" borderId="20" xfId="0" applyFont="1" applyFill="1" applyBorder="1" applyAlignment="1">
      <alignment vertical="center" wrapText="1"/>
    </xf>
    <xf numFmtId="49" fontId="30" fillId="0" borderId="20" xfId="0" applyNumberFormat="1" applyFont="1" applyFill="1" applyBorder="1" applyAlignment="1">
      <alignment horizontal="left" vertical="center" wrapText="1"/>
    </xf>
    <xf numFmtId="49" fontId="30" fillId="0" borderId="20" xfId="0" applyNumberFormat="1" applyFont="1" applyFill="1" applyBorder="1" applyAlignment="1" applyProtection="1">
      <alignment horizontal="center" vertical="center"/>
      <protection/>
    </xf>
    <xf numFmtId="4" fontId="30" fillId="0" borderId="20"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25" fillId="0" borderId="0" xfId="0" applyNumberFormat="1" applyFont="1" applyFill="1" applyAlignment="1" applyProtection="1">
      <alignment vertical="top"/>
      <protection/>
    </xf>
    <xf numFmtId="0" fontId="28" fillId="0" borderId="20" xfId="0" applyNumberFormat="1" applyFont="1" applyFill="1" applyBorder="1" applyAlignment="1" applyProtection="1">
      <alignment horizontal="center" vertical="center" wrapText="1"/>
      <protection/>
    </xf>
    <xf numFmtId="49" fontId="30" fillId="0" borderId="21"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0" fontId="25" fillId="0" borderId="18" xfId="0" applyNumberFormat="1" applyFont="1" applyFill="1" applyBorder="1" applyAlignment="1" applyProtection="1">
      <alignment/>
      <protection/>
    </xf>
    <xf numFmtId="0" fontId="25" fillId="0" borderId="19"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36" fillId="0" borderId="20"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36" fillId="0" borderId="19" xfId="0" applyFont="1" applyFill="1" applyBorder="1" applyAlignment="1">
      <alignment horizontal="left" vertical="center" wrapText="1"/>
    </xf>
    <xf numFmtId="0" fontId="36" fillId="0" borderId="0" xfId="0" applyFont="1" applyFill="1" applyAlignment="1">
      <alignment/>
    </xf>
    <xf numFmtId="49" fontId="36" fillId="0" borderId="20" xfId="0" applyNumberFormat="1" applyFont="1" applyFill="1" applyBorder="1" applyAlignment="1">
      <alignment horizontal="center" vertical="center" wrapText="1"/>
    </xf>
    <xf numFmtId="0" fontId="36" fillId="0" borderId="20" xfId="0" applyFont="1" applyFill="1" applyBorder="1" applyAlignment="1">
      <alignment horizontal="center" vertical="center" wrapText="1"/>
    </xf>
    <xf numFmtId="49" fontId="35" fillId="0" borderId="20" xfId="0" applyNumberFormat="1" applyFont="1" applyFill="1" applyBorder="1" applyAlignment="1">
      <alignment horizontal="center" vertical="center" wrapText="1"/>
    </xf>
    <xf numFmtId="0" fontId="35" fillId="0" borderId="20" xfId="0" applyFont="1" applyFill="1" applyBorder="1" applyAlignment="1">
      <alignment horizontal="left" vertical="center" wrapText="1"/>
    </xf>
    <xf numFmtId="0" fontId="37" fillId="0" borderId="20" xfId="0" applyFont="1" applyFill="1" applyBorder="1" applyAlignment="1">
      <alignment horizontal="left" vertical="center" wrapText="1"/>
    </xf>
    <xf numFmtId="49" fontId="25" fillId="0" borderId="20" xfId="0" applyNumberFormat="1" applyFont="1" applyFill="1" applyBorder="1" applyAlignment="1">
      <alignment horizontal="center" vertical="center" wrapText="1"/>
    </xf>
    <xf numFmtId="0" fontId="25" fillId="0" borderId="22"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25" fillId="0" borderId="19" xfId="0" applyFont="1" applyFill="1" applyBorder="1" applyAlignment="1">
      <alignment horizontal="left" vertical="center" wrapText="1"/>
    </xf>
    <xf numFmtId="4" fontId="35" fillId="0" borderId="20" xfId="0" applyNumberFormat="1" applyFont="1" applyFill="1" applyBorder="1" applyAlignment="1">
      <alignment horizontal="center" vertical="center"/>
    </xf>
    <xf numFmtId="4" fontId="25" fillId="0" borderId="20" xfId="0" applyNumberFormat="1" applyFont="1" applyFill="1" applyBorder="1" applyAlignment="1">
      <alignment horizontal="center" vertical="center"/>
    </xf>
    <xf numFmtId="4" fontId="36" fillId="0" borderId="20" xfId="0" applyNumberFormat="1" applyFont="1" applyFill="1" applyBorder="1" applyAlignment="1">
      <alignment horizontal="center" vertical="center"/>
    </xf>
    <xf numFmtId="0" fontId="25" fillId="0" borderId="20"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25" fillId="0" borderId="20" xfId="0" applyFont="1" applyFill="1" applyBorder="1" applyAlignment="1">
      <alignment vertical="center"/>
    </xf>
    <xf numFmtId="0" fontId="28" fillId="0" borderId="20"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20" xfId="0" applyFont="1" applyFill="1" applyBorder="1" applyAlignment="1">
      <alignment vertical="center" wrapText="1"/>
    </xf>
    <xf numFmtId="49" fontId="30" fillId="0" borderId="23"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49" fontId="28" fillId="0" borderId="20" xfId="0" applyNumberFormat="1" applyFont="1" applyFill="1" applyBorder="1" applyAlignment="1">
      <alignment horizontal="center" vertical="center"/>
    </xf>
    <xf numFmtId="0" fontId="0" fillId="0" borderId="0" xfId="0" applyFont="1" applyFill="1" applyAlignment="1">
      <alignment/>
    </xf>
    <xf numFmtId="0" fontId="0" fillId="0" borderId="16" xfId="0" applyFont="1" applyFill="1" applyBorder="1" applyAlignment="1">
      <alignment horizontal="center"/>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4" fontId="25" fillId="0" borderId="0" xfId="0" applyNumberFormat="1" applyFont="1" applyFill="1" applyAlignment="1">
      <alignment/>
    </xf>
    <xf numFmtId="0" fontId="35" fillId="0" borderId="0" xfId="0" applyNumberFormat="1" applyFont="1" applyFill="1" applyBorder="1" applyAlignment="1" applyProtection="1">
      <alignment/>
      <protection/>
    </xf>
    <xf numFmtId="0" fontId="35" fillId="0" borderId="0" xfId="0" applyFont="1" applyFill="1" applyBorder="1" applyAlignment="1">
      <alignment/>
    </xf>
    <xf numFmtId="4" fontId="35" fillId="0" borderId="0" xfId="0" applyNumberFormat="1" applyFont="1" applyFill="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20" xfId="0" applyNumberFormat="1" applyFont="1" applyFill="1" applyBorder="1" applyAlignment="1">
      <alignment horizontal="center" vertical="center"/>
    </xf>
    <xf numFmtId="0" fontId="25" fillId="0" borderId="22" xfId="0" applyFont="1" applyFill="1" applyBorder="1" applyAlignment="1">
      <alignment vertical="center" wrapText="1"/>
    </xf>
    <xf numFmtId="0" fontId="36" fillId="0" borderId="22" xfId="0" applyFont="1" applyFill="1" applyBorder="1" applyAlignment="1">
      <alignment vertical="center" wrapText="1"/>
    </xf>
    <xf numFmtId="0" fontId="35" fillId="0" borderId="22" xfId="0" applyFont="1" applyFill="1" applyBorder="1" applyAlignment="1">
      <alignment horizontal="left" vertical="center" wrapText="1"/>
    </xf>
    <xf numFmtId="0" fontId="28" fillId="0" borderId="24"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horizontal="left" vertical="center"/>
    </xf>
    <xf numFmtId="0" fontId="28"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8" fillId="0" borderId="20" xfId="0" applyNumberFormat="1" applyFont="1" applyFill="1" applyBorder="1" applyAlignment="1" applyProtection="1">
      <alignment horizontal="center" vertical="center"/>
      <protection/>
    </xf>
    <xf numFmtId="0" fontId="28" fillId="0" borderId="20" xfId="0" applyFont="1" applyFill="1" applyBorder="1" applyAlignment="1">
      <alignment horizontal="left" vertical="center" wrapText="1"/>
    </xf>
    <xf numFmtId="0" fontId="28" fillId="0" borderId="20"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vertical="center"/>
      <protection/>
    </xf>
    <xf numFmtId="0" fontId="29" fillId="0" borderId="20"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20" xfId="0" applyNumberFormat="1" applyFont="1" applyFill="1" applyBorder="1" applyAlignment="1" applyProtection="1">
      <alignment horizontal="center" vertical="center" wrapText="1"/>
      <protection/>
    </xf>
    <xf numFmtId="4" fontId="25" fillId="0" borderId="20" xfId="95" applyNumberFormat="1" applyFont="1" applyFill="1" applyBorder="1" applyAlignment="1">
      <alignment vertical="center"/>
      <protection/>
    </xf>
    <xf numFmtId="4" fontId="36" fillId="0" borderId="20" xfId="95" applyNumberFormat="1" applyFont="1" applyFill="1" applyBorder="1" applyAlignment="1">
      <alignment vertical="center"/>
      <protection/>
    </xf>
    <xf numFmtId="4" fontId="25" fillId="0" borderId="20" xfId="0" applyNumberFormat="1" applyFont="1" applyFill="1" applyBorder="1" applyAlignment="1">
      <alignment vertical="center"/>
    </xf>
    <xf numFmtId="4" fontId="36" fillId="0" borderId="25" xfId="95" applyNumberFormat="1" applyFont="1" applyFill="1" applyBorder="1" applyAlignment="1">
      <alignment vertical="center"/>
      <protection/>
    </xf>
    <xf numFmtId="4" fontId="36" fillId="0" borderId="20" xfId="0" applyNumberFormat="1" applyFont="1" applyFill="1" applyBorder="1" applyAlignment="1">
      <alignment vertical="center"/>
    </xf>
    <xf numFmtId="4" fontId="35" fillId="0" borderId="20" xfId="95" applyNumberFormat="1" applyFont="1" applyFill="1" applyBorder="1" applyAlignment="1">
      <alignment vertical="center"/>
      <protection/>
    </xf>
    <xf numFmtId="49" fontId="29" fillId="0" borderId="20" xfId="0" applyNumberFormat="1" applyFont="1" applyFill="1" applyBorder="1" applyAlignment="1" applyProtection="1">
      <alignment horizontal="center" vertical="center"/>
      <protection/>
    </xf>
    <xf numFmtId="0" fontId="29" fillId="0" borderId="25" xfId="0" applyFont="1" applyFill="1" applyBorder="1" applyAlignment="1">
      <alignment vertical="center" wrapText="1"/>
    </xf>
    <xf numFmtId="49" fontId="31" fillId="0" borderId="20" xfId="0" applyNumberFormat="1" applyFont="1" applyFill="1" applyBorder="1" applyAlignment="1" applyProtection="1">
      <alignment horizontal="center" vertical="center"/>
      <protection/>
    </xf>
    <xf numFmtId="0" fontId="31" fillId="0" borderId="25" xfId="0" applyFont="1" applyFill="1" applyBorder="1" applyAlignment="1">
      <alignment vertical="center" wrapText="1"/>
    </xf>
    <xf numFmtId="4" fontId="37" fillId="0" borderId="20" xfId="95" applyNumberFormat="1" applyFont="1" applyFill="1" applyBorder="1" applyAlignment="1">
      <alignment vertical="center"/>
      <protection/>
    </xf>
    <xf numFmtId="49" fontId="31" fillId="0" borderId="20" xfId="0" applyNumberFormat="1" applyFont="1" applyFill="1" applyBorder="1" applyAlignment="1">
      <alignment horizontal="center" vertical="center"/>
    </xf>
    <xf numFmtId="0" fontId="31" fillId="0" borderId="20" xfId="0" applyFont="1" applyFill="1" applyBorder="1" applyAlignment="1">
      <alignment horizontal="left" vertical="center" wrapText="1"/>
    </xf>
    <xf numFmtId="0" fontId="31" fillId="0" borderId="2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0" fontId="30" fillId="0" borderId="21" xfId="0" applyFont="1" applyFill="1" applyBorder="1" applyAlignment="1">
      <alignment horizontal="left" vertical="center" wrapText="1"/>
    </xf>
    <xf numFmtId="49" fontId="28" fillId="0" borderId="20" xfId="0" applyNumberFormat="1" applyFont="1" applyFill="1" applyBorder="1" applyAlignment="1" applyProtection="1">
      <alignment horizontal="center" vertical="center"/>
      <protection/>
    </xf>
    <xf numFmtId="0" fontId="28" fillId="0" borderId="20" xfId="0" applyNumberFormat="1" applyFont="1" applyFill="1" applyBorder="1" applyAlignment="1" applyProtection="1">
      <alignment horizontal="center" vertical="center"/>
      <protection/>
    </xf>
    <xf numFmtId="0" fontId="25" fillId="0" borderId="20" xfId="0" applyNumberFormat="1" applyFont="1" applyFill="1" applyBorder="1" applyAlignment="1" applyProtection="1">
      <alignment horizontal="center" vertical="center"/>
      <protection/>
    </xf>
    <xf numFmtId="0" fontId="36" fillId="0" borderId="20"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20"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20" xfId="0" applyNumberFormat="1" applyFont="1" applyFill="1" applyBorder="1" applyAlignment="1" applyProtection="1">
      <alignment horizontal="center" vertical="center"/>
      <protection/>
    </xf>
    <xf numFmtId="0" fontId="36" fillId="0" borderId="21"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37" fillId="0" borderId="0" xfId="0" applyNumberFormat="1" applyFont="1" applyFill="1" applyAlignment="1" applyProtection="1">
      <alignment/>
      <protection/>
    </xf>
    <xf numFmtId="4" fontId="37" fillId="0" borderId="0" xfId="0" applyNumberFormat="1" applyFont="1" applyFill="1" applyAlignment="1">
      <alignment/>
    </xf>
    <xf numFmtId="0" fontId="37" fillId="0" borderId="0" xfId="0" applyFont="1" applyFill="1" applyAlignment="1">
      <alignment/>
    </xf>
    <xf numFmtId="49" fontId="25" fillId="0" borderId="21" xfId="0" applyNumberFormat="1" applyFont="1" applyFill="1" applyBorder="1" applyAlignment="1">
      <alignment horizontal="center" vertical="center"/>
    </xf>
    <xf numFmtId="49" fontId="35" fillId="0" borderId="26" xfId="0" applyNumberFormat="1" applyFont="1" applyFill="1" applyBorder="1" applyAlignment="1">
      <alignment vertical="center"/>
    </xf>
    <xf numFmtId="4" fontId="36" fillId="0" borderId="20" xfId="0" applyNumberFormat="1" applyFont="1" applyFill="1" applyBorder="1" applyAlignment="1">
      <alignment horizontal="right" vertical="center"/>
    </xf>
    <xf numFmtId="0" fontId="30" fillId="0" borderId="17" xfId="0" applyFont="1" applyFill="1" applyBorder="1" applyAlignment="1">
      <alignment horizontal="left" vertical="center" wrapText="1"/>
    </xf>
    <xf numFmtId="0" fontId="30" fillId="0" borderId="19" xfId="0" applyFont="1" applyFill="1" applyBorder="1" applyAlignment="1">
      <alignment horizontal="left" vertical="center" wrapText="1"/>
    </xf>
    <xf numFmtId="4" fontId="36" fillId="0" borderId="21" xfId="95" applyNumberFormat="1" applyFont="1" applyFill="1" applyBorder="1" applyAlignment="1">
      <alignment vertical="center"/>
      <protection/>
    </xf>
    <xf numFmtId="0" fontId="36" fillId="0" borderId="17" xfId="0" applyFont="1" applyFill="1" applyBorder="1" applyAlignment="1">
      <alignment horizontal="left" vertical="center" wrapText="1"/>
    </xf>
    <xf numFmtId="49" fontId="36" fillId="0" borderId="21" xfId="0" applyNumberFormat="1" applyFont="1" applyFill="1" applyBorder="1" applyAlignment="1">
      <alignment horizontal="center" vertical="center"/>
    </xf>
    <xf numFmtId="0" fontId="33" fillId="0" borderId="0" xfId="0" applyFont="1" applyFill="1" applyAlignment="1">
      <alignment vertical="center"/>
    </xf>
    <xf numFmtId="49" fontId="28" fillId="0" borderId="20" xfId="0" applyNumberFormat="1" applyFont="1" applyFill="1" applyBorder="1" applyAlignment="1">
      <alignment horizontal="left" vertical="center"/>
    </xf>
    <xf numFmtId="0" fontId="28" fillId="0" borderId="0" xfId="0" applyNumberFormat="1" applyFont="1" applyFill="1" applyAlignment="1" applyProtection="1">
      <alignment vertical="center"/>
      <protection/>
    </xf>
    <xf numFmtId="0" fontId="28" fillId="0" borderId="2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49" fontId="28" fillId="0" borderId="21"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0" fontId="27" fillId="0" borderId="0" xfId="0" applyNumberFormat="1" applyFont="1" applyFill="1" applyAlignment="1" applyProtection="1">
      <alignment horizontal="center"/>
      <protection/>
    </xf>
    <xf numFmtId="4" fontId="36" fillId="0" borderId="21" xfId="95" applyNumberFormat="1" applyFont="1" applyFill="1" applyBorder="1" applyAlignment="1">
      <alignment/>
      <protection/>
    </xf>
    <xf numFmtId="0" fontId="28" fillId="0" borderId="0" xfId="0" applyNumberFormat="1" applyFont="1" applyFill="1" applyAlignment="1" applyProtection="1">
      <alignment/>
      <protection/>
    </xf>
    <xf numFmtId="0" fontId="28" fillId="0" borderId="0" xfId="0" applyNumberFormat="1" applyFont="1" applyFill="1" applyAlignment="1" applyProtection="1">
      <alignment vertical="top"/>
      <protection/>
    </xf>
    <xf numFmtId="0" fontId="28" fillId="0" borderId="16" xfId="0" applyFont="1" applyFill="1" applyBorder="1" applyAlignment="1">
      <alignment horizontal="center"/>
    </xf>
    <xf numFmtId="0" fontId="28" fillId="0" borderId="20" xfId="0" applyFont="1" applyFill="1" applyBorder="1" applyAlignment="1">
      <alignment vertical="center" wrapText="1"/>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8" fillId="0" borderId="20" xfId="0" applyFont="1" applyFill="1" applyBorder="1" applyAlignment="1">
      <alignment horizontal="left" vertical="center" wrapText="1"/>
    </xf>
    <xf numFmtId="0" fontId="31" fillId="0" borderId="0" xfId="0" applyNumberFormat="1" applyFont="1" applyFill="1" applyAlignment="1" applyProtection="1">
      <alignment vertical="center"/>
      <protection/>
    </xf>
    <xf numFmtId="0" fontId="31" fillId="0" borderId="0" xfId="0" applyFont="1" applyFill="1" applyBorder="1" applyAlignment="1">
      <alignment vertical="center"/>
    </xf>
    <xf numFmtId="0" fontId="31" fillId="0" borderId="0" xfId="0" applyFont="1" applyFill="1" applyAlignment="1">
      <alignment vertical="center"/>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8"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4" fillId="0" borderId="0" xfId="0" applyNumberFormat="1" applyFont="1" applyFill="1" applyBorder="1" applyAlignment="1" applyProtection="1">
      <alignment vertical="top" wrapText="1"/>
      <protection/>
    </xf>
    <xf numFmtId="0" fontId="30" fillId="0" borderId="21" xfId="0" applyNumberFormat="1" applyFont="1" applyFill="1" applyBorder="1" applyAlignment="1" applyProtection="1">
      <alignment horizontal="center" vertical="center"/>
      <protection/>
    </xf>
    <xf numFmtId="0" fontId="36" fillId="0" borderId="21" xfId="0" applyFont="1" applyFill="1" applyBorder="1" applyAlignment="1">
      <alignment horizontal="center" vertical="center" wrapText="1"/>
    </xf>
    <xf numFmtId="0" fontId="28" fillId="0" borderId="0" xfId="0" applyFont="1" applyFill="1" applyBorder="1" applyAlignment="1">
      <alignment wrapText="1"/>
    </xf>
    <xf numFmtId="49" fontId="36" fillId="0" borderId="20" xfId="0" applyNumberFormat="1" applyFont="1" applyFill="1" applyBorder="1" applyAlignment="1">
      <alignment horizontal="left" vertical="center" wrapText="1"/>
    </xf>
    <xf numFmtId="0" fontId="28" fillId="0" borderId="0" xfId="0" applyFont="1" applyFill="1" applyAlignment="1">
      <alignment vertical="center" wrapText="1"/>
    </xf>
    <xf numFmtId="0" fontId="30" fillId="0" borderId="25" xfId="0" applyFont="1" applyFill="1" applyBorder="1" applyAlignment="1">
      <alignment horizontal="left" vertical="center" wrapText="1"/>
    </xf>
    <xf numFmtId="0" fontId="28" fillId="0" borderId="20" xfId="0" applyFont="1" applyFill="1" applyBorder="1" applyAlignment="1">
      <alignment vertical="center" wrapText="1"/>
    </xf>
    <xf numFmtId="0" fontId="30" fillId="0" borderId="0" xfId="0" applyFont="1" applyFill="1" applyAlignment="1">
      <alignment vertical="center" wrapText="1"/>
    </xf>
    <xf numFmtId="0" fontId="28" fillId="0" borderId="21" xfId="0" applyFont="1" applyFill="1" applyBorder="1" applyAlignment="1">
      <alignment horizontal="left" vertical="center" wrapText="1"/>
    </xf>
    <xf numFmtId="0" fontId="25"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4" fontId="35" fillId="0" borderId="20" xfId="0" applyNumberFormat="1" applyFont="1" applyFill="1" applyBorder="1" applyAlignment="1">
      <alignment horizontal="right" vertical="center"/>
    </xf>
    <xf numFmtId="4" fontId="25" fillId="0" borderId="20" xfId="0" applyNumberFormat="1" applyFont="1" applyFill="1" applyBorder="1" applyAlignment="1">
      <alignment horizontal="right" vertical="center"/>
    </xf>
    <xf numFmtId="4" fontId="36" fillId="0" borderId="21" xfId="0" applyNumberFormat="1" applyFont="1" applyFill="1" applyBorder="1" applyAlignment="1">
      <alignment horizontal="right" vertical="center"/>
    </xf>
    <xf numFmtId="4" fontId="36" fillId="0" borderId="21" xfId="0" applyNumberFormat="1" applyFont="1" applyFill="1" applyBorder="1" applyAlignment="1">
      <alignment horizontal="right"/>
    </xf>
    <xf numFmtId="4" fontId="36" fillId="0" borderId="25" xfId="0" applyNumberFormat="1" applyFont="1" applyFill="1" applyBorder="1" applyAlignment="1">
      <alignment horizontal="right" vertical="center"/>
    </xf>
    <xf numFmtId="4" fontId="25" fillId="0" borderId="20" xfId="0" applyNumberFormat="1" applyFont="1" applyFill="1" applyBorder="1" applyAlignment="1" quotePrefix="1">
      <alignment horizontal="right" vertical="center"/>
    </xf>
    <xf numFmtId="4" fontId="36" fillId="0" borderId="22" xfId="0" applyNumberFormat="1" applyFont="1" applyFill="1" applyBorder="1" applyAlignment="1">
      <alignment horizontal="right" vertical="center"/>
    </xf>
    <xf numFmtId="4" fontId="25" fillId="0" borderId="22" xfId="0" applyNumberFormat="1" applyFont="1" applyFill="1" applyBorder="1" applyAlignment="1">
      <alignment horizontal="right" vertical="center"/>
    </xf>
    <xf numFmtId="4" fontId="35" fillId="0" borderId="22"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27" fillId="0" borderId="0" xfId="0" applyNumberFormat="1" applyFont="1" applyFill="1" applyAlignment="1" applyProtection="1">
      <alignment horizontal="center"/>
      <protection/>
    </xf>
    <xf numFmtId="0" fontId="36" fillId="0" borderId="20"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Border="1" applyAlignment="1">
      <alignment horizontal="center" vertical="center" textRotation="180"/>
    </xf>
    <xf numFmtId="49" fontId="33" fillId="0" borderId="0" xfId="0" applyNumberFormat="1" applyFont="1" applyFill="1" applyAlignment="1">
      <alignment horizontal="center" vertical="center" textRotation="180"/>
    </xf>
    <xf numFmtId="49" fontId="33" fillId="0" borderId="0" xfId="0" applyNumberFormat="1" applyFont="1" applyFill="1" applyBorder="1" applyAlignment="1">
      <alignment horizontal="center" vertical="center" textRotation="180"/>
    </xf>
    <xf numFmtId="4" fontId="0" fillId="0" borderId="0" xfId="0" applyNumberFormat="1" applyFont="1" applyFill="1" applyAlignment="1">
      <alignment wrapText="1"/>
    </xf>
    <xf numFmtId="0" fontId="25" fillId="0" borderId="0" xfId="0" applyFont="1" applyAlignment="1">
      <alignment/>
    </xf>
    <xf numFmtId="0" fontId="33" fillId="0" borderId="0" xfId="0" applyFont="1" applyFill="1" applyAlignment="1">
      <alignment horizontal="left" vertical="center" wrapText="1"/>
    </xf>
    <xf numFmtId="0" fontId="27" fillId="0" borderId="0" xfId="0" applyFont="1" applyFill="1" applyAlignment="1">
      <alignment vertical="center" textRotation="180"/>
    </xf>
    <xf numFmtId="0" fontId="27" fillId="0" borderId="0" xfId="0" applyNumberFormat="1" applyFont="1" applyFill="1" applyAlignment="1" applyProtection="1">
      <alignment/>
      <protection/>
    </xf>
    <xf numFmtId="4" fontId="0" fillId="0" borderId="0" xfId="0" applyNumberFormat="1" applyFont="1" applyFill="1" applyBorder="1" applyAlignment="1">
      <alignment/>
    </xf>
    <xf numFmtId="0" fontId="39" fillId="0" borderId="16" xfId="0" applyNumberFormat="1" applyFont="1" applyFill="1" applyBorder="1" applyAlignment="1" applyProtection="1">
      <alignment horizontal="right" vertical="center"/>
      <protection/>
    </xf>
    <xf numFmtId="4" fontId="39"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protection/>
    </xf>
    <xf numFmtId="4" fontId="41" fillId="0" borderId="0" xfId="95" applyNumberFormat="1" applyFont="1" applyFill="1" applyBorder="1" applyAlignment="1">
      <alignment vertical="center"/>
      <protection/>
    </xf>
    <xf numFmtId="3" fontId="40" fillId="0" borderId="0" xfId="0" applyNumberFormat="1"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0" xfId="0" applyFont="1" applyFill="1" applyBorder="1" applyAlignment="1">
      <alignment vertical="center" textRotation="180"/>
    </xf>
    <xf numFmtId="49" fontId="33" fillId="0" borderId="0" xfId="0" applyNumberFormat="1" applyFont="1" applyFill="1" applyAlignment="1">
      <alignment vertical="center" textRotation="180"/>
    </xf>
    <xf numFmtId="0" fontId="28" fillId="0" borderId="21"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8" fillId="0" borderId="25" xfId="0" applyNumberFormat="1" applyFont="1" applyFill="1" applyBorder="1" applyAlignment="1" applyProtection="1">
      <alignment horizontal="center" vertical="center" wrapText="1"/>
      <protection/>
    </xf>
    <xf numFmtId="0" fontId="33" fillId="0" borderId="0" xfId="0" applyFont="1" applyFill="1" applyAlignment="1">
      <alignment vertical="center"/>
    </xf>
    <xf numFmtId="0" fontId="28" fillId="0" borderId="20"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33" fillId="0" borderId="0" xfId="0" applyFont="1" applyFill="1" applyAlignment="1">
      <alignment horizontal="left" vertical="center" wrapText="1"/>
    </xf>
    <xf numFmtId="0" fontId="30" fillId="0" borderId="20"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top" wrapText="1"/>
      <protection/>
    </xf>
    <xf numFmtId="0" fontId="28" fillId="0" borderId="22" xfId="0" applyNumberFormat="1" applyFont="1" applyFill="1" applyBorder="1" applyAlignment="1" applyProtection="1">
      <alignment horizontal="center" vertical="center" wrapText="1"/>
      <protection/>
    </xf>
    <xf numFmtId="0" fontId="28" fillId="0" borderId="27" xfId="0" applyNumberFormat="1" applyFont="1" applyFill="1" applyBorder="1" applyAlignment="1" applyProtection="1">
      <alignment horizontal="center" vertical="center" wrapText="1"/>
      <protection/>
    </xf>
    <xf numFmtId="0" fontId="28" fillId="0" borderId="24" xfId="0" applyNumberFormat="1" applyFont="1" applyFill="1" applyBorder="1" applyAlignment="1" applyProtection="1">
      <alignment horizontal="center" vertical="center" wrapText="1"/>
      <protection/>
    </xf>
    <xf numFmtId="49" fontId="30" fillId="0" borderId="21" xfId="0" applyNumberFormat="1" applyFont="1" applyFill="1" applyBorder="1" applyAlignment="1" applyProtection="1">
      <alignment horizontal="center" vertical="center"/>
      <protection/>
    </xf>
    <xf numFmtId="49" fontId="30" fillId="0" borderId="25" xfId="0" applyNumberFormat="1" applyFont="1" applyFill="1" applyBorder="1" applyAlignment="1" applyProtection="1">
      <alignment horizontal="center" vertical="center"/>
      <protection/>
    </xf>
    <xf numFmtId="0" fontId="33" fillId="0" borderId="18" xfId="0" applyFont="1" applyFill="1" applyBorder="1" applyAlignment="1">
      <alignment horizontal="center" vertical="center" textRotation="180"/>
    </xf>
    <xf numFmtId="0" fontId="30" fillId="0" borderId="20" xfId="0" applyNumberFormat="1" applyFont="1" applyFill="1" applyBorder="1" applyAlignment="1" applyProtection="1">
      <alignment horizontal="center" vertical="center" wrapText="1"/>
      <protection/>
    </xf>
    <xf numFmtId="0" fontId="33" fillId="0" borderId="0" xfId="0" applyFont="1" applyFill="1" applyAlignment="1">
      <alignment horizontal="center" vertical="center" textRotation="180"/>
    </xf>
    <xf numFmtId="49" fontId="30" fillId="0" borderId="17" xfId="0" applyNumberFormat="1" applyFont="1" applyFill="1" applyBorder="1" applyAlignment="1" applyProtection="1">
      <alignment horizontal="center" vertical="center"/>
      <protection/>
    </xf>
    <xf numFmtId="49" fontId="30" fillId="0" borderId="19" xfId="0" applyNumberFormat="1" applyFont="1" applyFill="1" applyBorder="1" applyAlignment="1" applyProtection="1">
      <alignment horizontal="center" vertical="center"/>
      <protection/>
    </xf>
    <xf numFmtId="3" fontId="40"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textRotation="180"/>
    </xf>
    <xf numFmtId="4" fontId="25" fillId="0" borderId="21" xfId="0" applyNumberFormat="1" applyFont="1" applyFill="1" applyBorder="1" applyAlignment="1" applyProtection="1">
      <alignment horizontal="center" vertical="center" wrapText="1"/>
      <protection/>
    </xf>
    <xf numFmtId="4" fontId="25" fillId="0" borderId="25" xfId="0" applyNumberFormat="1" applyFont="1" applyFill="1" applyBorder="1" applyAlignment="1" applyProtection="1">
      <alignment horizontal="center" vertical="center" wrapText="1"/>
      <protection/>
    </xf>
    <xf numFmtId="4" fontId="25" fillId="0" borderId="22" xfId="0" applyNumberFormat="1" applyFont="1" applyFill="1" applyBorder="1" applyAlignment="1" applyProtection="1">
      <alignment horizontal="center" vertical="center" wrapText="1"/>
      <protection/>
    </xf>
    <xf numFmtId="4" fontId="25" fillId="0" borderId="24" xfId="0" applyNumberFormat="1" applyFont="1" applyFill="1" applyBorder="1" applyAlignment="1" applyProtection="1">
      <alignment horizontal="center" vertical="center" wrapText="1"/>
      <protection/>
    </xf>
    <xf numFmtId="49" fontId="33" fillId="0" borderId="18" xfId="0" applyNumberFormat="1" applyFont="1" applyFill="1" applyBorder="1" applyAlignment="1">
      <alignment horizontal="center" vertical="center" textRotation="180"/>
    </xf>
    <xf numFmtId="4" fontId="36" fillId="0" borderId="21" xfId="0" applyNumberFormat="1" applyFont="1" applyFill="1" applyBorder="1" applyAlignment="1" applyProtection="1">
      <alignment horizontal="center" vertical="center" wrapText="1"/>
      <protection/>
    </xf>
    <xf numFmtId="4" fontId="36" fillId="0" borderId="23" xfId="0" applyNumberFormat="1" applyFont="1" applyFill="1" applyBorder="1" applyAlignment="1" applyProtection="1">
      <alignment horizontal="center" vertical="center" wrapText="1"/>
      <protection/>
    </xf>
    <xf numFmtId="4" fontId="36" fillId="0" borderId="25" xfId="0" applyNumberFormat="1" applyFont="1" applyFill="1" applyBorder="1" applyAlignment="1" applyProtection="1">
      <alignment horizontal="center" vertical="center" wrapText="1"/>
      <protection/>
    </xf>
    <xf numFmtId="4" fontId="35" fillId="0" borderId="21" xfId="0" applyNumberFormat="1" applyFont="1" applyFill="1" applyBorder="1" applyAlignment="1" applyProtection="1">
      <alignment horizontal="center" vertical="center" wrapText="1"/>
      <protection/>
    </xf>
    <xf numFmtId="4" fontId="35" fillId="0" borderId="23" xfId="0" applyNumberFormat="1" applyFont="1" applyFill="1" applyBorder="1" applyAlignment="1" applyProtection="1">
      <alignment horizontal="center" vertical="center" wrapText="1"/>
      <protection/>
    </xf>
    <xf numFmtId="4" fontId="35" fillId="0" borderId="25" xfId="0" applyNumberFormat="1" applyFont="1" applyFill="1" applyBorder="1" applyAlignment="1" applyProtection="1">
      <alignment horizontal="center" vertical="center" wrapText="1"/>
      <protection/>
    </xf>
    <xf numFmtId="49" fontId="33" fillId="0" borderId="0" xfId="0" applyNumberFormat="1" applyFont="1" applyFill="1" applyAlignment="1">
      <alignment horizontal="center" vertical="center" textRotation="180"/>
    </xf>
    <xf numFmtId="49" fontId="36" fillId="0" borderId="21" xfId="0" applyNumberFormat="1" applyFont="1" applyFill="1" applyBorder="1" applyAlignment="1" applyProtection="1">
      <alignment horizontal="center" vertical="center"/>
      <protection/>
    </xf>
    <xf numFmtId="49" fontId="36" fillId="0" borderId="25" xfId="0" applyNumberFormat="1" applyFont="1" applyFill="1" applyBorder="1" applyAlignment="1" applyProtection="1">
      <alignment horizontal="center" vertical="center"/>
      <protection/>
    </xf>
    <xf numFmtId="0" fontId="25" fillId="0" borderId="21"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49" fontId="40" fillId="0" borderId="0" xfId="0" applyNumberFormat="1" applyFont="1" applyFill="1" applyBorder="1" applyAlignment="1">
      <alignment horizontal="center" vertical="center" wrapText="1"/>
    </xf>
    <xf numFmtId="4" fontId="25" fillId="0" borderId="2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75"/>
  <sheetViews>
    <sheetView showGridLines="0" showZeros="0" tabSelected="1" view="pageBreakPreview" zoomScale="55" zoomScaleNormal="70" zoomScaleSheetLayoutView="55" zoomScalePageLayoutView="0" workbookViewId="0" topLeftCell="B1">
      <selection activeCell="M5" sqref="M5"/>
    </sheetView>
  </sheetViews>
  <sheetFormatPr defaultColWidth="9.16015625" defaultRowHeight="12.75"/>
  <cols>
    <col min="1" max="1" width="3.83203125" style="1" hidden="1" customWidth="1"/>
    <col min="2" max="2" width="16.5" style="39" customWidth="1"/>
    <col min="3" max="3" width="14.33203125" style="159" customWidth="1"/>
    <col min="4" max="4" width="13" style="39" customWidth="1"/>
    <col min="5" max="5" width="57.16015625" style="158" customWidth="1"/>
    <col min="6" max="6" width="22.66015625" style="1" customWidth="1"/>
    <col min="7" max="7" width="22.33203125" style="1" customWidth="1"/>
    <col min="8" max="8" width="21.83203125" style="1" customWidth="1"/>
    <col min="9" max="9" width="21.16015625" style="1" customWidth="1"/>
    <col min="10" max="10" width="20.16015625" style="1" customWidth="1"/>
    <col min="11" max="11" width="22.66015625" style="160" customWidth="1"/>
    <col min="12" max="12" width="19" style="1" customWidth="1"/>
    <col min="13" max="13" width="23.16015625" style="1" customWidth="1"/>
    <col min="14" max="14" width="17.83203125" style="1" customWidth="1"/>
    <col min="15" max="15" width="21.33203125" style="1" customWidth="1"/>
    <col min="16" max="16" width="24.66015625" style="1" customWidth="1"/>
    <col min="17" max="17" width="23.5" style="1" customWidth="1"/>
    <col min="18" max="18" width="6.83203125" style="197" customWidth="1"/>
    <col min="19" max="20" width="9.16015625" style="93" customWidth="1"/>
    <col min="21" max="21" width="15.66015625" style="93" bestFit="1" customWidth="1"/>
    <col min="22" max="23" width="18.66015625" style="93" customWidth="1"/>
    <col min="24" max="31" width="9.16015625" style="93" customWidth="1"/>
    <col min="32" max="16384" width="9.16015625" style="78" customWidth="1"/>
  </cols>
  <sheetData>
    <row r="1" spans="3:19" ht="26.25" customHeight="1">
      <c r="C1" s="39"/>
      <c r="E1" s="154"/>
      <c r="K1" s="1"/>
      <c r="M1" s="143"/>
      <c r="N1" s="143"/>
      <c r="O1" s="217"/>
      <c r="P1" s="217"/>
      <c r="Q1" s="217"/>
      <c r="R1" s="217"/>
      <c r="S1" s="143"/>
    </row>
    <row r="2" spans="3:19" ht="26.25" customHeight="1">
      <c r="C2" s="39"/>
      <c r="E2" s="154"/>
      <c r="K2" s="1"/>
      <c r="M2" s="217" t="s">
        <v>577</v>
      </c>
      <c r="N2" s="217"/>
      <c r="O2" s="217"/>
      <c r="P2" s="217"/>
      <c r="Q2" s="143"/>
      <c r="R2" s="231">
        <v>17</v>
      </c>
      <c r="S2" s="143"/>
    </row>
    <row r="3" spans="3:19" ht="26.25" customHeight="1">
      <c r="C3" s="39"/>
      <c r="E3" s="154"/>
      <c r="K3" s="1"/>
      <c r="M3" s="143" t="s">
        <v>575</v>
      </c>
      <c r="N3" s="143"/>
      <c r="O3" s="143"/>
      <c r="P3" s="143"/>
      <c r="Q3" s="143"/>
      <c r="R3" s="231"/>
      <c r="S3" s="196"/>
    </row>
    <row r="4" spans="3:18" ht="26.25" customHeight="1">
      <c r="C4" s="39"/>
      <c r="E4" s="154"/>
      <c r="K4" s="1"/>
      <c r="M4" s="221" t="s">
        <v>590</v>
      </c>
      <c r="N4" s="221"/>
      <c r="O4" s="221"/>
      <c r="P4" s="221"/>
      <c r="Q4" s="221"/>
      <c r="R4" s="231"/>
    </row>
    <row r="5" spans="1:31" s="6" customFormat="1" ht="71.25" customHeight="1">
      <c r="A5" s="5"/>
      <c r="B5" s="18"/>
      <c r="C5" s="18"/>
      <c r="D5" s="18"/>
      <c r="E5" s="155"/>
      <c r="F5" s="43"/>
      <c r="G5" s="43"/>
      <c r="H5" s="43"/>
      <c r="I5" s="43"/>
      <c r="J5" s="43"/>
      <c r="K5" s="43"/>
      <c r="L5" s="1"/>
      <c r="M5" s="211"/>
      <c r="N5" s="202"/>
      <c r="O5" s="202"/>
      <c r="P5" s="202"/>
      <c r="Q5" s="202"/>
      <c r="R5" s="231"/>
      <c r="S5" s="94"/>
      <c r="T5" s="94"/>
      <c r="U5" s="94"/>
      <c r="V5" s="70"/>
      <c r="W5" s="70"/>
      <c r="X5" s="70"/>
      <c r="Y5" s="70"/>
      <c r="Z5" s="70"/>
      <c r="AA5" s="70"/>
      <c r="AB5" s="70"/>
      <c r="AC5" s="70"/>
      <c r="AD5" s="70"/>
      <c r="AE5" s="70"/>
    </row>
    <row r="6" spans="1:18" ht="69" customHeight="1">
      <c r="A6" s="7"/>
      <c r="B6" s="17"/>
      <c r="C6" s="17"/>
      <c r="D6" s="17"/>
      <c r="E6" s="223" t="s">
        <v>425</v>
      </c>
      <c r="F6" s="223"/>
      <c r="G6" s="223"/>
      <c r="H6" s="223"/>
      <c r="I6" s="223"/>
      <c r="J6" s="223"/>
      <c r="K6" s="223"/>
      <c r="L6" s="223"/>
      <c r="M6" s="223"/>
      <c r="N6" s="223"/>
      <c r="O6" s="223"/>
      <c r="P6" s="170"/>
      <c r="Q6" s="120"/>
      <c r="R6" s="231"/>
    </row>
    <row r="7" spans="3:18" ht="21" customHeight="1">
      <c r="C7" s="39"/>
      <c r="E7" s="156"/>
      <c r="F7" s="79"/>
      <c r="G7" s="79"/>
      <c r="H7" s="4"/>
      <c r="I7" s="2"/>
      <c r="J7" s="2"/>
      <c r="K7" s="169"/>
      <c r="L7" s="3"/>
      <c r="M7" s="3"/>
      <c r="N7" s="3"/>
      <c r="O7" s="3"/>
      <c r="P7" s="3"/>
      <c r="Q7" s="206" t="s">
        <v>14</v>
      </c>
      <c r="R7" s="231"/>
    </row>
    <row r="8" spans="1:31" s="9" customFormat="1" ht="21.75" customHeight="1">
      <c r="A8" s="8"/>
      <c r="B8" s="214" t="s">
        <v>419</v>
      </c>
      <c r="C8" s="214" t="s">
        <v>427</v>
      </c>
      <c r="D8" s="214" t="s">
        <v>251</v>
      </c>
      <c r="E8" s="218" t="s">
        <v>519</v>
      </c>
      <c r="F8" s="224" t="s">
        <v>4</v>
      </c>
      <c r="G8" s="225"/>
      <c r="H8" s="225"/>
      <c r="I8" s="225"/>
      <c r="J8" s="226"/>
      <c r="K8" s="218" t="s">
        <v>5</v>
      </c>
      <c r="L8" s="218"/>
      <c r="M8" s="218"/>
      <c r="N8" s="218"/>
      <c r="O8" s="218"/>
      <c r="P8" s="218"/>
      <c r="Q8" s="218" t="s">
        <v>6</v>
      </c>
      <c r="R8" s="231"/>
      <c r="S8" s="95"/>
      <c r="T8" s="95"/>
      <c r="U8" s="95"/>
      <c r="V8" s="95"/>
      <c r="W8" s="95"/>
      <c r="X8" s="95"/>
      <c r="Y8" s="95"/>
      <c r="Z8" s="95"/>
      <c r="AA8" s="95"/>
      <c r="AB8" s="95"/>
      <c r="AC8" s="95"/>
      <c r="AD8" s="95"/>
      <c r="AE8" s="95"/>
    </row>
    <row r="9" spans="1:31" s="9" customFormat="1" ht="16.5" customHeight="1">
      <c r="A9" s="10"/>
      <c r="B9" s="215"/>
      <c r="C9" s="215"/>
      <c r="D9" s="215"/>
      <c r="E9" s="218"/>
      <c r="F9" s="218" t="s">
        <v>7</v>
      </c>
      <c r="G9" s="230" t="s">
        <v>8</v>
      </c>
      <c r="H9" s="220" t="s">
        <v>9</v>
      </c>
      <c r="I9" s="220"/>
      <c r="J9" s="222" t="s">
        <v>10</v>
      </c>
      <c r="K9" s="219" t="s">
        <v>7</v>
      </c>
      <c r="L9" s="230" t="s">
        <v>8</v>
      </c>
      <c r="M9" s="220" t="s">
        <v>9</v>
      </c>
      <c r="N9" s="220"/>
      <c r="O9" s="222" t="s">
        <v>10</v>
      </c>
      <c r="P9" s="44" t="s">
        <v>9</v>
      </c>
      <c r="Q9" s="219"/>
      <c r="R9" s="231"/>
      <c r="S9" s="95"/>
      <c r="T9" s="95"/>
      <c r="U9" s="95"/>
      <c r="V9" s="95"/>
      <c r="W9" s="95"/>
      <c r="X9" s="95"/>
      <c r="Y9" s="95"/>
      <c r="Z9" s="95"/>
      <c r="AA9" s="95"/>
      <c r="AB9" s="95"/>
      <c r="AC9" s="95"/>
      <c r="AD9" s="95"/>
      <c r="AE9" s="95"/>
    </row>
    <row r="10" spans="1:31" s="9" customFormat="1" ht="20.25" customHeight="1">
      <c r="A10" s="11"/>
      <c r="B10" s="215"/>
      <c r="C10" s="215"/>
      <c r="D10" s="215"/>
      <c r="E10" s="218"/>
      <c r="F10" s="218"/>
      <c r="G10" s="230"/>
      <c r="H10" s="220" t="s">
        <v>11</v>
      </c>
      <c r="I10" s="220" t="s">
        <v>12</v>
      </c>
      <c r="J10" s="222"/>
      <c r="K10" s="219"/>
      <c r="L10" s="230"/>
      <c r="M10" s="220" t="s">
        <v>11</v>
      </c>
      <c r="N10" s="220" t="s">
        <v>12</v>
      </c>
      <c r="O10" s="222"/>
      <c r="P10" s="219" t="s">
        <v>13</v>
      </c>
      <c r="Q10" s="219"/>
      <c r="R10" s="231"/>
      <c r="S10" s="95"/>
      <c r="T10" s="95"/>
      <c r="U10" s="95"/>
      <c r="V10" s="95"/>
      <c r="W10" s="95"/>
      <c r="X10" s="95"/>
      <c r="Y10" s="95"/>
      <c r="Z10" s="95"/>
      <c r="AA10" s="95"/>
      <c r="AB10" s="95"/>
      <c r="AC10" s="95"/>
      <c r="AD10" s="95"/>
      <c r="AE10" s="95"/>
    </row>
    <row r="11" spans="1:31" s="9" customFormat="1" ht="81.75" customHeight="1">
      <c r="A11" s="12"/>
      <c r="B11" s="216"/>
      <c r="C11" s="216"/>
      <c r="D11" s="216"/>
      <c r="E11" s="218"/>
      <c r="F11" s="218"/>
      <c r="G11" s="230"/>
      <c r="H11" s="220"/>
      <c r="I11" s="220"/>
      <c r="J11" s="222"/>
      <c r="K11" s="219"/>
      <c r="L11" s="230"/>
      <c r="M11" s="220"/>
      <c r="N11" s="220"/>
      <c r="O11" s="222"/>
      <c r="P11" s="219"/>
      <c r="Q11" s="219"/>
      <c r="R11" s="231"/>
      <c r="S11" s="95"/>
      <c r="T11" s="95"/>
      <c r="U11" s="95"/>
      <c r="V11" s="95"/>
      <c r="W11" s="95"/>
      <c r="X11" s="95"/>
      <c r="Y11" s="95"/>
      <c r="Z11" s="95"/>
      <c r="AA11" s="95"/>
      <c r="AB11" s="95"/>
      <c r="AC11" s="95"/>
      <c r="AD11" s="95"/>
      <c r="AE11" s="95"/>
    </row>
    <row r="12" spans="1:31" s="104" customFormat="1" ht="21" customHeight="1">
      <c r="A12" s="101"/>
      <c r="B12" s="112" t="s">
        <v>32</v>
      </c>
      <c r="C12" s="112"/>
      <c r="D12" s="112"/>
      <c r="E12" s="113" t="s">
        <v>187</v>
      </c>
      <c r="F12" s="111">
        <f>F13</f>
        <v>101407960</v>
      </c>
      <c r="G12" s="111">
        <f aca="true" t="shared" si="0" ref="G12:P12">G13</f>
        <v>91516124</v>
      </c>
      <c r="H12" s="111">
        <f t="shared" si="0"/>
        <v>44085613</v>
      </c>
      <c r="I12" s="111">
        <f t="shared" si="0"/>
        <v>3929428</v>
      </c>
      <c r="J12" s="111">
        <f t="shared" si="0"/>
        <v>9891836</v>
      </c>
      <c r="K12" s="111">
        <f t="shared" si="0"/>
        <v>66252388</v>
      </c>
      <c r="L12" s="111">
        <f t="shared" si="0"/>
        <v>547577</v>
      </c>
      <c r="M12" s="111">
        <f t="shared" si="0"/>
        <v>242690</v>
      </c>
      <c r="N12" s="111">
        <f t="shared" si="0"/>
        <v>100128</v>
      </c>
      <c r="O12" s="111">
        <f t="shared" si="0"/>
        <v>65704811</v>
      </c>
      <c r="P12" s="111">
        <f t="shared" si="0"/>
        <v>65704811</v>
      </c>
      <c r="Q12" s="111">
        <f>F12+K12</f>
        <v>167660348</v>
      </c>
      <c r="R12" s="231"/>
      <c r="S12" s="103"/>
      <c r="T12" s="103"/>
      <c r="U12" s="103"/>
      <c r="V12" s="103"/>
      <c r="W12" s="103"/>
      <c r="X12" s="103"/>
      <c r="Y12" s="103"/>
      <c r="Z12" s="103"/>
      <c r="AA12" s="103"/>
      <c r="AB12" s="103"/>
      <c r="AC12" s="103"/>
      <c r="AD12" s="103"/>
      <c r="AE12" s="103"/>
    </row>
    <row r="13" spans="1:31" s="164" customFormat="1" ht="21.75" customHeight="1">
      <c r="A13" s="162"/>
      <c r="B13" s="114" t="s">
        <v>33</v>
      </c>
      <c r="C13" s="114"/>
      <c r="D13" s="114"/>
      <c r="E13" s="115" t="s">
        <v>187</v>
      </c>
      <c r="F13" s="111">
        <f>F14+F15+F17+F20+F22+F23+F26+F28+F31+F34+F37+F40+F41+F43+F46+F48+F49+F50+F53+F54+F56+F68+F69+F55+F65+F52+F44</f>
        <v>101407960</v>
      </c>
      <c r="G13" s="111">
        <f aca="true" t="shared" si="1" ref="G13:Q13">G14+G15+G17+G20+G22+G23+G26+G28+G31+G34+G37+G40+G41+G43+G46+G48+G49+G50+G53+G54+G56+G68+G69+G55+G65+G52+G44</f>
        <v>91516124</v>
      </c>
      <c r="H13" s="111">
        <f t="shared" si="1"/>
        <v>44085613</v>
      </c>
      <c r="I13" s="111">
        <f t="shared" si="1"/>
        <v>3929428</v>
      </c>
      <c r="J13" s="111">
        <f t="shared" si="1"/>
        <v>9891836</v>
      </c>
      <c r="K13" s="111">
        <f t="shared" si="1"/>
        <v>66252388</v>
      </c>
      <c r="L13" s="111">
        <f t="shared" si="1"/>
        <v>547577</v>
      </c>
      <c r="M13" s="111">
        <f t="shared" si="1"/>
        <v>242690</v>
      </c>
      <c r="N13" s="111">
        <f t="shared" si="1"/>
        <v>100128</v>
      </c>
      <c r="O13" s="111">
        <f t="shared" si="1"/>
        <v>65704811</v>
      </c>
      <c r="P13" s="111">
        <f t="shared" si="1"/>
        <v>65704811</v>
      </c>
      <c r="Q13" s="111">
        <f t="shared" si="1"/>
        <v>167660348</v>
      </c>
      <c r="R13" s="231"/>
      <c r="S13" s="163"/>
      <c r="T13" s="163"/>
      <c r="U13" s="163"/>
      <c r="V13" s="163"/>
      <c r="W13" s="163"/>
      <c r="X13" s="163"/>
      <c r="Y13" s="163"/>
      <c r="Z13" s="163"/>
      <c r="AA13" s="163"/>
      <c r="AB13" s="163"/>
      <c r="AC13" s="163"/>
      <c r="AD13" s="163"/>
      <c r="AE13" s="163"/>
    </row>
    <row r="14" spans="1:31" s="14" customFormat="1" ht="30.75" customHeight="1">
      <c r="A14" s="13"/>
      <c r="B14" s="122" t="s">
        <v>34</v>
      </c>
      <c r="C14" s="122" t="s">
        <v>249</v>
      </c>
      <c r="D14" s="122" t="s">
        <v>250</v>
      </c>
      <c r="E14" s="161" t="s">
        <v>520</v>
      </c>
      <c r="F14" s="106">
        <f>G14+J14</f>
        <v>49987231</v>
      </c>
      <c r="G14" s="106">
        <f>43871100+271100-342800+1289500+495100-120000+395285+55390+150000-9887+223000-811562+400000+4029005+92000</f>
        <v>49987231</v>
      </c>
      <c r="H14" s="106">
        <f>29623100+968500-665215+327870+3186890</f>
        <v>33441145</v>
      </c>
      <c r="I14" s="106">
        <f>1899200+271100</f>
        <v>2170300</v>
      </c>
      <c r="J14" s="106"/>
      <c r="K14" s="106">
        <f>L14+O14</f>
        <v>4770530</v>
      </c>
      <c r="L14" s="106"/>
      <c r="M14" s="106"/>
      <c r="N14" s="106"/>
      <c r="O14" s="106">
        <f>4500000-135300+280000+120000+61220-55390</f>
        <v>4770530</v>
      </c>
      <c r="P14" s="106">
        <f>4500000-135300+280000+120000+61220-55390</f>
        <v>4770530</v>
      </c>
      <c r="Q14" s="106">
        <f aca="true" t="shared" si="2" ref="Q14:Q80">F14+K14</f>
        <v>54757761</v>
      </c>
      <c r="R14" s="231"/>
      <c r="S14" s="41"/>
      <c r="T14" s="41"/>
      <c r="U14" s="41"/>
      <c r="V14" s="41"/>
      <c r="W14" s="41"/>
      <c r="X14" s="41"/>
      <c r="Y14" s="41"/>
      <c r="Z14" s="41"/>
      <c r="AA14" s="41"/>
      <c r="AB14" s="41"/>
      <c r="AC14" s="41"/>
      <c r="AD14" s="41"/>
      <c r="AE14" s="41"/>
    </row>
    <row r="15" spans="1:31" s="14" customFormat="1" ht="153" customHeight="1">
      <c r="A15" s="13"/>
      <c r="B15" s="122" t="s">
        <v>202</v>
      </c>
      <c r="C15" s="122" t="s">
        <v>385</v>
      </c>
      <c r="D15" s="122"/>
      <c r="E15" s="161" t="s">
        <v>112</v>
      </c>
      <c r="F15" s="106">
        <f>F16</f>
        <v>33000</v>
      </c>
      <c r="G15" s="106">
        <f aca="true" t="shared" si="3" ref="G15:P15">G16</f>
        <v>33000</v>
      </c>
      <c r="H15" s="106">
        <f t="shared" si="3"/>
        <v>0</v>
      </c>
      <c r="I15" s="106">
        <f t="shared" si="3"/>
        <v>0</v>
      </c>
      <c r="J15" s="106">
        <f t="shared" si="3"/>
        <v>0</v>
      </c>
      <c r="K15" s="106">
        <f t="shared" si="3"/>
        <v>0</v>
      </c>
      <c r="L15" s="106">
        <f t="shared" si="3"/>
        <v>0</v>
      </c>
      <c r="M15" s="106">
        <f t="shared" si="3"/>
        <v>0</v>
      </c>
      <c r="N15" s="106">
        <f t="shared" si="3"/>
        <v>0</v>
      </c>
      <c r="O15" s="106">
        <f t="shared" si="3"/>
        <v>0</v>
      </c>
      <c r="P15" s="106">
        <f t="shared" si="3"/>
        <v>0</v>
      </c>
      <c r="Q15" s="106">
        <f t="shared" si="2"/>
        <v>33000</v>
      </c>
      <c r="R15" s="231"/>
      <c r="S15" s="41"/>
      <c r="T15" s="41"/>
      <c r="U15" s="41"/>
      <c r="V15" s="41"/>
      <c r="W15" s="41"/>
      <c r="X15" s="41"/>
      <c r="Y15" s="41"/>
      <c r="Z15" s="41"/>
      <c r="AA15" s="41"/>
      <c r="AB15" s="41"/>
      <c r="AC15" s="41"/>
      <c r="AD15" s="41"/>
      <c r="AE15" s="41"/>
    </row>
    <row r="16" spans="1:31" s="33" customFormat="1" ht="42.75" customHeight="1">
      <c r="A16" s="32"/>
      <c r="B16" s="36" t="s">
        <v>203</v>
      </c>
      <c r="C16" s="36" t="s">
        <v>338</v>
      </c>
      <c r="D16" s="36" t="s">
        <v>260</v>
      </c>
      <c r="E16" s="29" t="s">
        <v>27</v>
      </c>
      <c r="F16" s="107">
        <f>G16+J16</f>
        <v>33000</v>
      </c>
      <c r="G16" s="107">
        <f>15000+18000</f>
        <v>33000</v>
      </c>
      <c r="H16" s="107"/>
      <c r="I16" s="107"/>
      <c r="J16" s="107"/>
      <c r="K16" s="107"/>
      <c r="L16" s="107"/>
      <c r="M16" s="107"/>
      <c r="N16" s="107"/>
      <c r="O16" s="107"/>
      <c r="P16" s="107"/>
      <c r="Q16" s="107">
        <f t="shared" si="2"/>
        <v>33000</v>
      </c>
      <c r="R16" s="231"/>
      <c r="S16" s="31"/>
      <c r="T16" s="31"/>
      <c r="U16" s="31"/>
      <c r="V16" s="31"/>
      <c r="W16" s="31"/>
      <c r="X16" s="31"/>
      <c r="Y16" s="31"/>
      <c r="Z16" s="31"/>
      <c r="AA16" s="31"/>
      <c r="AB16" s="31"/>
      <c r="AC16" s="31"/>
      <c r="AD16" s="31"/>
      <c r="AE16" s="31"/>
    </row>
    <row r="17" spans="1:31" s="14" customFormat="1" ht="36" customHeight="1">
      <c r="A17" s="22"/>
      <c r="B17" s="26" t="s">
        <v>35</v>
      </c>
      <c r="C17" s="26" t="s">
        <v>405</v>
      </c>
      <c r="D17" s="26"/>
      <c r="E17" s="23" t="s">
        <v>36</v>
      </c>
      <c r="F17" s="106">
        <f>F18+F19</f>
        <v>1507800</v>
      </c>
      <c r="G17" s="106">
        <f aca="true" t="shared" si="4" ref="G17:P17">G18+G19</f>
        <v>1507800</v>
      </c>
      <c r="H17" s="106">
        <f t="shared" si="4"/>
        <v>1114600</v>
      </c>
      <c r="I17" s="106">
        <f>I18+I19</f>
        <v>62600</v>
      </c>
      <c r="J17" s="106">
        <f t="shared" si="4"/>
        <v>0</v>
      </c>
      <c r="K17" s="106">
        <f t="shared" si="4"/>
        <v>0</v>
      </c>
      <c r="L17" s="106">
        <f t="shared" si="4"/>
        <v>0</v>
      </c>
      <c r="M17" s="106">
        <f t="shared" si="4"/>
        <v>0</v>
      </c>
      <c r="N17" s="106">
        <f t="shared" si="4"/>
        <v>0</v>
      </c>
      <c r="O17" s="106">
        <f t="shared" si="4"/>
        <v>0</v>
      </c>
      <c r="P17" s="106">
        <f t="shared" si="4"/>
        <v>0</v>
      </c>
      <c r="Q17" s="106">
        <f t="shared" si="2"/>
        <v>1507800</v>
      </c>
      <c r="R17" s="231"/>
      <c r="S17" s="41"/>
      <c r="T17" s="41"/>
      <c r="U17" s="41"/>
      <c r="V17" s="41"/>
      <c r="W17" s="41"/>
      <c r="X17" s="41"/>
      <c r="Y17" s="41"/>
      <c r="Z17" s="41"/>
      <c r="AA17" s="41"/>
      <c r="AB17" s="41"/>
      <c r="AC17" s="41"/>
      <c r="AD17" s="41"/>
      <c r="AE17" s="41"/>
    </row>
    <row r="18" spans="1:31" s="33" customFormat="1" ht="29.25" customHeight="1">
      <c r="A18" s="32"/>
      <c r="B18" s="36" t="s">
        <v>37</v>
      </c>
      <c r="C18" s="36" t="s">
        <v>406</v>
      </c>
      <c r="D18" s="36" t="s">
        <v>389</v>
      </c>
      <c r="E18" s="29" t="s">
        <v>40</v>
      </c>
      <c r="F18" s="107">
        <f>G18+J18</f>
        <v>1459800</v>
      </c>
      <c r="G18" s="107">
        <f>1464500-8900+4200</f>
        <v>1459800</v>
      </c>
      <c r="H18" s="107">
        <f>1128900-14300</f>
        <v>1114600</v>
      </c>
      <c r="I18" s="107">
        <f>53800+8800</f>
        <v>62600</v>
      </c>
      <c r="J18" s="107"/>
      <c r="K18" s="107">
        <f>L18+O18</f>
        <v>0</v>
      </c>
      <c r="L18" s="107"/>
      <c r="M18" s="107"/>
      <c r="N18" s="107"/>
      <c r="O18" s="107"/>
      <c r="P18" s="107"/>
      <c r="Q18" s="107">
        <f t="shared" si="2"/>
        <v>1459800</v>
      </c>
      <c r="R18" s="231"/>
      <c r="S18" s="31"/>
      <c r="T18" s="31"/>
      <c r="U18" s="31"/>
      <c r="V18" s="31"/>
      <c r="W18" s="31"/>
      <c r="X18" s="31"/>
      <c r="Y18" s="31"/>
      <c r="Z18" s="31"/>
      <c r="AA18" s="31"/>
      <c r="AB18" s="31"/>
      <c r="AC18" s="31"/>
      <c r="AD18" s="31"/>
      <c r="AE18" s="31"/>
    </row>
    <row r="19" spans="1:31" s="33" customFormat="1" ht="27">
      <c r="A19" s="32"/>
      <c r="B19" s="36" t="s">
        <v>38</v>
      </c>
      <c r="C19" s="36" t="s">
        <v>407</v>
      </c>
      <c r="D19" s="36" t="s">
        <v>389</v>
      </c>
      <c r="E19" s="29" t="s">
        <v>41</v>
      </c>
      <c r="F19" s="107">
        <f>G19+J19</f>
        <v>48000</v>
      </c>
      <c r="G19" s="107">
        <v>48000</v>
      </c>
      <c r="H19" s="107"/>
      <c r="I19" s="107"/>
      <c r="J19" s="107"/>
      <c r="K19" s="107">
        <f>L19+O19</f>
        <v>0</v>
      </c>
      <c r="L19" s="107"/>
      <c r="M19" s="107"/>
      <c r="N19" s="107"/>
      <c r="O19" s="107"/>
      <c r="P19" s="107"/>
      <c r="Q19" s="107">
        <f t="shared" si="2"/>
        <v>48000</v>
      </c>
      <c r="R19" s="231"/>
      <c r="S19" s="31"/>
      <c r="T19" s="31"/>
      <c r="U19" s="31"/>
      <c r="V19" s="31"/>
      <c r="W19" s="31"/>
      <c r="X19" s="31"/>
      <c r="Y19" s="31"/>
      <c r="Z19" s="31"/>
      <c r="AA19" s="31"/>
      <c r="AB19" s="31"/>
      <c r="AC19" s="31"/>
      <c r="AD19" s="31"/>
      <c r="AE19" s="31"/>
    </row>
    <row r="20" spans="1:31" s="33" customFormat="1" ht="30" customHeight="1">
      <c r="A20" s="32"/>
      <c r="B20" s="26" t="s">
        <v>39</v>
      </c>
      <c r="C20" s="26" t="s">
        <v>408</v>
      </c>
      <c r="D20" s="26" t="s">
        <v>389</v>
      </c>
      <c r="E20" s="23" t="s">
        <v>486</v>
      </c>
      <c r="F20" s="106">
        <f>F21</f>
        <v>744135</v>
      </c>
      <c r="G20" s="106">
        <f aca="true" t="shared" si="5" ref="G20:P20">G21</f>
        <v>744135</v>
      </c>
      <c r="H20" s="106">
        <f t="shared" si="5"/>
        <v>0</v>
      </c>
      <c r="I20" s="106">
        <f t="shared" si="5"/>
        <v>0</v>
      </c>
      <c r="J20" s="106">
        <f t="shared" si="5"/>
        <v>0</v>
      </c>
      <c r="K20" s="106">
        <f t="shared" si="5"/>
        <v>0</v>
      </c>
      <c r="L20" s="106">
        <f t="shared" si="5"/>
        <v>0</v>
      </c>
      <c r="M20" s="106">
        <f t="shared" si="5"/>
        <v>0</v>
      </c>
      <c r="N20" s="106">
        <f t="shared" si="5"/>
        <v>0</v>
      </c>
      <c r="O20" s="106">
        <f t="shared" si="5"/>
        <v>0</v>
      </c>
      <c r="P20" s="106">
        <f t="shared" si="5"/>
        <v>0</v>
      </c>
      <c r="Q20" s="106">
        <f>F20+K20</f>
        <v>744135</v>
      </c>
      <c r="R20" s="231"/>
      <c r="S20" s="31"/>
      <c r="T20" s="31"/>
      <c r="U20" s="31"/>
      <c r="V20" s="31"/>
      <c r="W20" s="31"/>
      <c r="X20" s="31"/>
      <c r="Y20" s="31"/>
      <c r="Z20" s="31"/>
      <c r="AA20" s="31"/>
      <c r="AB20" s="31"/>
      <c r="AC20" s="31"/>
      <c r="AD20" s="31"/>
      <c r="AE20" s="31"/>
    </row>
    <row r="21" spans="1:31" s="33" customFormat="1" ht="57" customHeight="1">
      <c r="A21" s="32"/>
      <c r="B21" s="36" t="s">
        <v>512</v>
      </c>
      <c r="C21" s="36" t="s">
        <v>513</v>
      </c>
      <c r="D21" s="36" t="s">
        <v>389</v>
      </c>
      <c r="E21" s="29" t="s">
        <v>518</v>
      </c>
      <c r="F21" s="107">
        <f>G21+J21</f>
        <v>744135</v>
      </c>
      <c r="G21" s="107">
        <f>700000+150000-105865</f>
        <v>744135</v>
      </c>
      <c r="H21" s="107"/>
      <c r="I21" s="107"/>
      <c r="J21" s="107"/>
      <c r="K21" s="107">
        <f>L21+O21</f>
        <v>0</v>
      </c>
      <c r="L21" s="107"/>
      <c r="M21" s="107"/>
      <c r="N21" s="107"/>
      <c r="O21" s="107"/>
      <c r="P21" s="107"/>
      <c r="Q21" s="107">
        <f>F21+K21</f>
        <v>744135</v>
      </c>
      <c r="R21" s="231"/>
      <c r="S21" s="31"/>
      <c r="T21" s="31"/>
      <c r="U21" s="31"/>
      <c r="V21" s="31"/>
      <c r="W21" s="31"/>
      <c r="X21" s="31"/>
      <c r="Y21" s="31"/>
      <c r="Z21" s="31"/>
      <c r="AA21" s="31"/>
      <c r="AB21" s="31"/>
      <c r="AC21" s="31"/>
      <c r="AD21" s="31"/>
      <c r="AE21" s="31"/>
    </row>
    <row r="22" spans="1:31" s="33" customFormat="1" ht="60" customHeight="1">
      <c r="A22" s="32"/>
      <c r="B22" s="26" t="s">
        <v>42</v>
      </c>
      <c r="C22" s="26" t="s">
        <v>410</v>
      </c>
      <c r="D22" s="26" t="s">
        <v>389</v>
      </c>
      <c r="E22" s="175" t="s">
        <v>43</v>
      </c>
      <c r="F22" s="106">
        <f>G22+J22</f>
        <v>1571400</v>
      </c>
      <c r="G22" s="106">
        <f>401800+1169600</f>
        <v>1571400</v>
      </c>
      <c r="H22" s="106"/>
      <c r="I22" s="106"/>
      <c r="J22" s="106"/>
      <c r="K22" s="106">
        <f>L22+O22</f>
        <v>0</v>
      </c>
      <c r="L22" s="106"/>
      <c r="M22" s="106"/>
      <c r="N22" s="106"/>
      <c r="O22" s="106"/>
      <c r="P22" s="106"/>
      <c r="Q22" s="106">
        <f t="shared" si="2"/>
        <v>1571400</v>
      </c>
      <c r="R22" s="231"/>
      <c r="S22" s="31"/>
      <c r="T22" s="31"/>
      <c r="U22" s="31"/>
      <c r="V22" s="31"/>
      <c r="W22" s="31"/>
      <c r="X22" s="31"/>
      <c r="Y22" s="31"/>
      <c r="Z22" s="31"/>
      <c r="AA22" s="31"/>
      <c r="AB22" s="31"/>
      <c r="AC22" s="31"/>
      <c r="AD22" s="31"/>
      <c r="AE22" s="31"/>
    </row>
    <row r="23" spans="1:31" s="33" customFormat="1" ht="27" customHeight="1">
      <c r="A23" s="32"/>
      <c r="B23" s="26" t="s">
        <v>44</v>
      </c>
      <c r="C23" s="26" t="s">
        <v>404</v>
      </c>
      <c r="D23" s="26" t="s">
        <v>262</v>
      </c>
      <c r="E23" s="23" t="s">
        <v>15</v>
      </c>
      <c r="F23" s="106">
        <f>F24+F25</f>
        <v>191854</v>
      </c>
      <c r="G23" s="106">
        <f>G24+G25</f>
        <v>191854</v>
      </c>
      <c r="H23" s="106">
        <f>H24+H25</f>
        <v>0</v>
      </c>
      <c r="I23" s="106">
        <f>I24+I25</f>
        <v>0</v>
      </c>
      <c r="J23" s="106">
        <f>J24+J25</f>
        <v>0</v>
      </c>
      <c r="K23" s="106">
        <f>K24</f>
        <v>0</v>
      </c>
      <c r="L23" s="106">
        <f>L24+L25</f>
        <v>0</v>
      </c>
      <c r="M23" s="106">
        <f>M24+M25</f>
        <v>0</v>
      </c>
      <c r="N23" s="106">
        <f>N24+N25</f>
        <v>0</v>
      </c>
      <c r="O23" s="106">
        <f>O24+O25</f>
        <v>0</v>
      </c>
      <c r="P23" s="106">
        <f>P24+P25</f>
        <v>0</v>
      </c>
      <c r="Q23" s="106">
        <f t="shared" si="2"/>
        <v>191854</v>
      </c>
      <c r="R23" s="231"/>
      <c r="S23" s="31"/>
      <c r="T23" s="31"/>
      <c r="U23" s="31"/>
      <c r="V23" s="31"/>
      <c r="W23" s="31"/>
      <c r="X23" s="31"/>
      <c r="Y23" s="31"/>
      <c r="Z23" s="31"/>
      <c r="AA23" s="31"/>
      <c r="AB23" s="31"/>
      <c r="AC23" s="31"/>
      <c r="AD23" s="31"/>
      <c r="AE23" s="31"/>
    </row>
    <row r="24" spans="1:31" s="33" customFormat="1" ht="27">
      <c r="A24" s="32"/>
      <c r="B24" s="36" t="s">
        <v>44</v>
      </c>
      <c r="C24" s="36" t="s">
        <v>404</v>
      </c>
      <c r="D24" s="36" t="s">
        <v>262</v>
      </c>
      <c r="E24" s="29" t="s">
        <v>416</v>
      </c>
      <c r="F24" s="107">
        <f>G24+J24</f>
        <v>143854</v>
      </c>
      <c r="G24" s="107">
        <v>143854</v>
      </c>
      <c r="H24" s="107"/>
      <c r="I24" s="107"/>
      <c r="J24" s="107"/>
      <c r="K24" s="107">
        <f>L24+O24</f>
        <v>0</v>
      </c>
      <c r="L24" s="107"/>
      <c r="M24" s="107"/>
      <c r="N24" s="107"/>
      <c r="O24" s="107"/>
      <c r="P24" s="107"/>
      <c r="Q24" s="107">
        <f t="shared" si="2"/>
        <v>143854</v>
      </c>
      <c r="R24" s="231"/>
      <c r="S24" s="31"/>
      <c r="T24" s="31"/>
      <c r="U24" s="31"/>
      <c r="V24" s="31"/>
      <c r="W24" s="31"/>
      <c r="X24" s="31"/>
      <c r="Y24" s="31"/>
      <c r="Z24" s="31"/>
      <c r="AA24" s="31"/>
      <c r="AB24" s="31"/>
      <c r="AC24" s="31"/>
      <c r="AD24" s="31"/>
      <c r="AE24" s="31"/>
    </row>
    <row r="25" spans="1:31" s="33" customFormat="1" ht="43.5" customHeight="1">
      <c r="A25" s="32"/>
      <c r="B25" s="36" t="s">
        <v>44</v>
      </c>
      <c r="C25" s="36" t="s">
        <v>404</v>
      </c>
      <c r="D25" s="36" t="s">
        <v>262</v>
      </c>
      <c r="E25" s="29" t="s">
        <v>417</v>
      </c>
      <c r="F25" s="107">
        <f>G25+J25</f>
        <v>48000</v>
      </c>
      <c r="G25" s="107">
        <v>48000</v>
      </c>
      <c r="H25" s="107"/>
      <c r="I25" s="107"/>
      <c r="J25" s="107"/>
      <c r="K25" s="107">
        <f>L25+O25</f>
        <v>0</v>
      </c>
      <c r="L25" s="107"/>
      <c r="M25" s="107"/>
      <c r="N25" s="107"/>
      <c r="O25" s="107"/>
      <c r="P25" s="107"/>
      <c r="Q25" s="107">
        <f t="shared" si="2"/>
        <v>48000</v>
      </c>
      <c r="R25" s="231"/>
      <c r="S25" s="31"/>
      <c r="T25" s="31"/>
      <c r="U25" s="31"/>
      <c r="V25" s="31"/>
      <c r="W25" s="31"/>
      <c r="X25" s="31"/>
      <c r="Y25" s="31"/>
      <c r="Z25" s="31"/>
      <c r="AA25" s="31"/>
      <c r="AB25" s="31"/>
      <c r="AC25" s="31"/>
      <c r="AD25" s="31"/>
      <c r="AE25" s="31"/>
    </row>
    <row r="26" spans="1:31" s="14" customFormat="1" ht="24.75" customHeight="1">
      <c r="A26" s="22"/>
      <c r="B26" s="26" t="s">
        <v>45</v>
      </c>
      <c r="C26" s="26" t="s">
        <v>409</v>
      </c>
      <c r="D26" s="26" t="s">
        <v>389</v>
      </c>
      <c r="E26" s="23" t="s">
        <v>16</v>
      </c>
      <c r="F26" s="106">
        <f>F27</f>
        <v>728605</v>
      </c>
      <c r="G26" s="106">
        <f>G27</f>
        <v>728605</v>
      </c>
      <c r="H26" s="106">
        <f>H27</f>
        <v>484206</v>
      </c>
      <c r="I26" s="106">
        <f>I27</f>
        <v>109900</v>
      </c>
      <c r="J26" s="106">
        <f>J27</f>
        <v>0</v>
      </c>
      <c r="K26" s="106">
        <f aca="true" t="shared" si="6" ref="K26:P26">K27</f>
        <v>10000</v>
      </c>
      <c r="L26" s="106">
        <f t="shared" si="6"/>
        <v>0</v>
      </c>
      <c r="M26" s="106">
        <f t="shared" si="6"/>
        <v>0</v>
      </c>
      <c r="N26" s="106">
        <f t="shared" si="6"/>
        <v>0</v>
      </c>
      <c r="O26" s="106">
        <f t="shared" si="6"/>
        <v>10000</v>
      </c>
      <c r="P26" s="106">
        <f t="shared" si="6"/>
        <v>10000</v>
      </c>
      <c r="Q26" s="106">
        <f t="shared" si="2"/>
        <v>738605</v>
      </c>
      <c r="R26" s="231"/>
      <c r="S26" s="41"/>
      <c r="T26" s="41"/>
      <c r="U26" s="41"/>
      <c r="V26" s="41"/>
      <c r="W26" s="41"/>
      <c r="X26" s="41"/>
      <c r="Y26" s="41"/>
      <c r="Z26" s="41"/>
      <c r="AA26" s="41"/>
      <c r="AB26" s="41"/>
      <c r="AC26" s="41"/>
      <c r="AD26" s="41"/>
      <c r="AE26" s="41"/>
    </row>
    <row r="27" spans="1:31" s="33" customFormat="1" ht="35.25" customHeight="1">
      <c r="A27" s="32"/>
      <c r="B27" s="36" t="s">
        <v>45</v>
      </c>
      <c r="C27" s="36" t="s">
        <v>409</v>
      </c>
      <c r="D27" s="36" t="s">
        <v>389</v>
      </c>
      <c r="E27" s="29" t="s">
        <v>553</v>
      </c>
      <c r="F27" s="107">
        <f>G27+J27</f>
        <v>728605</v>
      </c>
      <c r="G27" s="106">
        <f>712000-500+17105</f>
        <v>728605</v>
      </c>
      <c r="H27" s="106">
        <f>481800-12400+14806</f>
        <v>484206</v>
      </c>
      <c r="I27" s="106">
        <f>95400+14500</f>
        <v>109900</v>
      </c>
      <c r="J27" s="107"/>
      <c r="K27" s="107">
        <f>L27+O27</f>
        <v>10000</v>
      </c>
      <c r="L27" s="107"/>
      <c r="M27" s="107"/>
      <c r="N27" s="107"/>
      <c r="O27" s="107">
        <v>10000</v>
      </c>
      <c r="P27" s="107">
        <v>10000</v>
      </c>
      <c r="Q27" s="107">
        <f t="shared" si="2"/>
        <v>738605</v>
      </c>
      <c r="R27" s="231"/>
      <c r="S27" s="31"/>
      <c r="T27" s="31"/>
      <c r="U27" s="31"/>
      <c r="V27" s="31"/>
      <c r="W27" s="31"/>
      <c r="X27" s="31"/>
      <c r="Y27" s="31"/>
      <c r="Z27" s="31"/>
      <c r="AA27" s="31"/>
      <c r="AB27" s="31"/>
      <c r="AC27" s="31"/>
      <c r="AD27" s="31"/>
      <c r="AE27" s="31"/>
    </row>
    <row r="28" spans="1:31" s="14" customFormat="1" ht="23.25" customHeight="1">
      <c r="A28" s="22"/>
      <c r="B28" s="26" t="s">
        <v>47</v>
      </c>
      <c r="C28" s="26" t="s">
        <v>309</v>
      </c>
      <c r="D28" s="26" t="s">
        <v>310</v>
      </c>
      <c r="E28" s="23" t="s">
        <v>46</v>
      </c>
      <c r="F28" s="106">
        <f>F29+F30</f>
        <v>3048341</v>
      </c>
      <c r="G28" s="106">
        <f aca="true" t="shared" si="7" ref="G28:P28">G29+G30</f>
        <v>3048341</v>
      </c>
      <c r="H28" s="106">
        <f t="shared" si="7"/>
        <v>1456900</v>
      </c>
      <c r="I28" s="106">
        <f t="shared" si="7"/>
        <v>137310</v>
      </c>
      <c r="J28" s="106">
        <f t="shared" si="7"/>
        <v>0</v>
      </c>
      <c r="K28" s="106">
        <f t="shared" si="7"/>
        <v>122000</v>
      </c>
      <c r="L28" s="106">
        <f t="shared" si="7"/>
        <v>0</v>
      </c>
      <c r="M28" s="106">
        <f t="shared" si="7"/>
        <v>0</v>
      </c>
      <c r="N28" s="106">
        <f t="shared" si="7"/>
        <v>0</v>
      </c>
      <c r="O28" s="106">
        <f t="shared" si="7"/>
        <v>122000</v>
      </c>
      <c r="P28" s="106">
        <f t="shared" si="7"/>
        <v>122000</v>
      </c>
      <c r="Q28" s="106">
        <f t="shared" si="2"/>
        <v>3170341</v>
      </c>
      <c r="R28" s="231"/>
      <c r="S28" s="41"/>
      <c r="T28" s="41"/>
      <c r="U28" s="41"/>
      <c r="V28" s="41"/>
      <c r="W28" s="41"/>
      <c r="X28" s="41"/>
      <c r="Y28" s="41"/>
      <c r="Z28" s="41"/>
      <c r="AA28" s="41"/>
      <c r="AB28" s="41"/>
      <c r="AC28" s="41"/>
      <c r="AD28" s="41"/>
      <c r="AE28" s="41"/>
    </row>
    <row r="29" spans="1:31" s="33" customFormat="1" ht="32.25" customHeight="1">
      <c r="A29" s="32"/>
      <c r="B29" s="36" t="s">
        <v>47</v>
      </c>
      <c r="C29" s="36" t="s">
        <v>309</v>
      </c>
      <c r="D29" s="28" t="s">
        <v>310</v>
      </c>
      <c r="E29" s="34" t="s">
        <v>246</v>
      </c>
      <c r="F29" s="107">
        <f>G29</f>
        <v>1420705</v>
      </c>
      <c r="G29" s="137">
        <f>944700+150000-16270+39600+74265+6000+45000+45000+960+131450</f>
        <v>1420705</v>
      </c>
      <c r="H29" s="65">
        <f>599500-19100</f>
        <v>580400</v>
      </c>
      <c r="I29" s="65">
        <f>37920+7020</f>
        <v>44940</v>
      </c>
      <c r="J29" s="107"/>
      <c r="K29" s="107">
        <f>L29+O29</f>
        <v>102000</v>
      </c>
      <c r="L29" s="107"/>
      <c r="M29" s="107"/>
      <c r="N29" s="107"/>
      <c r="O29" s="107">
        <f>80000+22000</f>
        <v>102000</v>
      </c>
      <c r="P29" s="107">
        <f>80000+22000</f>
        <v>102000</v>
      </c>
      <c r="Q29" s="107">
        <f t="shared" si="2"/>
        <v>1522705</v>
      </c>
      <c r="R29" s="231"/>
      <c r="S29" s="31"/>
      <c r="T29" s="31"/>
      <c r="U29" s="31"/>
      <c r="V29" s="31"/>
      <c r="W29" s="31"/>
      <c r="X29" s="31"/>
      <c r="Y29" s="31"/>
      <c r="Z29" s="31"/>
      <c r="AA29" s="31"/>
      <c r="AB29" s="31"/>
      <c r="AC29" s="31"/>
      <c r="AD29" s="31"/>
      <c r="AE29" s="31"/>
    </row>
    <row r="30" spans="1:31" s="33" customFormat="1" ht="30" customHeight="1">
      <c r="A30" s="32"/>
      <c r="B30" s="36" t="s">
        <v>47</v>
      </c>
      <c r="C30" s="36" t="s">
        <v>309</v>
      </c>
      <c r="D30" s="28" t="s">
        <v>310</v>
      </c>
      <c r="E30" s="34" t="s">
        <v>430</v>
      </c>
      <c r="F30" s="107">
        <f>G30</f>
        <v>1627636</v>
      </c>
      <c r="G30" s="137">
        <f>1349800+50000-25580+85000+31600+8000+82816+46000</f>
        <v>1627636</v>
      </c>
      <c r="H30" s="65">
        <f>909610-33110</f>
        <v>876500</v>
      </c>
      <c r="I30" s="65">
        <f>77610+14760</f>
        <v>92370</v>
      </c>
      <c r="J30" s="110"/>
      <c r="K30" s="107">
        <f>L30+O30</f>
        <v>20000</v>
      </c>
      <c r="L30" s="110"/>
      <c r="M30" s="110"/>
      <c r="N30" s="110"/>
      <c r="O30" s="107">
        <v>20000</v>
      </c>
      <c r="P30" s="107">
        <v>20000</v>
      </c>
      <c r="Q30" s="107">
        <f t="shared" si="2"/>
        <v>1647636</v>
      </c>
      <c r="R30" s="231"/>
      <c r="S30" s="31"/>
      <c r="T30" s="31"/>
      <c r="U30" s="31"/>
      <c r="V30" s="31"/>
      <c r="W30" s="31"/>
      <c r="X30" s="31"/>
      <c r="Y30" s="31"/>
      <c r="Z30" s="31"/>
      <c r="AA30" s="31"/>
      <c r="AB30" s="31"/>
      <c r="AC30" s="31"/>
      <c r="AD30" s="31"/>
      <c r="AE30" s="31"/>
    </row>
    <row r="31" spans="1:31" s="14" customFormat="1" ht="23.25" customHeight="1">
      <c r="A31" s="22"/>
      <c r="B31" s="21" t="s">
        <v>48</v>
      </c>
      <c r="C31" s="20" t="s">
        <v>318</v>
      </c>
      <c r="D31" s="20"/>
      <c r="E31" s="144" t="s">
        <v>49</v>
      </c>
      <c r="F31" s="108">
        <f>F32+F33</f>
        <v>2041600</v>
      </c>
      <c r="G31" s="108">
        <f aca="true" t="shared" si="8" ref="G31:P31">G32+G33</f>
        <v>2041600</v>
      </c>
      <c r="H31" s="108">
        <f t="shared" si="8"/>
        <v>0</v>
      </c>
      <c r="I31" s="108">
        <f t="shared" si="8"/>
        <v>0</v>
      </c>
      <c r="J31" s="108">
        <f t="shared" si="8"/>
        <v>0</v>
      </c>
      <c r="K31" s="108">
        <f t="shared" si="8"/>
        <v>0</v>
      </c>
      <c r="L31" s="108">
        <f t="shared" si="8"/>
        <v>0</v>
      </c>
      <c r="M31" s="108">
        <f t="shared" si="8"/>
        <v>0</v>
      </c>
      <c r="N31" s="108">
        <f t="shared" si="8"/>
        <v>0</v>
      </c>
      <c r="O31" s="108">
        <f t="shared" si="8"/>
        <v>0</v>
      </c>
      <c r="P31" s="108">
        <f t="shared" si="8"/>
        <v>0</v>
      </c>
      <c r="Q31" s="108">
        <f t="shared" si="2"/>
        <v>2041600</v>
      </c>
      <c r="R31" s="229">
        <v>18</v>
      </c>
      <c r="S31" s="41"/>
      <c r="T31" s="41"/>
      <c r="U31" s="41"/>
      <c r="V31" s="41"/>
      <c r="W31" s="41"/>
      <c r="X31" s="41"/>
      <c r="Y31" s="41"/>
      <c r="Z31" s="41"/>
      <c r="AA31" s="41"/>
      <c r="AB31" s="41"/>
      <c r="AC31" s="41"/>
      <c r="AD31" s="41"/>
      <c r="AE31" s="41"/>
    </row>
    <row r="32" spans="1:31" s="33" customFormat="1" ht="27">
      <c r="A32" s="32"/>
      <c r="B32" s="45" t="s">
        <v>50</v>
      </c>
      <c r="C32" s="75" t="s">
        <v>319</v>
      </c>
      <c r="D32" s="75" t="s">
        <v>320</v>
      </c>
      <c r="E32" s="176" t="s">
        <v>52</v>
      </c>
      <c r="F32" s="109">
        <f>G32+J32</f>
        <v>1133600</v>
      </c>
      <c r="G32" s="107">
        <f>600000+300000+73600+160000</f>
        <v>1133600</v>
      </c>
      <c r="H32" s="109"/>
      <c r="I32" s="109"/>
      <c r="J32" s="109"/>
      <c r="K32" s="109">
        <f>L32+O32</f>
        <v>0</v>
      </c>
      <c r="L32" s="109"/>
      <c r="M32" s="109"/>
      <c r="N32" s="109"/>
      <c r="O32" s="109"/>
      <c r="P32" s="109"/>
      <c r="Q32" s="107">
        <f t="shared" si="2"/>
        <v>1133600</v>
      </c>
      <c r="R32" s="229"/>
      <c r="S32" s="31"/>
      <c r="T32" s="31"/>
      <c r="U32" s="31"/>
      <c r="V32" s="31"/>
      <c r="W32" s="31"/>
      <c r="X32" s="31"/>
      <c r="Y32" s="31"/>
      <c r="Z32" s="31"/>
      <c r="AA32" s="31"/>
      <c r="AB32" s="31"/>
      <c r="AC32" s="31"/>
      <c r="AD32" s="31"/>
      <c r="AE32" s="31"/>
    </row>
    <row r="33" spans="1:31" s="33" customFormat="1" ht="27">
      <c r="A33" s="32"/>
      <c r="B33" s="45" t="s">
        <v>51</v>
      </c>
      <c r="C33" s="45" t="s">
        <v>321</v>
      </c>
      <c r="D33" s="45" t="s">
        <v>320</v>
      </c>
      <c r="E33" s="29" t="s">
        <v>18</v>
      </c>
      <c r="F33" s="107">
        <f>G33+J33</f>
        <v>908000</v>
      </c>
      <c r="G33" s="107">
        <f>600000+200000+5000+6000+50000-3000+25000+20000+5000</f>
        <v>908000</v>
      </c>
      <c r="H33" s="107"/>
      <c r="I33" s="107"/>
      <c r="J33" s="107"/>
      <c r="K33" s="107">
        <f>L33+O33</f>
        <v>0</v>
      </c>
      <c r="L33" s="107"/>
      <c r="M33" s="107"/>
      <c r="N33" s="107"/>
      <c r="O33" s="107"/>
      <c r="P33" s="107"/>
      <c r="Q33" s="107">
        <f t="shared" si="2"/>
        <v>908000</v>
      </c>
      <c r="R33" s="229"/>
      <c r="S33" s="31"/>
      <c r="T33" s="31"/>
      <c r="U33" s="31"/>
      <c r="V33" s="31"/>
      <c r="W33" s="31"/>
      <c r="X33" s="31"/>
      <c r="Y33" s="31"/>
      <c r="Z33" s="31"/>
      <c r="AA33" s="31"/>
      <c r="AB33" s="31"/>
      <c r="AC33" s="31"/>
      <c r="AD33" s="31"/>
      <c r="AE33" s="31"/>
    </row>
    <row r="34" spans="1:31" s="14" customFormat="1" ht="20.25" customHeight="1">
      <c r="A34" s="22"/>
      <c r="B34" s="21" t="s">
        <v>494</v>
      </c>
      <c r="C34" s="21" t="s">
        <v>493</v>
      </c>
      <c r="D34" s="21"/>
      <c r="E34" s="23" t="s">
        <v>500</v>
      </c>
      <c r="F34" s="106">
        <f>F35+F36</f>
        <v>13798240</v>
      </c>
      <c r="G34" s="106">
        <f aca="true" t="shared" si="9" ref="G34:P34">G35+G36</f>
        <v>13798240</v>
      </c>
      <c r="H34" s="106">
        <f t="shared" si="9"/>
        <v>5246403</v>
      </c>
      <c r="I34" s="106">
        <f t="shared" si="9"/>
        <v>618400</v>
      </c>
      <c r="J34" s="106">
        <f t="shared" si="9"/>
        <v>0</v>
      </c>
      <c r="K34" s="107">
        <f>L34+O34</f>
        <v>249000</v>
      </c>
      <c r="L34" s="106">
        <f>L35+L36</f>
        <v>0</v>
      </c>
      <c r="M34" s="106">
        <f>M35+M36</f>
        <v>0</v>
      </c>
      <c r="N34" s="106">
        <f t="shared" si="9"/>
        <v>0</v>
      </c>
      <c r="O34" s="106">
        <f t="shared" si="9"/>
        <v>249000</v>
      </c>
      <c r="P34" s="106">
        <f t="shared" si="9"/>
        <v>249000</v>
      </c>
      <c r="Q34" s="106">
        <f t="shared" si="2"/>
        <v>14047240</v>
      </c>
      <c r="R34" s="229"/>
      <c r="S34" s="41"/>
      <c r="T34" s="41"/>
      <c r="U34" s="41"/>
      <c r="V34" s="41"/>
      <c r="W34" s="41"/>
      <c r="X34" s="41"/>
      <c r="Y34" s="41"/>
      <c r="Z34" s="41"/>
      <c r="AA34" s="41"/>
      <c r="AB34" s="41"/>
      <c r="AC34" s="41"/>
      <c r="AD34" s="41"/>
      <c r="AE34" s="41"/>
    </row>
    <row r="35" spans="1:31" s="33" customFormat="1" ht="30.75" customHeight="1">
      <c r="A35" s="32"/>
      <c r="B35" s="45" t="s">
        <v>497</v>
      </c>
      <c r="C35" s="45" t="s">
        <v>495</v>
      </c>
      <c r="D35" s="45" t="s">
        <v>320</v>
      </c>
      <c r="E35" s="29" t="s">
        <v>53</v>
      </c>
      <c r="F35" s="107">
        <f>G35+J35</f>
        <v>7600717</v>
      </c>
      <c r="G35" s="107">
        <f>7111640-53334+88000+10000+11687+20000+100884+50000+251840+10000</f>
        <v>7600717</v>
      </c>
      <c r="H35" s="107">
        <f>5155600-115617+206420</f>
        <v>5246403</v>
      </c>
      <c r="I35" s="107">
        <f>516982+101418</f>
        <v>618400</v>
      </c>
      <c r="J35" s="107"/>
      <c r="K35" s="107">
        <f>L35+O35</f>
        <v>249000</v>
      </c>
      <c r="L35" s="107"/>
      <c r="M35" s="107"/>
      <c r="N35" s="107"/>
      <c r="O35" s="107">
        <f>239000+10000</f>
        <v>249000</v>
      </c>
      <c r="P35" s="107">
        <f>239000+10000</f>
        <v>249000</v>
      </c>
      <c r="Q35" s="107">
        <f t="shared" si="2"/>
        <v>7849717</v>
      </c>
      <c r="R35" s="229"/>
      <c r="S35" s="31"/>
      <c r="T35" s="31"/>
      <c r="U35" s="31"/>
      <c r="V35" s="31"/>
      <c r="W35" s="31"/>
      <c r="X35" s="31"/>
      <c r="Y35" s="31"/>
      <c r="Z35" s="31"/>
      <c r="AA35" s="31"/>
      <c r="AB35" s="31"/>
      <c r="AC35" s="31"/>
      <c r="AD35" s="31"/>
      <c r="AE35" s="31"/>
    </row>
    <row r="36" spans="1:31" s="33" customFormat="1" ht="33" customHeight="1">
      <c r="A36" s="32"/>
      <c r="B36" s="45" t="s">
        <v>498</v>
      </c>
      <c r="C36" s="45" t="s">
        <v>496</v>
      </c>
      <c r="D36" s="45" t="s">
        <v>320</v>
      </c>
      <c r="E36" s="29" t="s">
        <v>54</v>
      </c>
      <c r="F36" s="107">
        <f>G36+J36</f>
        <v>6197523</v>
      </c>
      <c r="G36" s="107">
        <f>5968000+10200-152900+18000+19000+30000+44483-9000+10000+259740</f>
        <v>6197523</v>
      </c>
      <c r="H36" s="107"/>
      <c r="I36" s="107"/>
      <c r="J36" s="107"/>
      <c r="K36" s="107">
        <f>L36+O36</f>
        <v>0</v>
      </c>
      <c r="L36" s="107"/>
      <c r="M36" s="107"/>
      <c r="N36" s="107"/>
      <c r="O36" s="107"/>
      <c r="P36" s="107"/>
      <c r="Q36" s="107">
        <f t="shared" si="2"/>
        <v>6197523</v>
      </c>
      <c r="R36" s="229"/>
      <c r="S36" s="31"/>
      <c r="T36" s="31"/>
      <c r="U36" s="31"/>
      <c r="V36" s="31"/>
      <c r="W36" s="31"/>
      <c r="X36" s="31"/>
      <c r="Y36" s="31"/>
      <c r="Z36" s="31"/>
      <c r="AA36" s="31"/>
      <c r="AB36" s="31"/>
      <c r="AC36" s="31"/>
      <c r="AD36" s="31"/>
      <c r="AE36" s="31"/>
    </row>
    <row r="37" spans="1:31" s="33" customFormat="1" ht="24" customHeight="1">
      <c r="A37" s="32"/>
      <c r="B37" s="21" t="s">
        <v>55</v>
      </c>
      <c r="C37" s="21" t="s">
        <v>322</v>
      </c>
      <c r="D37" s="21"/>
      <c r="E37" s="23" t="s">
        <v>487</v>
      </c>
      <c r="F37" s="106">
        <f>F38+F39</f>
        <v>5874437</v>
      </c>
      <c r="G37" s="106">
        <f aca="true" t="shared" si="10" ref="G37:Q37">G38+G39</f>
        <v>5874437</v>
      </c>
      <c r="H37" s="106">
        <f t="shared" si="10"/>
        <v>1376959</v>
      </c>
      <c r="I37" s="106">
        <f t="shared" si="10"/>
        <v>512490</v>
      </c>
      <c r="J37" s="106">
        <f t="shared" si="10"/>
        <v>0</v>
      </c>
      <c r="K37" s="106">
        <f t="shared" si="10"/>
        <v>454700</v>
      </c>
      <c r="L37" s="106">
        <f t="shared" si="10"/>
        <v>415700</v>
      </c>
      <c r="M37" s="106">
        <f t="shared" si="10"/>
        <v>242690</v>
      </c>
      <c r="N37" s="106">
        <f t="shared" si="10"/>
        <v>99128</v>
      </c>
      <c r="O37" s="106">
        <f t="shared" si="10"/>
        <v>39000</v>
      </c>
      <c r="P37" s="106">
        <f t="shared" si="10"/>
        <v>39000</v>
      </c>
      <c r="Q37" s="106">
        <f t="shared" si="10"/>
        <v>6329137</v>
      </c>
      <c r="R37" s="229"/>
      <c r="S37" s="31"/>
      <c r="T37" s="31"/>
      <c r="U37" s="31"/>
      <c r="V37" s="31"/>
      <c r="W37" s="31"/>
      <c r="X37" s="31"/>
      <c r="Y37" s="31"/>
      <c r="Z37" s="31"/>
      <c r="AA37" s="31"/>
      <c r="AB37" s="31"/>
      <c r="AC37" s="31"/>
      <c r="AD37" s="31"/>
      <c r="AE37" s="31"/>
    </row>
    <row r="38" spans="1:31" s="33" customFormat="1" ht="64.5" customHeight="1">
      <c r="A38" s="32"/>
      <c r="B38" s="45" t="s">
        <v>488</v>
      </c>
      <c r="C38" s="45" t="s">
        <v>489</v>
      </c>
      <c r="D38" s="45" t="s">
        <v>320</v>
      </c>
      <c r="E38" s="29" t="s">
        <v>490</v>
      </c>
      <c r="F38" s="107">
        <f>G38+J38</f>
        <v>2724290</v>
      </c>
      <c r="G38" s="107">
        <f>2281250+350000+60340+20000+4000+8700</f>
        <v>2724290</v>
      </c>
      <c r="H38" s="107">
        <f>1399000-22041</f>
        <v>1376959</v>
      </c>
      <c r="I38" s="107">
        <f>425260+87230</f>
        <v>512490</v>
      </c>
      <c r="J38" s="107"/>
      <c r="K38" s="107">
        <f>L38+O38</f>
        <v>454700</v>
      </c>
      <c r="L38" s="107">
        <v>415700</v>
      </c>
      <c r="M38" s="107">
        <v>242690</v>
      </c>
      <c r="N38" s="107">
        <v>99128</v>
      </c>
      <c r="O38" s="107">
        <v>39000</v>
      </c>
      <c r="P38" s="107">
        <v>39000</v>
      </c>
      <c r="Q38" s="107">
        <f>F38+K38</f>
        <v>3178990</v>
      </c>
      <c r="R38" s="229"/>
      <c r="S38" s="31"/>
      <c r="T38" s="31"/>
      <c r="U38" s="31"/>
      <c r="V38" s="31"/>
      <c r="W38" s="31"/>
      <c r="X38" s="31"/>
      <c r="Y38" s="31"/>
      <c r="Z38" s="31"/>
      <c r="AA38" s="31"/>
      <c r="AB38" s="31"/>
      <c r="AC38" s="31"/>
      <c r="AD38" s="31"/>
      <c r="AE38" s="31"/>
    </row>
    <row r="39" spans="1:31" s="33" customFormat="1" ht="51.75" customHeight="1">
      <c r="A39" s="32"/>
      <c r="B39" s="28" t="s">
        <v>516</v>
      </c>
      <c r="C39" s="28" t="s">
        <v>492</v>
      </c>
      <c r="D39" s="28" t="s">
        <v>320</v>
      </c>
      <c r="E39" s="34" t="s">
        <v>491</v>
      </c>
      <c r="F39" s="107">
        <f>G39+J39</f>
        <v>3150147</v>
      </c>
      <c r="G39" s="107">
        <f>2965750+20000-53973+53170+115200+50000</f>
        <v>3150147</v>
      </c>
      <c r="H39" s="107"/>
      <c r="I39" s="107"/>
      <c r="J39" s="107"/>
      <c r="K39" s="107">
        <f>L39+O39</f>
        <v>0</v>
      </c>
      <c r="L39" s="107"/>
      <c r="M39" s="107"/>
      <c r="N39" s="107"/>
      <c r="O39" s="107"/>
      <c r="P39" s="107"/>
      <c r="Q39" s="107">
        <f>F39+K39</f>
        <v>3150147</v>
      </c>
      <c r="R39" s="229"/>
      <c r="S39" s="31"/>
      <c r="T39" s="31"/>
      <c r="U39" s="31"/>
      <c r="V39" s="31"/>
      <c r="W39" s="31"/>
      <c r="X39" s="31"/>
      <c r="Y39" s="31"/>
      <c r="Z39" s="31"/>
      <c r="AA39" s="31"/>
      <c r="AB39" s="31"/>
      <c r="AC39" s="31"/>
      <c r="AD39" s="31"/>
      <c r="AE39" s="31"/>
    </row>
    <row r="40" spans="1:31" s="14" customFormat="1" ht="37.5" customHeight="1">
      <c r="A40" s="22"/>
      <c r="B40" s="21" t="s">
        <v>197</v>
      </c>
      <c r="C40" s="21" t="s">
        <v>333</v>
      </c>
      <c r="D40" s="21" t="s">
        <v>334</v>
      </c>
      <c r="E40" s="23" t="s">
        <v>196</v>
      </c>
      <c r="F40" s="106">
        <f>G40+J40</f>
        <v>2304000</v>
      </c>
      <c r="G40" s="106"/>
      <c r="H40" s="106"/>
      <c r="I40" s="106"/>
      <c r="J40" s="106">
        <f>1604000+700000</f>
        <v>2304000</v>
      </c>
      <c r="K40" s="106"/>
      <c r="L40" s="106"/>
      <c r="M40" s="106"/>
      <c r="N40" s="106"/>
      <c r="O40" s="106"/>
      <c r="P40" s="106"/>
      <c r="Q40" s="106">
        <f t="shared" si="2"/>
        <v>2304000</v>
      </c>
      <c r="R40" s="229"/>
      <c r="S40" s="41"/>
      <c r="T40" s="41"/>
      <c r="U40" s="41"/>
      <c r="V40" s="41"/>
      <c r="W40" s="41"/>
      <c r="X40" s="41"/>
      <c r="Y40" s="41"/>
      <c r="Z40" s="41"/>
      <c r="AA40" s="41"/>
      <c r="AB40" s="41"/>
      <c r="AC40" s="41"/>
      <c r="AD40" s="41"/>
      <c r="AE40" s="41"/>
    </row>
    <row r="41" spans="1:31" s="14" customFormat="1" ht="27">
      <c r="A41" s="13"/>
      <c r="B41" s="76" t="s">
        <v>199</v>
      </c>
      <c r="C41" s="76" t="s">
        <v>414</v>
      </c>
      <c r="D41" s="76"/>
      <c r="E41" s="161" t="s">
        <v>198</v>
      </c>
      <c r="F41" s="106">
        <f>F42</f>
        <v>4844336</v>
      </c>
      <c r="G41" s="106">
        <f>G42</f>
        <v>0</v>
      </c>
      <c r="H41" s="106">
        <f aca="true" t="shared" si="11" ref="H41:P41">H42</f>
        <v>0</v>
      </c>
      <c r="I41" s="106">
        <f t="shared" si="11"/>
        <v>0</v>
      </c>
      <c r="J41" s="106">
        <f t="shared" si="11"/>
        <v>4844336</v>
      </c>
      <c r="K41" s="106">
        <f t="shared" si="11"/>
        <v>0</v>
      </c>
      <c r="L41" s="106">
        <f t="shared" si="11"/>
        <v>0</v>
      </c>
      <c r="M41" s="106">
        <f t="shared" si="11"/>
        <v>0</v>
      </c>
      <c r="N41" s="106">
        <f t="shared" si="11"/>
        <v>0</v>
      </c>
      <c r="O41" s="106">
        <f t="shared" si="11"/>
        <v>0</v>
      </c>
      <c r="P41" s="106">
        <f t="shared" si="11"/>
        <v>0</v>
      </c>
      <c r="Q41" s="106">
        <f t="shared" si="2"/>
        <v>4844336</v>
      </c>
      <c r="R41" s="229"/>
      <c r="S41" s="41"/>
      <c r="T41" s="41"/>
      <c r="U41" s="41"/>
      <c r="V41" s="41"/>
      <c r="W41" s="41"/>
      <c r="X41" s="41"/>
      <c r="Y41" s="41"/>
      <c r="Z41" s="41"/>
      <c r="AA41" s="41"/>
      <c r="AB41" s="41"/>
      <c r="AC41" s="41"/>
      <c r="AD41" s="41"/>
      <c r="AE41" s="41"/>
    </row>
    <row r="42" spans="1:31" s="33" customFormat="1" ht="15">
      <c r="A42" s="32"/>
      <c r="B42" s="45" t="s">
        <v>200</v>
      </c>
      <c r="C42" s="45" t="s">
        <v>336</v>
      </c>
      <c r="D42" s="45" t="s">
        <v>337</v>
      </c>
      <c r="E42" s="29" t="s">
        <v>201</v>
      </c>
      <c r="F42" s="107">
        <f>G42+J42</f>
        <v>4844336</v>
      </c>
      <c r="G42" s="107"/>
      <c r="H42" s="107"/>
      <c r="I42" s="107"/>
      <c r="J42" s="107">
        <f>4820000+24336</f>
        <v>4844336</v>
      </c>
      <c r="K42" s="107"/>
      <c r="L42" s="107"/>
      <c r="M42" s="107"/>
      <c r="N42" s="107"/>
      <c r="O42" s="107"/>
      <c r="P42" s="107"/>
      <c r="Q42" s="107">
        <f t="shared" si="2"/>
        <v>4844336</v>
      </c>
      <c r="R42" s="229"/>
      <c r="S42" s="31"/>
      <c r="T42" s="31"/>
      <c r="U42" s="31"/>
      <c r="V42" s="31"/>
      <c r="W42" s="31"/>
      <c r="X42" s="31"/>
      <c r="Y42" s="31"/>
      <c r="Z42" s="31"/>
      <c r="AA42" s="31"/>
      <c r="AB42" s="31"/>
      <c r="AC42" s="31"/>
      <c r="AD42" s="31"/>
      <c r="AE42" s="31"/>
    </row>
    <row r="43" spans="1:31" s="14" customFormat="1" ht="24.75" customHeight="1">
      <c r="A43" s="22"/>
      <c r="B43" s="21" t="s">
        <v>57</v>
      </c>
      <c r="C43" s="21" t="s">
        <v>339</v>
      </c>
      <c r="D43" s="21" t="s">
        <v>340</v>
      </c>
      <c r="E43" s="23" t="s">
        <v>19</v>
      </c>
      <c r="F43" s="106">
        <f>G43+J43</f>
        <v>2710500</v>
      </c>
      <c r="G43" s="106"/>
      <c r="H43" s="106"/>
      <c r="I43" s="106"/>
      <c r="J43" s="106">
        <f>2578500+132000</f>
        <v>2710500</v>
      </c>
      <c r="K43" s="106">
        <f>L43+O43</f>
        <v>1434400</v>
      </c>
      <c r="L43" s="106"/>
      <c r="M43" s="106"/>
      <c r="N43" s="106"/>
      <c r="O43" s="106">
        <f>2000000-565600</f>
        <v>1434400</v>
      </c>
      <c r="P43" s="106">
        <f>2000000-565600</f>
        <v>1434400</v>
      </c>
      <c r="Q43" s="106">
        <f t="shared" si="2"/>
        <v>4144900</v>
      </c>
      <c r="R43" s="229"/>
      <c r="S43" s="41"/>
      <c r="T43" s="41"/>
      <c r="U43" s="41"/>
      <c r="V43" s="41"/>
      <c r="W43" s="41"/>
      <c r="X43" s="41"/>
      <c r="Y43" s="41"/>
      <c r="Z43" s="41"/>
      <c r="AA43" s="41"/>
      <c r="AB43" s="41"/>
      <c r="AC43" s="41"/>
      <c r="AD43" s="41"/>
      <c r="AE43" s="41"/>
    </row>
    <row r="44" spans="1:31" s="14" customFormat="1" ht="24.75" customHeight="1">
      <c r="A44" s="22"/>
      <c r="B44" s="21" t="s">
        <v>555</v>
      </c>
      <c r="C44" s="21" t="s">
        <v>556</v>
      </c>
      <c r="D44" s="21" t="s">
        <v>334</v>
      </c>
      <c r="E44" s="23" t="s">
        <v>557</v>
      </c>
      <c r="F44" s="106">
        <f>F45</f>
        <v>33000</v>
      </c>
      <c r="G44" s="106">
        <f aca="true" t="shared" si="12" ref="G44:P44">G45</f>
        <v>0</v>
      </c>
      <c r="H44" s="106">
        <f t="shared" si="12"/>
        <v>0</v>
      </c>
      <c r="I44" s="106">
        <f t="shared" si="12"/>
        <v>0</v>
      </c>
      <c r="J44" s="106">
        <f t="shared" si="12"/>
        <v>33000</v>
      </c>
      <c r="K44" s="106">
        <f t="shared" si="12"/>
        <v>0</v>
      </c>
      <c r="L44" s="106">
        <f t="shared" si="12"/>
        <v>0</v>
      </c>
      <c r="M44" s="106">
        <f t="shared" si="12"/>
        <v>0</v>
      </c>
      <c r="N44" s="106">
        <f t="shared" si="12"/>
        <v>0</v>
      </c>
      <c r="O44" s="106">
        <f t="shared" si="12"/>
        <v>0</v>
      </c>
      <c r="P44" s="106">
        <f t="shared" si="12"/>
        <v>0</v>
      </c>
      <c r="Q44" s="106">
        <f t="shared" si="2"/>
        <v>33000</v>
      </c>
      <c r="R44" s="229"/>
      <c r="S44" s="41"/>
      <c r="T44" s="41"/>
      <c r="U44" s="41"/>
      <c r="V44" s="41"/>
      <c r="W44" s="41"/>
      <c r="X44" s="41"/>
      <c r="Y44" s="41"/>
      <c r="Z44" s="41"/>
      <c r="AA44" s="41"/>
      <c r="AB44" s="41"/>
      <c r="AC44" s="41"/>
      <c r="AD44" s="41"/>
      <c r="AE44" s="41"/>
    </row>
    <row r="45" spans="1:31" s="33" customFormat="1" ht="46.5" customHeight="1">
      <c r="A45" s="32"/>
      <c r="B45" s="45" t="s">
        <v>555</v>
      </c>
      <c r="C45" s="45" t="s">
        <v>556</v>
      </c>
      <c r="D45" s="45" t="s">
        <v>334</v>
      </c>
      <c r="E45" s="29" t="s">
        <v>558</v>
      </c>
      <c r="F45" s="107">
        <f>G45+J45</f>
        <v>33000</v>
      </c>
      <c r="G45" s="107"/>
      <c r="H45" s="107"/>
      <c r="I45" s="107"/>
      <c r="J45" s="107">
        <v>33000</v>
      </c>
      <c r="K45" s="107">
        <f>L45+O45</f>
        <v>0</v>
      </c>
      <c r="L45" s="107"/>
      <c r="M45" s="107"/>
      <c r="N45" s="107"/>
      <c r="O45" s="107"/>
      <c r="P45" s="107"/>
      <c r="Q45" s="107">
        <f t="shared" si="2"/>
        <v>33000</v>
      </c>
      <c r="R45" s="229"/>
      <c r="S45" s="31"/>
      <c r="T45" s="31"/>
      <c r="U45" s="31"/>
      <c r="V45" s="31"/>
      <c r="W45" s="31"/>
      <c r="X45" s="31"/>
      <c r="Y45" s="31"/>
      <c r="Z45" s="31"/>
      <c r="AA45" s="31"/>
      <c r="AB45" s="31"/>
      <c r="AC45" s="31"/>
      <c r="AD45" s="31"/>
      <c r="AE45" s="31"/>
    </row>
    <row r="46" spans="1:31" s="14" customFormat="1" ht="20.25" customHeight="1">
      <c r="A46" s="13"/>
      <c r="B46" s="76" t="s">
        <v>191</v>
      </c>
      <c r="C46" s="76" t="s">
        <v>313</v>
      </c>
      <c r="D46" s="76"/>
      <c r="E46" s="161" t="s">
        <v>190</v>
      </c>
      <c r="F46" s="106">
        <f>F47</f>
        <v>256584</v>
      </c>
      <c r="G46" s="106">
        <f aca="true" t="shared" si="13" ref="G46:P46">G47</f>
        <v>256584</v>
      </c>
      <c r="H46" s="106">
        <f t="shared" si="13"/>
        <v>0</v>
      </c>
      <c r="I46" s="106">
        <f t="shared" si="13"/>
        <v>0</v>
      </c>
      <c r="J46" s="106">
        <f t="shared" si="13"/>
        <v>0</v>
      </c>
      <c r="K46" s="106">
        <f t="shared" si="13"/>
        <v>0</v>
      </c>
      <c r="L46" s="106">
        <f t="shared" si="13"/>
        <v>0</v>
      </c>
      <c r="M46" s="106">
        <f t="shared" si="13"/>
        <v>0</v>
      </c>
      <c r="N46" s="106">
        <f t="shared" si="13"/>
        <v>0</v>
      </c>
      <c r="O46" s="106">
        <f t="shared" si="13"/>
        <v>0</v>
      </c>
      <c r="P46" s="106">
        <f t="shared" si="13"/>
        <v>0</v>
      </c>
      <c r="Q46" s="106">
        <f t="shared" si="2"/>
        <v>256584</v>
      </c>
      <c r="R46" s="229"/>
      <c r="S46" s="41"/>
      <c r="T46" s="41"/>
      <c r="U46" s="41"/>
      <c r="V46" s="41"/>
      <c r="W46" s="41"/>
      <c r="X46" s="41"/>
      <c r="Y46" s="41"/>
      <c r="Z46" s="41"/>
      <c r="AA46" s="41"/>
      <c r="AB46" s="41"/>
      <c r="AC46" s="41"/>
      <c r="AD46" s="41"/>
      <c r="AE46" s="41"/>
    </row>
    <row r="47" spans="1:31" s="33" customFormat="1" ht="19.5" customHeight="1">
      <c r="A47" s="32"/>
      <c r="B47" s="45" t="s">
        <v>193</v>
      </c>
      <c r="C47" s="45" t="s">
        <v>314</v>
      </c>
      <c r="D47" s="45" t="s">
        <v>315</v>
      </c>
      <c r="E47" s="29" t="s">
        <v>192</v>
      </c>
      <c r="F47" s="107">
        <f>G47+J47</f>
        <v>256584</v>
      </c>
      <c r="G47" s="107">
        <f>198000+49584+9000</f>
        <v>256584</v>
      </c>
      <c r="H47" s="107"/>
      <c r="I47" s="107"/>
      <c r="J47" s="107"/>
      <c r="K47" s="107"/>
      <c r="L47" s="107"/>
      <c r="M47" s="107"/>
      <c r="N47" s="107"/>
      <c r="O47" s="107"/>
      <c r="P47" s="107"/>
      <c r="Q47" s="107">
        <f t="shared" si="2"/>
        <v>256584</v>
      </c>
      <c r="R47" s="229"/>
      <c r="S47" s="31"/>
      <c r="T47" s="31"/>
      <c r="U47" s="31"/>
      <c r="V47" s="31"/>
      <c r="W47" s="31"/>
      <c r="X47" s="31"/>
      <c r="Y47" s="31"/>
      <c r="Z47" s="31"/>
      <c r="AA47" s="31"/>
      <c r="AB47" s="31"/>
      <c r="AC47" s="31"/>
      <c r="AD47" s="31"/>
      <c r="AE47" s="31"/>
    </row>
    <row r="48" spans="1:31" s="14" customFormat="1" ht="15">
      <c r="A48" s="22"/>
      <c r="B48" s="21" t="s">
        <v>59</v>
      </c>
      <c r="C48" s="21" t="s">
        <v>345</v>
      </c>
      <c r="D48" s="21" t="s">
        <v>346</v>
      </c>
      <c r="E48" s="23" t="s">
        <v>58</v>
      </c>
      <c r="F48" s="106">
        <f>G48+J48</f>
        <v>82200</v>
      </c>
      <c r="G48" s="106">
        <v>82200</v>
      </c>
      <c r="H48" s="106"/>
      <c r="I48" s="106"/>
      <c r="J48" s="106"/>
      <c r="K48" s="106">
        <f>L48+O48</f>
        <v>32000</v>
      </c>
      <c r="L48" s="106"/>
      <c r="M48" s="106"/>
      <c r="N48" s="106"/>
      <c r="O48" s="106">
        <v>32000</v>
      </c>
      <c r="P48" s="106">
        <v>32000</v>
      </c>
      <c r="Q48" s="106">
        <f t="shared" si="2"/>
        <v>114200</v>
      </c>
      <c r="R48" s="229"/>
      <c r="S48" s="41"/>
      <c r="T48" s="41"/>
      <c r="U48" s="41"/>
      <c r="V48" s="41"/>
      <c r="W48" s="41"/>
      <c r="X48" s="41"/>
      <c r="Y48" s="41"/>
      <c r="Z48" s="41"/>
      <c r="AA48" s="41"/>
      <c r="AB48" s="41"/>
      <c r="AC48" s="41"/>
      <c r="AD48" s="41"/>
      <c r="AE48" s="41"/>
    </row>
    <row r="49" spans="1:31" s="14" customFormat="1" ht="15">
      <c r="A49" s="13"/>
      <c r="B49" s="76" t="s">
        <v>61</v>
      </c>
      <c r="C49" s="76" t="s">
        <v>347</v>
      </c>
      <c r="D49" s="76" t="s">
        <v>326</v>
      </c>
      <c r="E49" s="161" t="s">
        <v>60</v>
      </c>
      <c r="F49" s="106">
        <f>G49+J49</f>
        <v>0</v>
      </c>
      <c r="G49" s="106"/>
      <c r="H49" s="106"/>
      <c r="I49" s="106"/>
      <c r="J49" s="106"/>
      <c r="K49" s="106">
        <f>L49+O49</f>
        <v>51315300</v>
      </c>
      <c r="L49" s="106"/>
      <c r="M49" s="106"/>
      <c r="N49" s="106"/>
      <c r="O49" s="106">
        <f>9100000+20000000+1082000+13704000+565600+3074000+400000+3389700</f>
        <v>51315300</v>
      </c>
      <c r="P49" s="106">
        <f>9100000+20000000+1082000+13704000+565600+3074000+400000+3389700</f>
        <v>51315300</v>
      </c>
      <c r="Q49" s="106">
        <f t="shared" si="2"/>
        <v>51315300</v>
      </c>
      <c r="R49" s="229"/>
      <c r="S49" s="41"/>
      <c r="T49" s="41"/>
      <c r="U49" s="41"/>
      <c r="V49" s="41"/>
      <c r="W49" s="41"/>
      <c r="X49" s="41"/>
      <c r="Y49" s="41"/>
      <c r="Z49" s="41"/>
      <c r="AA49" s="41"/>
      <c r="AB49" s="41"/>
      <c r="AC49" s="41"/>
      <c r="AD49" s="41"/>
      <c r="AE49" s="41"/>
    </row>
    <row r="50" spans="1:31" s="14" customFormat="1" ht="15">
      <c r="A50" s="13"/>
      <c r="B50" s="76" t="s">
        <v>62</v>
      </c>
      <c r="C50" s="76" t="s">
        <v>348</v>
      </c>
      <c r="D50" s="76" t="s">
        <v>346</v>
      </c>
      <c r="E50" s="161" t="s">
        <v>20</v>
      </c>
      <c r="F50" s="106">
        <f>F51</f>
        <v>794800</v>
      </c>
      <c r="G50" s="106">
        <f aca="true" t="shared" si="14" ref="G50:P50">G51</f>
        <v>794800</v>
      </c>
      <c r="H50" s="106">
        <f t="shared" si="14"/>
        <v>0</v>
      </c>
      <c r="I50" s="106">
        <f t="shared" si="14"/>
        <v>0</v>
      </c>
      <c r="J50" s="106">
        <f t="shared" si="14"/>
        <v>0</v>
      </c>
      <c r="K50" s="106">
        <f t="shared" si="14"/>
        <v>0</v>
      </c>
      <c r="L50" s="106">
        <f t="shared" si="14"/>
        <v>0</v>
      </c>
      <c r="M50" s="106">
        <f t="shared" si="14"/>
        <v>0</v>
      </c>
      <c r="N50" s="106">
        <f t="shared" si="14"/>
        <v>0</v>
      </c>
      <c r="O50" s="106">
        <f t="shared" si="14"/>
        <v>0</v>
      </c>
      <c r="P50" s="106">
        <f t="shared" si="14"/>
        <v>0</v>
      </c>
      <c r="Q50" s="106">
        <f t="shared" si="2"/>
        <v>794800</v>
      </c>
      <c r="R50" s="229"/>
      <c r="S50" s="41"/>
      <c r="T50" s="41"/>
      <c r="U50" s="41"/>
      <c r="V50" s="41"/>
      <c r="W50" s="41"/>
      <c r="X50" s="41"/>
      <c r="Y50" s="41"/>
      <c r="Z50" s="41"/>
      <c r="AA50" s="41"/>
      <c r="AB50" s="41"/>
      <c r="AC50" s="41"/>
      <c r="AD50" s="41"/>
      <c r="AE50" s="41"/>
    </row>
    <row r="51" spans="1:31" s="33" customFormat="1" ht="44.25" customHeight="1">
      <c r="A51" s="32"/>
      <c r="B51" s="45" t="s">
        <v>62</v>
      </c>
      <c r="C51" s="45" t="s">
        <v>348</v>
      </c>
      <c r="D51" s="45" t="s">
        <v>346</v>
      </c>
      <c r="E51" s="29" t="s">
        <v>204</v>
      </c>
      <c r="F51" s="107">
        <f>G51+J51</f>
        <v>794800</v>
      </c>
      <c r="G51" s="107">
        <f>143300-3500+500000+80000+75000</f>
        <v>794800</v>
      </c>
      <c r="H51" s="107"/>
      <c r="I51" s="107"/>
      <c r="J51" s="107"/>
      <c r="K51" s="107">
        <f>L51+O51</f>
        <v>0</v>
      </c>
      <c r="L51" s="107"/>
      <c r="M51" s="107"/>
      <c r="N51" s="107"/>
      <c r="O51" s="107"/>
      <c r="P51" s="107"/>
      <c r="Q51" s="107">
        <f t="shared" si="2"/>
        <v>794800</v>
      </c>
      <c r="R51" s="229"/>
      <c r="S51" s="31"/>
      <c r="T51" s="31"/>
      <c r="U51" s="31"/>
      <c r="V51" s="31"/>
      <c r="W51" s="31"/>
      <c r="X51" s="31"/>
      <c r="Y51" s="31"/>
      <c r="Z51" s="31"/>
      <c r="AA51" s="31"/>
      <c r="AB51" s="31"/>
      <c r="AC51" s="31"/>
      <c r="AD51" s="31"/>
      <c r="AE51" s="31"/>
    </row>
    <row r="52" spans="1:31" s="14" customFormat="1" ht="54.75" customHeight="1">
      <c r="A52" s="13"/>
      <c r="B52" s="76" t="s">
        <v>548</v>
      </c>
      <c r="C52" s="76" t="s">
        <v>544</v>
      </c>
      <c r="D52" s="76" t="s">
        <v>358</v>
      </c>
      <c r="E52" s="161" t="s">
        <v>545</v>
      </c>
      <c r="F52" s="106">
        <f>G52+J52</f>
        <v>22200</v>
      </c>
      <c r="G52" s="106">
        <v>22200</v>
      </c>
      <c r="H52" s="106"/>
      <c r="I52" s="106"/>
      <c r="J52" s="106"/>
      <c r="K52" s="106"/>
      <c r="L52" s="106"/>
      <c r="M52" s="106"/>
      <c r="N52" s="106"/>
      <c r="O52" s="106"/>
      <c r="P52" s="106"/>
      <c r="Q52" s="106">
        <f t="shared" si="2"/>
        <v>22200</v>
      </c>
      <c r="R52" s="229"/>
      <c r="S52" s="41"/>
      <c r="T52" s="41"/>
      <c r="U52" s="41"/>
      <c r="V52" s="41"/>
      <c r="W52" s="41"/>
      <c r="X52" s="41"/>
      <c r="Y52" s="41"/>
      <c r="Z52" s="41"/>
      <c r="AA52" s="41"/>
      <c r="AB52" s="41"/>
      <c r="AC52" s="41"/>
      <c r="AD52" s="41"/>
      <c r="AE52" s="41"/>
    </row>
    <row r="53" spans="1:31" s="14" customFormat="1" ht="27">
      <c r="A53" s="22"/>
      <c r="B53" s="21" t="s">
        <v>66</v>
      </c>
      <c r="C53" s="21" t="s">
        <v>355</v>
      </c>
      <c r="D53" s="21" t="s">
        <v>356</v>
      </c>
      <c r="E53" s="23" t="s">
        <v>65</v>
      </c>
      <c r="F53" s="106">
        <f>G53+J53</f>
        <v>345692</v>
      </c>
      <c r="G53" s="106">
        <f>207600+1792+136300</f>
        <v>345692</v>
      </c>
      <c r="H53" s="106"/>
      <c r="I53" s="106">
        <v>5300</v>
      </c>
      <c r="J53" s="106"/>
      <c r="K53" s="106">
        <f>L53+O53</f>
        <v>385000</v>
      </c>
      <c r="L53" s="106"/>
      <c r="M53" s="106"/>
      <c r="N53" s="106"/>
      <c r="O53" s="106">
        <v>385000</v>
      </c>
      <c r="P53" s="106">
        <v>385000</v>
      </c>
      <c r="Q53" s="106">
        <f t="shared" si="2"/>
        <v>730692</v>
      </c>
      <c r="R53" s="229"/>
      <c r="S53" s="41"/>
      <c r="T53" s="41"/>
      <c r="U53" s="41"/>
      <c r="V53" s="41"/>
      <c r="W53" s="41"/>
      <c r="X53" s="41"/>
      <c r="Y53" s="41"/>
      <c r="Z53" s="41"/>
      <c r="AA53" s="41"/>
      <c r="AB53" s="41"/>
      <c r="AC53" s="41"/>
      <c r="AD53" s="41"/>
      <c r="AE53" s="41"/>
    </row>
    <row r="54" spans="1:31" s="14" customFormat="1" ht="19.5" customHeight="1">
      <c r="A54" s="13"/>
      <c r="B54" s="76" t="s">
        <v>64</v>
      </c>
      <c r="C54" s="76" t="s">
        <v>357</v>
      </c>
      <c r="D54" s="76" t="s">
        <v>358</v>
      </c>
      <c r="E54" s="161" t="s">
        <v>63</v>
      </c>
      <c r="F54" s="106">
        <f>G54+J54</f>
        <v>1274578</v>
      </c>
      <c r="G54" s="106">
        <f>1308300-38420+1698+3000</f>
        <v>1274578</v>
      </c>
      <c r="H54" s="106">
        <f>997400-32000</f>
        <v>965400</v>
      </c>
      <c r="I54" s="106">
        <f>46420+480+1698+3000</f>
        <v>51598</v>
      </c>
      <c r="J54" s="106"/>
      <c r="K54" s="106">
        <f>L54+O54</f>
        <v>4900</v>
      </c>
      <c r="L54" s="106">
        <v>4900</v>
      </c>
      <c r="M54" s="106"/>
      <c r="N54" s="106">
        <v>1000</v>
      </c>
      <c r="O54" s="106"/>
      <c r="P54" s="106"/>
      <c r="Q54" s="106">
        <f t="shared" si="2"/>
        <v>1279478</v>
      </c>
      <c r="R54" s="229"/>
      <c r="S54" s="41"/>
      <c r="T54" s="41"/>
      <c r="U54" s="41"/>
      <c r="V54" s="41"/>
      <c r="W54" s="41"/>
      <c r="X54" s="41"/>
      <c r="Y54" s="41"/>
      <c r="Z54" s="41"/>
      <c r="AA54" s="41"/>
      <c r="AB54" s="41"/>
      <c r="AC54" s="41"/>
      <c r="AD54" s="41"/>
      <c r="AE54" s="41"/>
    </row>
    <row r="55" spans="1:31" s="14" customFormat="1" ht="49.5" customHeight="1">
      <c r="A55" s="13"/>
      <c r="B55" s="76" t="s">
        <v>530</v>
      </c>
      <c r="C55" s="76" t="s">
        <v>532</v>
      </c>
      <c r="D55" s="76" t="s">
        <v>249</v>
      </c>
      <c r="E55" s="161" t="s">
        <v>531</v>
      </c>
      <c r="F55" s="106">
        <f>G55+J55</f>
        <v>1098942</v>
      </c>
      <c r="G55" s="106">
        <f>253500+70000+80000+289573+138189+177680+90000</f>
        <v>1098942</v>
      </c>
      <c r="H55" s="106"/>
      <c r="I55" s="106"/>
      <c r="J55" s="106"/>
      <c r="K55" s="106">
        <f>L55+O55</f>
        <v>4076070</v>
      </c>
      <c r="L55" s="106"/>
      <c r="M55" s="106"/>
      <c r="N55" s="106"/>
      <c r="O55" s="106">
        <f>1320000+500000+20000+50427+385643+1800000</f>
        <v>4076070</v>
      </c>
      <c r="P55" s="106">
        <f>1320000+500000+20000+50427+385643+1800000</f>
        <v>4076070</v>
      </c>
      <c r="Q55" s="106">
        <f>F55+K55</f>
        <v>5175012</v>
      </c>
      <c r="R55" s="229"/>
      <c r="S55" s="41"/>
      <c r="T55" s="41"/>
      <c r="U55" s="41"/>
      <c r="V55" s="41"/>
      <c r="W55" s="41"/>
      <c r="X55" s="41"/>
      <c r="Y55" s="41"/>
      <c r="Z55" s="41"/>
      <c r="AA55" s="41"/>
      <c r="AB55" s="41"/>
      <c r="AC55" s="41"/>
      <c r="AD55" s="41"/>
      <c r="AE55" s="41"/>
    </row>
    <row r="56" spans="1:31" s="14" customFormat="1" ht="21.75" customHeight="1">
      <c r="A56" s="13"/>
      <c r="B56" s="76" t="s">
        <v>67</v>
      </c>
      <c r="C56" s="76" t="s">
        <v>375</v>
      </c>
      <c r="D56" s="76" t="s">
        <v>371</v>
      </c>
      <c r="E56" s="161" t="s">
        <v>16</v>
      </c>
      <c r="F56" s="106">
        <f>F57+F58+F59+F60+F61+F62+F63+F64</f>
        <v>7910763</v>
      </c>
      <c r="G56" s="106">
        <f aca="true" t="shared" si="15" ref="G56:Q56">G57+G58+G59+G60+G61+G62+G63+G64</f>
        <v>7910763</v>
      </c>
      <c r="H56" s="106">
        <f t="shared" si="15"/>
        <v>0</v>
      </c>
      <c r="I56" s="106">
        <f t="shared" si="15"/>
        <v>261530</v>
      </c>
      <c r="J56" s="106">
        <f t="shared" si="15"/>
        <v>0</v>
      </c>
      <c r="K56" s="106">
        <f t="shared" si="15"/>
        <v>3217311</v>
      </c>
      <c r="L56" s="106">
        <f t="shared" si="15"/>
        <v>0</v>
      </c>
      <c r="M56" s="106">
        <f t="shared" si="15"/>
        <v>0</v>
      </c>
      <c r="N56" s="106">
        <f t="shared" si="15"/>
        <v>0</v>
      </c>
      <c r="O56" s="106">
        <f t="shared" si="15"/>
        <v>3217311</v>
      </c>
      <c r="P56" s="106">
        <f t="shared" si="15"/>
        <v>3217311</v>
      </c>
      <c r="Q56" s="106">
        <f t="shared" si="15"/>
        <v>11128074</v>
      </c>
      <c r="R56" s="229"/>
      <c r="S56" s="41"/>
      <c r="T56" s="41"/>
      <c r="U56" s="41"/>
      <c r="V56" s="41"/>
      <c r="W56" s="41"/>
      <c r="X56" s="41"/>
      <c r="Y56" s="41"/>
      <c r="Z56" s="41"/>
      <c r="AA56" s="41"/>
      <c r="AB56" s="41"/>
      <c r="AC56" s="41"/>
      <c r="AD56" s="41"/>
      <c r="AE56" s="41"/>
    </row>
    <row r="57" spans="1:31" s="33" customFormat="1" ht="33.75" customHeight="1">
      <c r="A57" s="32"/>
      <c r="B57" s="45" t="s">
        <v>67</v>
      </c>
      <c r="C57" s="45" t="s">
        <v>375</v>
      </c>
      <c r="D57" s="28" t="s">
        <v>371</v>
      </c>
      <c r="E57" s="35" t="s">
        <v>245</v>
      </c>
      <c r="F57" s="107">
        <f aca="true" t="shared" si="16" ref="F57:F68">G57+J57</f>
        <v>692310</v>
      </c>
      <c r="G57" s="107">
        <f>607700+38239+2089+130000-277718+15000+177000</f>
        <v>692310</v>
      </c>
      <c r="H57" s="107"/>
      <c r="I57" s="107">
        <f>223291+38239</f>
        <v>261530</v>
      </c>
      <c r="J57" s="107"/>
      <c r="K57" s="107">
        <f aca="true" t="shared" si="17" ref="K57:K68">L57+O57</f>
        <v>0</v>
      </c>
      <c r="L57" s="107"/>
      <c r="M57" s="107"/>
      <c r="N57" s="107"/>
      <c r="O57" s="107">
        <f>177000-177000</f>
        <v>0</v>
      </c>
      <c r="P57" s="107">
        <f>177000-177000</f>
        <v>0</v>
      </c>
      <c r="Q57" s="107">
        <f t="shared" si="2"/>
        <v>692310</v>
      </c>
      <c r="R57" s="229"/>
      <c r="S57" s="31"/>
      <c r="T57" s="31"/>
      <c r="U57" s="31"/>
      <c r="V57" s="31"/>
      <c r="W57" s="31"/>
      <c r="X57" s="31"/>
      <c r="Y57" s="31"/>
      <c r="Z57" s="31"/>
      <c r="AA57" s="31"/>
      <c r="AB57" s="31"/>
      <c r="AC57" s="31"/>
      <c r="AD57" s="31"/>
      <c r="AE57" s="31"/>
    </row>
    <row r="58" spans="1:31" s="33" customFormat="1" ht="31.5" customHeight="1">
      <c r="A58" s="32"/>
      <c r="B58" s="45" t="s">
        <v>67</v>
      </c>
      <c r="C58" s="45" t="s">
        <v>375</v>
      </c>
      <c r="D58" s="28" t="s">
        <v>371</v>
      </c>
      <c r="E58" s="35" t="s">
        <v>424</v>
      </c>
      <c r="F58" s="107">
        <f t="shared" si="16"/>
        <v>160580</v>
      </c>
      <c r="G58" s="107">
        <f>80290+80290</f>
        <v>160580</v>
      </c>
      <c r="H58" s="107"/>
      <c r="I58" s="107"/>
      <c r="J58" s="107"/>
      <c r="K58" s="107">
        <f t="shared" si="17"/>
        <v>0</v>
      </c>
      <c r="L58" s="107"/>
      <c r="M58" s="107"/>
      <c r="N58" s="107"/>
      <c r="O58" s="107"/>
      <c r="P58" s="107"/>
      <c r="Q58" s="107">
        <f t="shared" si="2"/>
        <v>160580</v>
      </c>
      <c r="R58" s="229"/>
      <c r="S58" s="31"/>
      <c r="T58" s="31"/>
      <c r="U58" s="31"/>
      <c r="V58" s="31"/>
      <c r="W58" s="31"/>
      <c r="X58" s="31"/>
      <c r="Y58" s="31"/>
      <c r="Z58" s="31"/>
      <c r="AA58" s="31"/>
      <c r="AB58" s="31"/>
      <c r="AC58" s="31"/>
      <c r="AD58" s="31"/>
      <c r="AE58" s="31"/>
    </row>
    <row r="59" spans="1:31" s="33" customFormat="1" ht="27">
      <c r="A59" s="32"/>
      <c r="B59" s="45" t="s">
        <v>67</v>
      </c>
      <c r="C59" s="45" t="s">
        <v>375</v>
      </c>
      <c r="D59" s="28" t="s">
        <v>371</v>
      </c>
      <c r="E59" s="35" t="s">
        <v>504</v>
      </c>
      <c r="F59" s="107">
        <f t="shared" si="16"/>
        <v>3975600</v>
      </c>
      <c r="G59" s="107">
        <f>194200+843700-194200+3021900+110000</f>
        <v>3975600</v>
      </c>
      <c r="H59" s="107"/>
      <c r="I59" s="107"/>
      <c r="J59" s="107"/>
      <c r="K59" s="107">
        <f t="shared" si="17"/>
        <v>3083718</v>
      </c>
      <c r="L59" s="107"/>
      <c r="M59" s="107"/>
      <c r="N59" s="107"/>
      <c r="O59" s="107">
        <f>90000+2997000+229000-510000+277718</f>
        <v>3083718</v>
      </c>
      <c r="P59" s="107">
        <f>90000+2997000+229000-510000+277718</f>
        <v>3083718</v>
      </c>
      <c r="Q59" s="107">
        <f>F59+K59</f>
        <v>7059318</v>
      </c>
      <c r="R59" s="229"/>
      <c r="S59" s="31"/>
      <c r="T59" s="31"/>
      <c r="U59" s="31"/>
      <c r="V59" s="31"/>
      <c r="W59" s="31"/>
      <c r="X59" s="31"/>
      <c r="Y59" s="31"/>
      <c r="Z59" s="31"/>
      <c r="AA59" s="31"/>
      <c r="AB59" s="31"/>
      <c r="AC59" s="31"/>
      <c r="AD59" s="31"/>
      <c r="AE59" s="31"/>
    </row>
    <row r="60" spans="1:31" s="33" customFormat="1" ht="42.75" customHeight="1">
      <c r="A60" s="32"/>
      <c r="B60" s="45" t="s">
        <v>67</v>
      </c>
      <c r="C60" s="45" t="s">
        <v>375</v>
      </c>
      <c r="D60" s="28" t="s">
        <v>371</v>
      </c>
      <c r="E60" s="35" t="s">
        <v>204</v>
      </c>
      <c r="F60" s="107">
        <f t="shared" si="16"/>
        <v>1291350</v>
      </c>
      <c r="G60" s="107">
        <f>962400+50000-50000+188170+140780</f>
        <v>1291350</v>
      </c>
      <c r="H60" s="107"/>
      <c r="I60" s="107"/>
      <c r="J60" s="107"/>
      <c r="K60" s="107">
        <f t="shared" si="17"/>
        <v>26000</v>
      </c>
      <c r="L60" s="107"/>
      <c r="M60" s="107"/>
      <c r="N60" s="107"/>
      <c r="O60" s="107">
        <v>26000</v>
      </c>
      <c r="P60" s="107">
        <v>26000</v>
      </c>
      <c r="Q60" s="107">
        <f t="shared" si="2"/>
        <v>1317350</v>
      </c>
      <c r="R60" s="229"/>
      <c r="S60" s="31"/>
      <c r="T60" s="31"/>
      <c r="U60" s="31"/>
      <c r="V60" s="31"/>
      <c r="W60" s="31"/>
      <c r="X60" s="31"/>
      <c r="Y60" s="31"/>
      <c r="Z60" s="31"/>
      <c r="AA60" s="31"/>
      <c r="AB60" s="31"/>
      <c r="AC60" s="31"/>
      <c r="AD60" s="31"/>
      <c r="AE60" s="31"/>
    </row>
    <row r="61" spans="1:31" s="33" customFormat="1" ht="36.75" customHeight="1">
      <c r="A61" s="32"/>
      <c r="B61" s="45" t="s">
        <v>67</v>
      </c>
      <c r="C61" s="45" t="s">
        <v>375</v>
      </c>
      <c r="D61" s="28" t="s">
        <v>371</v>
      </c>
      <c r="E61" s="35" t="s">
        <v>205</v>
      </c>
      <c r="F61" s="107">
        <f t="shared" si="16"/>
        <v>1515923</v>
      </c>
      <c r="G61" s="107">
        <f>1229100+80000-29921+236744</f>
        <v>1515923</v>
      </c>
      <c r="H61" s="107"/>
      <c r="I61" s="107"/>
      <c r="J61" s="107"/>
      <c r="K61" s="107">
        <f t="shared" si="17"/>
        <v>107593</v>
      </c>
      <c r="L61" s="107"/>
      <c r="M61" s="107"/>
      <c r="N61" s="107"/>
      <c r="O61" s="107">
        <v>107593</v>
      </c>
      <c r="P61" s="107">
        <v>107593</v>
      </c>
      <c r="Q61" s="107">
        <f t="shared" si="2"/>
        <v>1623516</v>
      </c>
      <c r="R61" s="229"/>
      <c r="S61" s="31"/>
      <c r="T61" s="31"/>
      <c r="U61" s="31"/>
      <c r="V61" s="31"/>
      <c r="W61" s="31"/>
      <c r="X61" s="31"/>
      <c r="Y61" s="31"/>
      <c r="Z61" s="31"/>
      <c r="AA61" s="31"/>
      <c r="AB61" s="31"/>
      <c r="AC61" s="31"/>
      <c r="AD61" s="31"/>
      <c r="AE61" s="31"/>
    </row>
    <row r="62" spans="1:31" s="33" customFormat="1" ht="46.5" customHeight="1">
      <c r="A62" s="32"/>
      <c r="B62" s="45" t="s">
        <v>67</v>
      </c>
      <c r="C62" s="45" t="s">
        <v>375</v>
      </c>
      <c r="D62" s="28" t="s">
        <v>371</v>
      </c>
      <c r="E62" s="35" t="s">
        <v>541</v>
      </c>
      <c r="F62" s="107">
        <f t="shared" si="16"/>
        <v>125000</v>
      </c>
      <c r="G62" s="107">
        <f>100000+25000</f>
        <v>125000</v>
      </c>
      <c r="H62" s="107"/>
      <c r="I62" s="107"/>
      <c r="J62" s="107"/>
      <c r="K62" s="107">
        <f t="shared" si="17"/>
        <v>0</v>
      </c>
      <c r="L62" s="107"/>
      <c r="M62" s="107"/>
      <c r="N62" s="107"/>
      <c r="O62" s="107"/>
      <c r="P62" s="107"/>
      <c r="Q62" s="107">
        <f>F62+K62</f>
        <v>125000</v>
      </c>
      <c r="R62" s="229">
        <v>19</v>
      </c>
      <c r="S62" s="31"/>
      <c r="T62" s="31"/>
      <c r="U62" s="31"/>
      <c r="V62" s="31"/>
      <c r="W62" s="31"/>
      <c r="X62" s="31"/>
      <c r="Y62" s="31"/>
      <c r="Z62" s="31"/>
      <c r="AA62" s="31"/>
      <c r="AB62" s="31"/>
      <c r="AC62" s="31"/>
      <c r="AD62" s="31"/>
      <c r="AE62" s="31"/>
    </row>
    <row r="63" spans="1:31" s="33" customFormat="1" ht="59.25" customHeight="1">
      <c r="A63" s="32"/>
      <c r="B63" s="45" t="s">
        <v>67</v>
      </c>
      <c r="C63" s="45" t="s">
        <v>375</v>
      </c>
      <c r="D63" s="28" t="s">
        <v>371</v>
      </c>
      <c r="E63" s="35" t="s">
        <v>542</v>
      </c>
      <c r="F63" s="107">
        <f t="shared" si="16"/>
        <v>100000</v>
      </c>
      <c r="G63" s="107">
        <v>100000</v>
      </c>
      <c r="H63" s="107"/>
      <c r="I63" s="107"/>
      <c r="J63" s="107"/>
      <c r="K63" s="107">
        <f t="shared" si="17"/>
        <v>0</v>
      </c>
      <c r="L63" s="107"/>
      <c r="M63" s="107"/>
      <c r="N63" s="107"/>
      <c r="O63" s="107"/>
      <c r="P63" s="107"/>
      <c r="Q63" s="107">
        <f>F63+K63</f>
        <v>100000</v>
      </c>
      <c r="R63" s="229"/>
      <c r="S63" s="31"/>
      <c r="T63" s="31"/>
      <c r="U63" s="31"/>
      <c r="V63" s="31"/>
      <c r="W63" s="31"/>
      <c r="X63" s="31"/>
      <c r="Y63" s="31"/>
      <c r="Z63" s="31"/>
      <c r="AA63" s="31"/>
      <c r="AB63" s="31"/>
      <c r="AC63" s="31"/>
      <c r="AD63" s="31"/>
      <c r="AE63" s="31"/>
    </row>
    <row r="64" spans="1:31" s="33" customFormat="1" ht="59.25" customHeight="1">
      <c r="A64" s="32"/>
      <c r="B64" s="45" t="s">
        <v>67</v>
      </c>
      <c r="C64" s="45" t="s">
        <v>375</v>
      </c>
      <c r="D64" s="28" t="s">
        <v>371</v>
      </c>
      <c r="E64" s="35" t="s">
        <v>543</v>
      </c>
      <c r="F64" s="107">
        <f t="shared" si="16"/>
        <v>50000</v>
      </c>
      <c r="G64" s="107">
        <v>50000</v>
      </c>
      <c r="H64" s="107"/>
      <c r="I64" s="107"/>
      <c r="J64" s="107"/>
      <c r="K64" s="107"/>
      <c r="L64" s="107"/>
      <c r="M64" s="107"/>
      <c r="N64" s="107"/>
      <c r="O64" s="107"/>
      <c r="P64" s="107"/>
      <c r="Q64" s="107">
        <f>F64+K64</f>
        <v>50000</v>
      </c>
      <c r="R64" s="229"/>
      <c r="S64" s="31"/>
      <c r="T64" s="31"/>
      <c r="U64" s="31"/>
      <c r="V64" s="31"/>
      <c r="W64" s="31"/>
      <c r="X64" s="31"/>
      <c r="Y64" s="31"/>
      <c r="Z64" s="31"/>
      <c r="AA64" s="31"/>
      <c r="AB64" s="31"/>
      <c r="AC64" s="31"/>
      <c r="AD64" s="31"/>
      <c r="AE64" s="31"/>
    </row>
    <row r="65" spans="1:31" s="33" customFormat="1" ht="29.25" customHeight="1">
      <c r="A65" s="32"/>
      <c r="B65" s="21" t="s">
        <v>540</v>
      </c>
      <c r="C65" s="25">
        <v>8800</v>
      </c>
      <c r="D65" s="26" t="s">
        <v>249</v>
      </c>
      <c r="E65" s="157" t="s">
        <v>30</v>
      </c>
      <c r="F65" s="106">
        <f>F66+F67</f>
        <v>203722</v>
      </c>
      <c r="G65" s="106">
        <f aca="true" t="shared" si="18" ref="G65:Q65">G66+G67</f>
        <v>203722</v>
      </c>
      <c r="H65" s="106">
        <f t="shared" si="18"/>
        <v>0</v>
      </c>
      <c r="I65" s="106">
        <f t="shared" si="18"/>
        <v>0</v>
      </c>
      <c r="J65" s="106">
        <f t="shared" si="18"/>
        <v>0</v>
      </c>
      <c r="K65" s="106">
        <f t="shared" si="18"/>
        <v>54200</v>
      </c>
      <c r="L65" s="106">
        <f t="shared" si="18"/>
        <v>0</v>
      </c>
      <c r="M65" s="106">
        <f t="shared" si="18"/>
        <v>0</v>
      </c>
      <c r="N65" s="106">
        <f t="shared" si="18"/>
        <v>0</v>
      </c>
      <c r="O65" s="106">
        <f t="shared" si="18"/>
        <v>54200</v>
      </c>
      <c r="P65" s="106">
        <f t="shared" si="18"/>
        <v>54200</v>
      </c>
      <c r="Q65" s="106">
        <f t="shared" si="18"/>
        <v>257922</v>
      </c>
      <c r="R65" s="229"/>
      <c r="S65" s="31"/>
      <c r="T65" s="31"/>
      <c r="U65" s="31"/>
      <c r="V65" s="31"/>
      <c r="W65" s="31"/>
      <c r="X65" s="31"/>
      <c r="Y65" s="31"/>
      <c r="Z65" s="31"/>
      <c r="AA65" s="31"/>
      <c r="AB65" s="31"/>
      <c r="AC65" s="31"/>
      <c r="AD65" s="31"/>
      <c r="AE65" s="31"/>
    </row>
    <row r="66" spans="1:31" s="33" customFormat="1" ht="30" customHeight="1">
      <c r="A66" s="32"/>
      <c r="B66" s="45" t="s">
        <v>540</v>
      </c>
      <c r="C66" s="171">
        <v>8800</v>
      </c>
      <c r="D66" s="45" t="s">
        <v>249</v>
      </c>
      <c r="E66" s="37" t="s">
        <v>559</v>
      </c>
      <c r="F66" s="107">
        <f t="shared" si="16"/>
        <v>119492</v>
      </c>
      <c r="G66" s="107">
        <v>119492</v>
      </c>
      <c r="H66" s="107"/>
      <c r="I66" s="107"/>
      <c r="J66" s="107"/>
      <c r="K66" s="106">
        <f t="shared" si="17"/>
        <v>0</v>
      </c>
      <c r="L66" s="107"/>
      <c r="M66" s="107"/>
      <c r="N66" s="107"/>
      <c r="O66" s="107"/>
      <c r="P66" s="107"/>
      <c r="Q66" s="107">
        <f>F66+K66</f>
        <v>119492</v>
      </c>
      <c r="R66" s="229"/>
      <c r="S66" s="31"/>
      <c r="T66" s="31"/>
      <c r="U66" s="31"/>
      <c r="V66" s="31"/>
      <c r="W66" s="31"/>
      <c r="X66" s="31"/>
      <c r="Y66" s="31"/>
      <c r="Z66" s="31"/>
      <c r="AA66" s="31"/>
      <c r="AB66" s="31"/>
      <c r="AC66" s="31"/>
      <c r="AD66" s="31"/>
      <c r="AE66" s="31"/>
    </row>
    <row r="67" spans="1:31" s="33" customFormat="1" ht="30" customHeight="1">
      <c r="A67" s="32"/>
      <c r="B67" s="45" t="s">
        <v>540</v>
      </c>
      <c r="C67" s="171">
        <v>8800</v>
      </c>
      <c r="D67" s="45" t="s">
        <v>249</v>
      </c>
      <c r="E67" s="37" t="s">
        <v>567</v>
      </c>
      <c r="F67" s="107">
        <f t="shared" si="16"/>
        <v>84230</v>
      </c>
      <c r="G67" s="107">
        <f>22800+61430</f>
        <v>84230</v>
      </c>
      <c r="H67" s="107"/>
      <c r="I67" s="107"/>
      <c r="J67" s="107"/>
      <c r="K67" s="106">
        <f t="shared" si="17"/>
        <v>54200</v>
      </c>
      <c r="L67" s="107"/>
      <c r="M67" s="107"/>
      <c r="N67" s="107"/>
      <c r="O67" s="107">
        <v>54200</v>
      </c>
      <c r="P67" s="107">
        <v>54200</v>
      </c>
      <c r="Q67" s="107">
        <f>F67+K67</f>
        <v>138430</v>
      </c>
      <c r="R67" s="229"/>
      <c r="S67" s="31"/>
      <c r="T67" s="31"/>
      <c r="U67" s="31"/>
      <c r="V67" s="31"/>
      <c r="W67" s="31"/>
      <c r="X67" s="31"/>
      <c r="Y67" s="31"/>
      <c r="Z67" s="31"/>
      <c r="AA67" s="31"/>
      <c r="AB67" s="31"/>
      <c r="AC67" s="31"/>
      <c r="AD67" s="31"/>
      <c r="AE67" s="31"/>
    </row>
    <row r="68" spans="1:31" s="14" customFormat="1" ht="35.25" customHeight="1">
      <c r="A68" s="22"/>
      <c r="B68" s="26" t="s">
        <v>223</v>
      </c>
      <c r="C68" s="26" t="s">
        <v>367</v>
      </c>
      <c r="D68" s="26" t="s">
        <v>368</v>
      </c>
      <c r="E68" s="23" t="s">
        <v>217</v>
      </c>
      <c r="F68" s="106">
        <f t="shared" si="16"/>
        <v>0</v>
      </c>
      <c r="G68" s="106"/>
      <c r="H68" s="106"/>
      <c r="I68" s="106"/>
      <c r="J68" s="106"/>
      <c r="K68" s="106">
        <f t="shared" si="17"/>
        <v>58563</v>
      </c>
      <c r="L68" s="106">
        <v>58563</v>
      </c>
      <c r="M68" s="106"/>
      <c r="N68" s="106"/>
      <c r="O68" s="106"/>
      <c r="P68" s="106"/>
      <c r="Q68" s="106">
        <f t="shared" si="2"/>
        <v>58563</v>
      </c>
      <c r="R68" s="229"/>
      <c r="S68" s="41"/>
      <c r="T68" s="41"/>
      <c r="U68" s="41"/>
      <c r="V68" s="41"/>
      <c r="W68" s="41"/>
      <c r="X68" s="41"/>
      <c r="Y68" s="41"/>
      <c r="Z68" s="41"/>
      <c r="AA68" s="41"/>
      <c r="AB68" s="41"/>
      <c r="AC68" s="41"/>
      <c r="AD68" s="41"/>
      <c r="AE68" s="41"/>
    </row>
    <row r="69" spans="1:31" s="14" customFormat="1" ht="41.25">
      <c r="A69" s="13"/>
      <c r="B69" s="76" t="s">
        <v>509</v>
      </c>
      <c r="C69" s="76" t="s">
        <v>370</v>
      </c>
      <c r="D69" s="76" t="s">
        <v>371</v>
      </c>
      <c r="E69" s="161" t="s">
        <v>21</v>
      </c>
      <c r="F69" s="106">
        <f>G69+J69</f>
        <v>0</v>
      </c>
      <c r="G69" s="106"/>
      <c r="H69" s="106"/>
      <c r="I69" s="106"/>
      <c r="J69" s="106"/>
      <c r="K69" s="106">
        <f>L69+O69</f>
        <v>68414</v>
      </c>
      <c r="L69" s="106">
        <v>68414</v>
      </c>
      <c r="M69" s="106"/>
      <c r="N69" s="106"/>
      <c r="O69" s="106"/>
      <c r="P69" s="106"/>
      <c r="Q69" s="106">
        <f t="shared" si="2"/>
        <v>68414</v>
      </c>
      <c r="R69" s="229"/>
      <c r="S69" s="41"/>
      <c r="T69" s="41"/>
      <c r="U69" s="41"/>
      <c r="V69" s="41"/>
      <c r="W69" s="41"/>
      <c r="X69" s="41"/>
      <c r="Y69" s="41"/>
      <c r="Z69" s="41"/>
      <c r="AA69" s="41"/>
      <c r="AB69" s="41"/>
      <c r="AC69" s="41"/>
      <c r="AD69" s="41"/>
      <c r="AE69" s="41"/>
    </row>
    <row r="70" spans="1:31" s="104" customFormat="1" ht="24" customHeight="1">
      <c r="A70" s="101"/>
      <c r="B70" s="15" t="s">
        <v>78</v>
      </c>
      <c r="C70" s="15"/>
      <c r="D70" s="15"/>
      <c r="E70" s="16" t="s">
        <v>68</v>
      </c>
      <c r="F70" s="111">
        <f>F71</f>
        <v>668803371.8</v>
      </c>
      <c r="G70" s="111">
        <f aca="true" t="shared" si="19" ref="G70:P70">G71</f>
        <v>668803371.8</v>
      </c>
      <c r="H70" s="111">
        <f t="shared" si="19"/>
        <v>415763242</v>
      </c>
      <c r="I70" s="111">
        <f t="shared" si="19"/>
        <v>82254330</v>
      </c>
      <c r="J70" s="111">
        <f t="shared" si="19"/>
        <v>0</v>
      </c>
      <c r="K70" s="111">
        <f t="shared" si="19"/>
        <v>77043680.05</v>
      </c>
      <c r="L70" s="111">
        <f t="shared" si="19"/>
        <v>39504566</v>
      </c>
      <c r="M70" s="111">
        <f t="shared" si="19"/>
        <v>2314390</v>
      </c>
      <c r="N70" s="111">
        <f t="shared" si="19"/>
        <v>2237685</v>
      </c>
      <c r="O70" s="111">
        <f t="shared" si="19"/>
        <v>37539114.05</v>
      </c>
      <c r="P70" s="111">
        <f t="shared" si="19"/>
        <v>26705494.05</v>
      </c>
      <c r="Q70" s="111">
        <f t="shared" si="2"/>
        <v>745847051.8499999</v>
      </c>
      <c r="R70" s="229"/>
      <c r="S70" s="103"/>
      <c r="T70" s="103"/>
      <c r="U70" s="103"/>
      <c r="V70" s="103"/>
      <c r="W70" s="103"/>
      <c r="X70" s="103"/>
      <c r="Y70" s="103"/>
      <c r="Z70" s="103"/>
      <c r="AA70" s="103"/>
      <c r="AB70" s="103"/>
      <c r="AC70" s="103"/>
      <c r="AD70" s="103"/>
      <c r="AE70" s="103"/>
    </row>
    <row r="71" spans="1:31" s="164" customFormat="1" ht="19.5" customHeight="1">
      <c r="A71" s="162"/>
      <c r="B71" s="117" t="s">
        <v>570</v>
      </c>
      <c r="C71" s="117"/>
      <c r="D71" s="117"/>
      <c r="E71" s="118" t="s">
        <v>68</v>
      </c>
      <c r="F71" s="116">
        <f aca="true" t="shared" si="20" ref="F71:P71">F73+F74+F76+F78+F80+F82+F85+F86+F87+F88+F89+F91+F92+F93+F83+F97+F98+F95</f>
        <v>668803371.8</v>
      </c>
      <c r="G71" s="116">
        <f t="shared" si="20"/>
        <v>668803371.8</v>
      </c>
      <c r="H71" s="116">
        <f t="shared" si="20"/>
        <v>415763242</v>
      </c>
      <c r="I71" s="116">
        <f t="shared" si="20"/>
        <v>82254330</v>
      </c>
      <c r="J71" s="116">
        <f t="shared" si="20"/>
        <v>0</v>
      </c>
      <c r="K71" s="116">
        <f t="shared" si="20"/>
        <v>77043680.05</v>
      </c>
      <c r="L71" s="116">
        <f t="shared" si="20"/>
        <v>39504566</v>
      </c>
      <c r="M71" s="116">
        <f t="shared" si="20"/>
        <v>2314390</v>
      </c>
      <c r="N71" s="116">
        <f t="shared" si="20"/>
        <v>2237685</v>
      </c>
      <c r="O71" s="116">
        <f t="shared" si="20"/>
        <v>37539114.05</v>
      </c>
      <c r="P71" s="116">
        <f t="shared" si="20"/>
        <v>26705494.05</v>
      </c>
      <c r="Q71" s="116">
        <f t="shared" si="2"/>
        <v>745847051.8499999</v>
      </c>
      <c r="R71" s="229"/>
      <c r="S71" s="163"/>
      <c r="T71" s="163"/>
      <c r="U71" s="163"/>
      <c r="V71" s="163"/>
      <c r="W71" s="163"/>
      <c r="X71" s="163"/>
      <c r="Y71" s="163"/>
      <c r="Z71" s="163"/>
      <c r="AA71" s="163"/>
      <c r="AB71" s="163"/>
      <c r="AC71" s="163"/>
      <c r="AD71" s="163"/>
      <c r="AE71" s="163"/>
    </row>
    <row r="72" spans="1:31" s="14" customFormat="1" ht="15">
      <c r="A72" s="145"/>
      <c r="B72" s="100"/>
      <c r="C72" s="100"/>
      <c r="D72" s="100"/>
      <c r="E72" s="99" t="s">
        <v>511</v>
      </c>
      <c r="F72" s="106">
        <f>F77+F79+F81+F84+F75</f>
        <v>225350487.82</v>
      </c>
      <c r="G72" s="106">
        <f>G77+G79+G81+G84+G75</f>
        <v>225350487.82</v>
      </c>
      <c r="H72" s="106">
        <f>H77+H79+H81+H84+H75+H96</f>
        <v>184750800</v>
      </c>
      <c r="I72" s="106">
        <f aca="true" t="shared" si="21" ref="I72:Q72">I77+I79+I81+I84+I75+I96</f>
        <v>0</v>
      </c>
      <c r="J72" s="106">
        <f t="shared" si="21"/>
        <v>0</v>
      </c>
      <c r="K72" s="106">
        <f t="shared" si="21"/>
        <v>16248622.05</v>
      </c>
      <c r="L72" s="106">
        <f t="shared" si="21"/>
        <v>0</v>
      </c>
      <c r="M72" s="106">
        <f t="shared" si="21"/>
        <v>0</v>
      </c>
      <c r="N72" s="106">
        <f t="shared" si="21"/>
        <v>0</v>
      </c>
      <c r="O72" s="106">
        <f t="shared" si="21"/>
        <v>16248622.05</v>
      </c>
      <c r="P72" s="106">
        <f t="shared" si="21"/>
        <v>5623622.05</v>
      </c>
      <c r="Q72" s="106">
        <f t="shared" si="21"/>
        <v>241599109.87</v>
      </c>
      <c r="R72" s="229"/>
      <c r="S72" s="41"/>
      <c r="T72" s="41"/>
      <c r="U72" s="41"/>
      <c r="V72" s="41"/>
      <c r="W72" s="41"/>
      <c r="X72" s="41"/>
      <c r="Y72" s="41"/>
      <c r="Z72" s="41"/>
      <c r="AA72" s="41"/>
      <c r="AB72" s="41"/>
      <c r="AC72" s="41"/>
      <c r="AD72" s="41"/>
      <c r="AE72" s="41"/>
    </row>
    <row r="73" spans="1:31" s="14" customFormat="1" ht="27">
      <c r="A73" s="13"/>
      <c r="B73" s="122" t="s">
        <v>79</v>
      </c>
      <c r="C73" s="122" t="s">
        <v>249</v>
      </c>
      <c r="D73" s="122" t="s">
        <v>250</v>
      </c>
      <c r="E73" s="161" t="s">
        <v>520</v>
      </c>
      <c r="F73" s="106">
        <f>G73+J73</f>
        <v>1757266</v>
      </c>
      <c r="G73" s="106">
        <f>1611100+3800-30600+6500+12414+3500+150552</f>
        <v>1757266</v>
      </c>
      <c r="H73" s="106">
        <f>1204000+123404</f>
        <v>1327404</v>
      </c>
      <c r="I73" s="106">
        <f>27800+3800</f>
        <v>31600</v>
      </c>
      <c r="J73" s="106"/>
      <c r="K73" s="106">
        <f aca="true" t="shared" si="22" ref="K73:K98">L73+O73</f>
        <v>16000</v>
      </c>
      <c r="L73" s="106"/>
      <c r="M73" s="106"/>
      <c r="N73" s="106"/>
      <c r="O73" s="106">
        <f>26000-6500-3500</f>
        <v>16000</v>
      </c>
      <c r="P73" s="106">
        <f>26000-6500-3500</f>
        <v>16000</v>
      </c>
      <c r="Q73" s="106">
        <f t="shared" si="2"/>
        <v>1773266</v>
      </c>
      <c r="R73" s="229"/>
      <c r="S73" s="41"/>
      <c r="T73" s="41"/>
      <c r="U73" s="41"/>
      <c r="V73" s="41"/>
      <c r="W73" s="41"/>
      <c r="X73" s="41"/>
      <c r="Y73" s="41"/>
      <c r="Z73" s="41"/>
      <c r="AA73" s="41"/>
      <c r="AB73" s="41"/>
      <c r="AC73" s="41"/>
      <c r="AD73" s="41"/>
      <c r="AE73" s="41"/>
    </row>
    <row r="74" spans="1:31" s="14" customFormat="1" ht="15">
      <c r="A74" s="13"/>
      <c r="B74" s="122" t="s">
        <v>80</v>
      </c>
      <c r="C74" s="122" t="s">
        <v>254</v>
      </c>
      <c r="D74" s="122" t="s">
        <v>255</v>
      </c>
      <c r="E74" s="161" t="s">
        <v>69</v>
      </c>
      <c r="F74" s="106">
        <f aca="true" t="shared" si="23" ref="F74:F98">G74+J74</f>
        <v>173790362</v>
      </c>
      <c r="G74" s="106">
        <f>163141450+2165415+5876790+51000+141500+74635+1499700+25200+3380+124600+47692+18100+500000+10000+40000+31400+39500</f>
        <v>173790362</v>
      </c>
      <c r="H74" s="106">
        <f>100618010-1602190+4119690+1230400</f>
        <v>104365910</v>
      </c>
      <c r="I74" s="106">
        <f>22380176+4118459</f>
        <v>26498635</v>
      </c>
      <c r="J74" s="106"/>
      <c r="K74" s="106">
        <f t="shared" si="22"/>
        <v>20099427</v>
      </c>
      <c r="L74" s="106">
        <v>12650071</v>
      </c>
      <c r="M74" s="106"/>
      <c r="N74" s="106"/>
      <c r="O74" s="106">
        <f>4227000+46000+188000+49500+110500+23000+5000+16620+20000+16996+17900+57059+66900+566532+20000+9900+245000+60000+48750-80000+1625000+141099-31400</f>
        <v>7449356</v>
      </c>
      <c r="P74" s="106">
        <f>4227000+46000+188000+49500+110500+23000+5000+16620+20000+16996+17900+57059+66900+566532+20000+9900+245000+60000+48750-80000+1625000+141099-31400-1625000</f>
        <v>5824356</v>
      </c>
      <c r="Q74" s="106">
        <f t="shared" si="2"/>
        <v>193889789</v>
      </c>
      <c r="R74" s="229"/>
      <c r="S74" s="41"/>
      <c r="T74" s="41"/>
      <c r="U74" s="41"/>
      <c r="V74" s="41"/>
      <c r="W74" s="41"/>
      <c r="X74" s="41"/>
      <c r="Y74" s="41"/>
      <c r="Z74" s="41"/>
      <c r="AA74" s="41"/>
      <c r="AB74" s="41"/>
      <c r="AC74" s="41"/>
      <c r="AD74" s="41"/>
      <c r="AE74" s="41"/>
    </row>
    <row r="75" spans="1:31" s="14" customFormat="1" ht="15">
      <c r="A75" s="13"/>
      <c r="B75" s="122"/>
      <c r="C75" s="122"/>
      <c r="D75" s="122"/>
      <c r="E75" s="161" t="s">
        <v>511</v>
      </c>
      <c r="F75" s="106">
        <f>G75+J75</f>
        <v>0</v>
      </c>
      <c r="G75" s="106"/>
      <c r="H75" s="106"/>
      <c r="I75" s="106"/>
      <c r="J75" s="106"/>
      <c r="K75" s="106">
        <f>L75+O75</f>
        <v>2191532</v>
      </c>
      <c r="L75" s="106"/>
      <c r="M75" s="106"/>
      <c r="N75" s="106"/>
      <c r="O75" s="106">
        <f>566532+1625000</f>
        <v>2191532</v>
      </c>
      <c r="P75" s="106">
        <f>566532+1625000-1625000</f>
        <v>566532</v>
      </c>
      <c r="Q75" s="106">
        <f>F75+K75</f>
        <v>2191532</v>
      </c>
      <c r="R75" s="229"/>
      <c r="S75" s="41"/>
      <c r="T75" s="41"/>
      <c r="U75" s="41"/>
      <c r="V75" s="41"/>
      <c r="W75" s="41"/>
      <c r="X75" s="41"/>
      <c r="Y75" s="41"/>
      <c r="Z75" s="41"/>
      <c r="AA75" s="41"/>
      <c r="AB75" s="41"/>
      <c r="AC75" s="41"/>
      <c r="AD75" s="41"/>
      <c r="AE75" s="41"/>
    </row>
    <row r="76" spans="1:31" s="14" customFormat="1" ht="62.25" customHeight="1">
      <c r="A76" s="13"/>
      <c r="B76" s="122" t="s">
        <v>81</v>
      </c>
      <c r="C76" s="122" t="s">
        <v>256</v>
      </c>
      <c r="D76" s="122" t="s">
        <v>257</v>
      </c>
      <c r="E76" s="161" t="s">
        <v>70</v>
      </c>
      <c r="F76" s="106">
        <f t="shared" si="23"/>
        <v>366175892.8</v>
      </c>
      <c r="G76" s="106">
        <f>362559505+533346-1088948+2698990+102400+94253+4010+282700+377616+7100+5000+4500+178028.98+88274+491+3000+15000+35800+18750+98088+157988.82</f>
        <v>366175892.8</v>
      </c>
      <c r="H76" s="106">
        <f>242583267-6488417+1311790+61809+349731+232100</f>
        <v>238050280</v>
      </c>
      <c r="I76" s="106">
        <f>35734805+6813932</f>
        <v>42548737</v>
      </c>
      <c r="J76" s="106"/>
      <c r="K76" s="106">
        <f t="shared" si="22"/>
        <v>38269398.05</v>
      </c>
      <c r="L76" s="106">
        <v>20411137</v>
      </c>
      <c r="M76" s="106">
        <v>519938</v>
      </c>
      <c r="N76" s="106">
        <v>41716</v>
      </c>
      <c r="O76" s="106">
        <f>6800000+11000+500000+50000+140600+23000+866300+241534+22625+18000+30000+7900+10000+40700+117090+128973+149700+46600+3903000-3000-7900+1062266+375000+91500+36000+3050000+147373.05</f>
        <v>17858261.05</v>
      </c>
      <c r="P76" s="106">
        <f>6800000+11000+500000+50000+140600+23000+866300+241534+22625+18000+30000+7900+10000+40700+117090+128973+149700+46600+3903000-3000-7900+1062266+375000+91500+36000+3050000+147373.05-3050000</f>
        <v>14808261.05</v>
      </c>
      <c r="Q76" s="106">
        <f t="shared" si="2"/>
        <v>404445290.85</v>
      </c>
      <c r="R76" s="229"/>
      <c r="S76" s="41"/>
      <c r="T76" s="41"/>
      <c r="U76" s="41"/>
      <c r="V76" s="41"/>
      <c r="W76" s="41"/>
      <c r="X76" s="41"/>
      <c r="Y76" s="41"/>
      <c r="Z76" s="41"/>
      <c r="AA76" s="41"/>
      <c r="AB76" s="41"/>
      <c r="AC76" s="41"/>
      <c r="AD76" s="41"/>
      <c r="AE76" s="41"/>
    </row>
    <row r="77" spans="1:31" s="14" customFormat="1" ht="15">
      <c r="A77" s="13"/>
      <c r="B77" s="123"/>
      <c r="C77" s="123"/>
      <c r="D77" s="123"/>
      <c r="E77" s="161" t="s">
        <v>511</v>
      </c>
      <c r="F77" s="106">
        <f t="shared" si="23"/>
        <v>212332237.82</v>
      </c>
      <c r="G77" s="106">
        <f>200852388+533346+151062+11700+94253+10531500+157988.82</f>
        <v>212332237.82</v>
      </c>
      <c r="H77" s="106">
        <f>164897345+123995+9610+349731+61809+8632300</f>
        <v>174074790</v>
      </c>
      <c r="I77" s="106"/>
      <c r="J77" s="106"/>
      <c r="K77" s="106">
        <f t="shared" si="22"/>
        <v>7100373.05</v>
      </c>
      <c r="L77" s="106"/>
      <c r="M77" s="106"/>
      <c r="N77" s="106"/>
      <c r="O77" s="106">
        <f>3903000+3050000+147373.05</f>
        <v>7100373.05</v>
      </c>
      <c r="P77" s="106">
        <f>3903000+3050000-3050000+147373.05</f>
        <v>4050373.05</v>
      </c>
      <c r="Q77" s="106">
        <f t="shared" si="2"/>
        <v>219432610.87</v>
      </c>
      <c r="R77" s="229"/>
      <c r="S77" s="41"/>
      <c r="T77" s="41"/>
      <c r="U77" s="41"/>
      <c r="V77" s="41"/>
      <c r="W77" s="41"/>
      <c r="X77" s="41"/>
      <c r="Y77" s="41"/>
      <c r="Z77" s="41"/>
      <c r="AA77" s="41"/>
      <c r="AB77" s="41"/>
      <c r="AC77" s="41"/>
      <c r="AD77" s="41"/>
      <c r="AE77" s="41"/>
    </row>
    <row r="78" spans="1:31" s="14" customFormat="1" ht="27">
      <c r="A78" s="13"/>
      <c r="B78" s="122" t="s">
        <v>82</v>
      </c>
      <c r="C78" s="122" t="s">
        <v>258</v>
      </c>
      <c r="D78" s="122" t="s">
        <v>257</v>
      </c>
      <c r="E78" s="161" t="s">
        <v>71</v>
      </c>
      <c r="F78" s="106">
        <f t="shared" si="23"/>
        <v>638957</v>
      </c>
      <c r="G78" s="106">
        <f>664457-25500</f>
        <v>638957</v>
      </c>
      <c r="H78" s="106">
        <f>544295-20905</f>
        <v>523390</v>
      </c>
      <c r="I78" s="106"/>
      <c r="J78" s="106"/>
      <c r="K78" s="106">
        <f t="shared" si="22"/>
        <v>0</v>
      </c>
      <c r="L78" s="106"/>
      <c r="M78" s="106"/>
      <c r="N78" s="106"/>
      <c r="O78" s="106"/>
      <c r="P78" s="106"/>
      <c r="Q78" s="106">
        <f t="shared" si="2"/>
        <v>638957</v>
      </c>
      <c r="R78" s="229"/>
      <c r="S78" s="41"/>
      <c r="T78" s="41"/>
      <c r="U78" s="41"/>
      <c r="V78" s="41"/>
      <c r="W78" s="41"/>
      <c r="X78" s="41"/>
      <c r="Y78" s="41"/>
      <c r="Z78" s="41"/>
      <c r="AA78" s="41"/>
      <c r="AB78" s="41"/>
      <c r="AC78" s="41"/>
      <c r="AD78" s="41"/>
      <c r="AE78" s="41"/>
    </row>
    <row r="79" spans="1:31" s="14" customFormat="1" ht="24.75" customHeight="1">
      <c r="A79" s="13"/>
      <c r="B79" s="123"/>
      <c r="C79" s="123"/>
      <c r="D79" s="123"/>
      <c r="E79" s="161" t="s">
        <v>511</v>
      </c>
      <c r="F79" s="106">
        <f t="shared" si="23"/>
        <v>638540</v>
      </c>
      <c r="G79" s="106">
        <f>664040-25500</f>
        <v>638540</v>
      </c>
      <c r="H79" s="106">
        <f>544295-20905</f>
        <v>523390</v>
      </c>
      <c r="I79" s="106"/>
      <c r="J79" s="106"/>
      <c r="K79" s="106">
        <f t="shared" si="22"/>
        <v>0</v>
      </c>
      <c r="L79" s="106"/>
      <c r="M79" s="106"/>
      <c r="N79" s="106"/>
      <c r="O79" s="106"/>
      <c r="P79" s="106">
        <f>O78-O79</f>
        <v>0</v>
      </c>
      <c r="Q79" s="106">
        <f t="shared" si="2"/>
        <v>638540</v>
      </c>
      <c r="R79" s="229"/>
      <c r="S79" s="41"/>
      <c r="T79" s="41"/>
      <c r="U79" s="41"/>
      <c r="V79" s="41"/>
      <c r="W79" s="41"/>
      <c r="X79" s="41"/>
      <c r="Y79" s="41"/>
      <c r="Z79" s="41"/>
      <c r="AA79" s="41"/>
      <c r="AB79" s="41"/>
      <c r="AC79" s="41"/>
      <c r="AD79" s="41"/>
      <c r="AE79" s="41"/>
    </row>
    <row r="80" spans="1:31" s="14" customFormat="1" ht="81.75" customHeight="1">
      <c r="A80" s="13"/>
      <c r="B80" s="122" t="s">
        <v>83</v>
      </c>
      <c r="C80" s="122" t="s">
        <v>260</v>
      </c>
      <c r="D80" s="122" t="s">
        <v>261</v>
      </c>
      <c r="E80" s="161" t="s">
        <v>72</v>
      </c>
      <c r="F80" s="106">
        <f t="shared" si="23"/>
        <v>6897064</v>
      </c>
      <c r="G80" s="106">
        <f>6891455-2891+7500+1000</f>
        <v>6897064</v>
      </c>
      <c r="H80" s="106">
        <f>4779004-111844</f>
        <v>4667160</v>
      </c>
      <c r="I80" s="106">
        <f>624309+133327</f>
        <v>757636</v>
      </c>
      <c r="J80" s="106"/>
      <c r="K80" s="106">
        <f t="shared" si="22"/>
        <v>226717</v>
      </c>
      <c r="L80" s="106"/>
      <c r="M80" s="106"/>
      <c r="N80" s="106"/>
      <c r="O80" s="106">
        <f>150000+76717</f>
        <v>226717</v>
      </c>
      <c r="P80" s="106">
        <f>150000+76717</f>
        <v>226717</v>
      </c>
      <c r="Q80" s="106">
        <f t="shared" si="2"/>
        <v>7123781</v>
      </c>
      <c r="R80" s="229"/>
      <c r="S80" s="41"/>
      <c r="T80" s="41"/>
      <c r="U80" s="41"/>
      <c r="V80" s="41"/>
      <c r="W80" s="41"/>
      <c r="X80" s="41"/>
      <c r="Y80" s="41"/>
      <c r="Z80" s="41"/>
      <c r="AA80" s="41"/>
      <c r="AB80" s="41"/>
      <c r="AC80" s="41"/>
      <c r="AD80" s="41"/>
      <c r="AE80" s="41"/>
    </row>
    <row r="81" spans="1:31" s="14" customFormat="1" ht="21" customHeight="1">
      <c r="A81" s="13"/>
      <c r="B81" s="123"/>
      <c r="C81" s="123"/>
      <c r="D81" s="123"/>
      <c r="E81" s="161" t="s">
        <v>511</v>
      </c>
      <c r="F81" s="106">
        <f t="shared" si="23"/>
        <v>4503510</v>
      </c>
      <c r="G81" s="106">
        <f>4628072-125562+1000</f>
        <v>4503510</v>
      </c>
      <c r="H81" s="106">
        <f>3799730-103090</f>
        <v>3696640</v>
      </c>
      <c r="I81" s="106"/>
      <c r="J81" s="106"/>
      <c r="K81" s="106">
        <f t="shared" si="22"/>
        <v>76717</v>
      </c>
      <c r="L81" s="106"/>
      <c r="M81" s="106"/>
      <c r="N81" s="106"/>
      <c r="O81" s="106">
        <v>76717</v>
      </c>
      <c r="P81" s="106">
        <v>76717</v>
      </c>
      <c r="Q81" s="106">
        <f aca="true" t="shared" si="24" ref="Q81:Q151">F81+K81</f>
        <v>4580227</v>
      </c>
      <c r="R81" s="229"/>
      <c r="S81" s="41"/>
      <c r="T81" s="41"/>
      <c r="U81" s="41"/>
      <c r="V81" s="41"/>
      <c r="W81" s="41"/>
      <c r="X81" s="41"/>
      <c r="Y81" s="41"/>
      <c r="Z81" s="41"/>
      <c r="AA81" s="41"/>
      <c r="AB81" s="41"/>
      <c r="AC81" s="41"/>
      <c r="AD81" s="41"/>
      <c r="AE81" s="41"/>
    </row>
    <row r="82" spans="1:31" s="14" customFormat="1" ht="51" customHeight="1">
      <c r="A82" s="13"/>
      <c r="B82" s="122" t="s">
        <v>84</v>
      </c>
      <c r="C82" s="122" t="s">
        <v>262</v>
      </c>
      <c r="D82" s="122" t="s">
        <v>263</v>
      </c>
      <c r="E82" s="161" t="s">
        <v>73</v>
      </c>
      <c r="F82" s="106">
        <f t="shared" si="23"/>
        <v>20062351</v>
      </c>
      <c r="G82" s="106">
        <f>18595670+20000+106781+991500+290400+35000+3000+20000</f>
        <v>20062351</v>
      </c>
      <c r="H82" s="106">
        <f>13003634-293514+795600+238400</f>
        <v>13744120</v>
      </c>
      <c r="I82" s="106">
        <f>2389241+464267</f>
        <v>2853508</v>
      </c>
      <c r="J82" s="106"/>
      <c r="K82" s="106">
        <f t="shared" si="22"/>
        <v>627090</v>
      </c>
      <c r="L82" s="106">
        <v>27090</v>
      </c>
      <c r="M82" s="106">
        <v>21312</v>
      </c>
      <c r="N82" s="106">
        <v>1090</v>
      </c>
      <c r="O82" s="106">
        <v>600000</v>
      </c>
      <c r="P82" s="106">
        <v>600000</v>
      </c>
      <c r="Q82" s="106">
        <f t="shared" si="24"/>
        <v>20689441</v>
      </c>
      <c r="R82" s="229"/>
      <c r="S82" s="41"/>
      <c r="T82" s="41"/>
      <c r="U82" s="41"/>
      <c r="V82" s="41"/>
      <c r="W82" s="41"/>
      <c r="X82" s="41"/>
      <c r="Y82" s="41"/>
      <c r="Z82" s="41"/>
      <c r="AA82" s="41"/>
      <c r="AB82" s="41"/>
      <c r="AC82" s="41"/>
      <c r="AD82" s="41"/>
      <c r="AE82" s="41"/>
    </row>
    <row r="83" spans="1:31" s="14" customFormat="1" ht="30" customHeight="1">
      <c r="A83" s="13"/>
      <c r="B83" s="122" t="s">
        <v>216</v>
      </c>
      <c r="C83" s="122" t="s">
        <v>264</v>
      </c>
      <c r="D83" s="122" t="s">
        <v>265</v>
      </c>
      <c r="E83" s="161" t="s">
        <v>485</v>
      </c>
      <c r="F83" s="106">
        <f t="shared" si="23"/>
        <v>79691130</v>
      </c>
      <c r="G83" s="106">
        <f>73603700+233500-433501+6092255+155976+100000+9000+722200+60000-852000</f>
        <v>79691130</v>
      </c>
      <c r="H83" s="106">
        <f>42260100-959000+1991000+593000</f>
        <v>43885100</v>
      </c>
      <c r="I83" s="106">
        <f>8069650+721099+100000-160000-12377</f>
        <v>8718372</v>
      </c>
      <c r="J83" s="106"/>
      <c r="K83" s="106">
        <f>L83+O83</f>
        <v>6645288</v>
      </c>
      <c r="L83" s="106">
        <v>6147168</v>
      </c>
      <c r="M83" s="106">
        <v>1773140</v>
      </c>
      <c r="N83" s="106">
        <v>2194879</v>
      </c>
      <c r="O83" s="106">
        <f>168120+330000</f>
        <v>498120</v>
      </c>
      <c r="P83" s="106">
        <v>330000</v>
      </c>
      <c r="Q83" s="106">
        <f t="shared" si="24"/>
        <v>86336418</v>
      </c>
      <c r="R83" s="229"/>
      <c r="S83" s="41"/>
      <c r="T83" s="41"/>
      <c r="U83" s="41"/>
      <c r="V83" s="41"/>
      <c r="W83" s="41"/>
      <c r="X83" s="41"/>
      <c r="Y83" s="41"/>
      <c r="Z83" s="41"/>
      <c r="AA83" s="41"/>
      <c r="AB83" s="41"/>
      <c r="AC83" s="41"/>
      <c r="AD83" s="41"/>
      <c r="AE83" s="41"/>
    </row>
    <row r="84" spans="1:31" s="14" customFormat="1" ht="15">
      <c r="A84" s="13"/>
      <c r="B84" s="122"/>
      <c r="C84" s="122"/>
      <c r="D84" s="122"/>
      <c r="E84" s="161" t="s">
        <v>511</v>
      </c>
      <c r="F84" s="106">
        <f t="shared" si="23"/>
        <v>7876200</v>
      </c>
      <c r="G84" s="106">
        <f>18366200+41500-10531500</f>
        <v>7876200</v>
      </c>
      <c r="H84" s="106">
        <f>15054300+33980-8632300</f>
        <v>6455980</v>
      </c>
      <c r="I84" s="106"/>
      <c r="J84" s="106"/>
      <c r="K84" s="106">
        <f t="shared" si="22"/>
        <v>330000</v>
      </c>
      <c r="L84" s="106"/>
      <c r="M84" s="106"/>
      <c r="N84" s="106"/>
      <c r="O84" s="106">
        <v>330000</v>
      </c>
      <c r="P84" s="106">
        <v>330000</v>
      </c>
      <c r="Q84" s="106">
        <f t="shared" si="24"/>
        <v>8206200</v>
      </c>
      <c r="R84" s="229"/>
      <c r="S84" s="41"/>
      <c r="T84" s="41"/>
      <c r="U84" s="41"/>
      <c r="V84" s="41"/>
      <c r="W84" s="41"/>
      <c r="X84" s="41"/>
      <c r="Y84" s="41"/>
      <c r="Z84" s="41"/>
      <c r="AA84" s="41"/>
      <c r="AB84" s="41"/>
      <c r="AC84" s="41"/>
      <c r="AD84" s="41"/>
      <c r="AE84" s="41"/>
    </row>
    <row r="85" spans="1:31" s="14" customFormat="1" ht="35.25" customHeight="1">
      <c r="A85" s="13"/>
      <c r="B85" s="122" t="s">
        <v>85</v>
      </c>
      <c r="C85" s="122" t="s">
        <v>266</v>
      </c>
      <c r="D85" s="122" t="s">
        <v>267</v>
      </c>
      <c r="E85" s="161" t="s">
        <v>74</v>
      </c>
      <c r="F85" s="106">
        <f t="shared" si="23"/>
        <v>2817071</v>
      </c>
      <c r="G85" s="106">
        <f>2597420-63949+197100+59700+15000+11800</f>
        <v>2817071</v>
      </c>
      <c r="H85" s="106">
        <f>2008070-69620+161500+48900</f>
        <v>2148850</v>
      </c>
      <c r="I85" s="106">
        <f>105754+20986</f>
        <v>126740</v>
      </c>
      <c r="J85" s="106"/>
      <c r="K85" s="106">
        <f t="shared" si="22"/>
        <v>11200</v>
      </c>
      <c r="L85" s="106"/>
      <c r="M85" s="106"/>
      <c r="N85" s="106"/>
      <c r="O85" s="106">
        <f>23000-11800</f>
        <v>11200</v>
      </c>
      <c r="P85" s="106">
        <f>23000-11800</f>
        <v>11200</v>
      </c>
      <c r="Q85" s="106">
        <f t="shared" si="24"/>
        <v>2828271</v>
      </c>
      <c r="R85" s="229"/>
      <c r="S85" s="41"/>
      <c r="T85" s="41"/>
      <c r="U85" s="41"/>
      <c r="V85" s="41"/>
      <c r="W85" s="41"/>
      <c r="X85" s="41"/>
      <c r="Y85" s="41"/>
      <c r="Z85" s="41"/>
      <c r="AA85" s="41"/>
      <c r="AB85" s="41"/>
      <c r="AC85" s="41"/>
      <c r="AD85" s="41"/>
      <c r="AE85" s="41"/>
    </row>
    <row r="86" spans="1:31" s="14" customFormat="1" ht="20.25" customHeight="1">
      <c r="A86" s="13"/>
      <c r="B86" s="122" t="s">
        <v>86</v>
      </c>
      <c r="C86" s="122" t="s">
        <v>268</v>
      </c>
      <c r="D86" s="122" t="s">
        <v>267</v>
      </c>
      <c r="E86" s="161" t="s">
        <v>75</v>
      </c>
      <c r="F86" s="106">
        <f t="shared" si="23"/>
        <v>2314961</v>
      </c>
      <c r="G86" s="106">
        <f>2368630-64684+11015</f>
        <v>2314961</v>
      </c>
      <c r="H86" s="106">
        <f>1722350-63370</f>
        <v>1658980</v>
      </c>
      <c r="I86" s="106">
        <f>103297+12613</f>
        <v>115910</v>
      </c>
      <c r="J86" s="106"/>
      <c r="K86" s="106">
        <f t="shared" si="22"/>
        <v>50000</v>
      </c>
      <c r="L86" s="106"/>
      <c r="M86" s="106"/>
      <c r="N86" s="106"/>
      <c r="O86" s="106">
        <v>50000</v>
      </c>
      <c r="P86" s="106">
        <v>50000</v>
      </c>
      <c r="Q86" s="106">
        <f t="shared" si="24"/>
        <v>2364961</v>
      </c>
      <c r="R86" s="229"/>
      <c r="S86" s="41"/>
      <c r="T86" s="41"/>
      <c r="U86" s="41"/>
      <c r="V86" s="41"/>
      <c r="W86" s="41"/>
      <c r="X86" s="41"/>
      <c r="Y86" s="41"/>
      <c r="Z86" s="41"/>
      <c r="AA86" s="41"/>
      <c r="AB86" s="41"/>
      <c r="AC86" s="41"/>
      <c r="AD86" s="41"/>
      <c r="AE86" s="41"/>
    </row>
    <row r="87" spans="1:31" s="14" customFormat="1" ht="34.5" customHeight="1">
      <c r="A87" s="13"/>
      <c r="B87" s="122" t="s">
        <v>87</v>
      </c>
      <c r="C87" s="122" t="s">
        <v>269</v>
      </c>
      <c r="D87" s="122" t="s">
        <v>267</v>
      </c>
      <c r="E87" s="161" t="s">
        <v>76</v>
      </c>
      <c r="F87" s="106">
        <f t="shared" si="23"/>
        <v>220658</v>
      </c>
      <c r="G87" s="106">
        <f>228260-7942+340</f>
        <v>220658</v>
      </c>
      <c r="H87" s="106">
        <f>179690-6850</f>
        <v>172840</v>
      </c>
      <c r="I87" s="106">
        <f>5487+410</f>
        <v>5897</v>
      </c>
      <c r="J87" s="106"/>
      <c r="K87" s="106">
        <f t="shared" si="22"/>
        <v>0</v>
      </c>
      <c r="L87" s="106"/>
      <c r="M87" s="106"/>
      <c r="N87" s="106"/>
      <c r="O87" s="106"/>
      <c r="P87" s="106"/>
      <c r="Q87" s="106">
        <f t="shared" si="24"/>
        <v>220658</v>
      </c>
      <c r="R87" s="229"/>
      <c r="S87" s="41"/>
      <c r="T87" s="41"/>
      <c r="U87" s="41"/>
      <c r="V87" s="41"/>
      <c r="W87" s="41"/>
      <c r="X87" s="41"/>
      <c r="Y87" s="41"/>
      <c r="Z87" s="41"/>
      <c r="AA87" s="41"/>
      <c r="AB87" s="41"/>
      <c r="AC87" s="41"/>
      <c r="AD87" s="41"/>
      <c r="AE87" s="41"/>
    </row>
    <row r="88" spans="1:31" s="14" customFormat="1" ht="27" customHeight="1">
      <c r="A88" s="13"/>
      <c r="B88" s="122" t="s">
        <v>88</v>
      </c>
      <c r="C88" s="122" t="s">
        <v>270</v>
      </c>
      <c r="D88" s="122" t="s">
        <v>267</v>
      </c>
      <c r="E88" s="161" t="s">
        <v>77</v>
      </c>
      <c r="F88" s="106">
        <f t="shared" si="23"/>
        <v>3623633</v>
      </c>
      <c r="G88" s="106">
        <f>3386183-28082+189732+45300+10000+20500</f>
        <v>3623633</v>
      </c>
      <c r="H88" s="106">
        <f>2356460-58640+116500+37100</f>
        <v>2451420</v>
      </c>
      <c r="I88" s="106">
        <f>312869+43166</f>
        <v>356035</v>
      </c>
      <c r="J88" s="106"/>
      <c r="K88" s="106">
        <f t="shared" si="22"/>
        <v>167500</v>
      </c>
      <c r="L88" s="106"/>
      <c r="M88" s="106"/>
      <c r="N88" s="106"/>
      <c r="O88" s="106">
        <f>150000+17500</f>
        <v>167500</v>
      </c>
      <c r="P88" s="106">
        <f>150000+17500</f>
        <v>167500</v>
      </c>
      <c r="Q88" s="106">
        <f t="shared" si="24"/>
        <v>3791133</v>
      </c>
      <c r="R88" s="229"/>
      <c r="S88" s="41"/>
      <c r="T88" s="41"/>
      <c r="U88" s="41"/>
      <c r="V88" s="41"/>
      <c r="W88" s="41"/>
      <c r="X88" s="41"/>
      <c r="Y88" s="41"/>
      <c r="Z88" s="41"/>
      <c r="AA88" s="41"/>
      <c r="AB88" s="41"/>
      <c r="AC88" s="41"/>
      <c r="AD88" s="41"/>
      <c r="AE88" s="41"/>
    </row>
    <row r="89" spans="1:31" s="14" customFormat="1" ht="27" customHeight="1">
      <c r="A89" s="13"/>
      <c r="B89" s="122" t="s">
        <v>89</v>
      </c>
      <c r="C89" s="122" t="s">
        <v>271</v>
      </c>
      <c r="D89" s="122" t="s">
        <v>267</v>
      </c>
      <c r="E89" s="161" t="s">
        <v>22</v>
      </c>
      <c r="F89" s="106">
        <f t="shared" si="23"/>
        <v>73780</v>
      </c>
      <c r="G89" s="106">
        <f aca="true" t="shared" si="25" ref="G89:P89">G90</f>
        <v>73780</v>
      </c>
      <c r="H89" s="106">
        <f t="shared" si="25"/>
        <v>0</v>
      </c>
      <c r="I89" s="106">
        <f t="shared" si="25"/>
        <v>0</v>
      </c>
      <c r="J89" s="106">
        <f t="shared" si="25"/>
        <v>0</v>
      </c>
      <c r="K89" s="106">
        <f t="shared" si="25"/>
        <v>0</v>
      </c>
      <c r="L89" s="106">
        <f t="shared" si="25"/>
        <v>0</v>
      </c>
      <c r="M89" s="106">
        <f t="shared" si="25"/>
        <v>0</v>
      </c>
      <c r="N89" s="106">
        <f t="shared" si="25"/>
        <v>0</v>
      </c>
      <c r="O89" s="106">
        <f t="shared" si="25"/>
        <v>0</v>
      </c>
      <c r="P89" s="106">
        <f t="shared" si="25"/>
        <v>0</v>
      </c>
      <c r="Q89" s="106">
        <f t="shared" si="24"/>
        <v>73780</v>
      </c>
      <c r="R89" s="229"/>
      <c r="S89" s="41"/>
      <c r="T89" s="41"/>
      <c r="U89" s="41"/>
      <c r="V89" s="41"/>
      <c r="W89" s="41"/>
      <c r="X89" s="41"/>
      <c r="Y89" s="41"/>
      <c r="Z89" s="41"/>
      <c r="AA89" s="41"/>
      <c r="AB89" s="41"/>
      <c r="AC89" s="41"/>
      <c r="AD89" s="41"/>
      <c r="AE89" s="41"/>
    </row>
    <row r="90" spans="1:31" s="33" customFormat="1" ht="36.75" customHeight="1">
      <c r="A90" s="32"/>
      <c r="B90" s="36" t="s">
        <v>89</v>
      </c>
      <c r="C90" s="36" t="s">
        <v>271</v>
      </c>
      <c r="D90" s="36" t="s">
        <v>267</v>
      </c>
      <c r="E90" s="34" t="s">
        <v>210</v>
      </c>
      <c r="F90" s="107">
        <f t="shared" si="23"/>
        <v>73780</v>
      </c>
      <c r="G90" s="107">
        <v>73780</v>
      </c>
      <c r="H90" s="107"/>
      <c r="I90" s="107"/>
      <c r="J90" s="107"/>
      <c r="K90" s="107">
        <f t="shared" si="22"/>
        <v>0</v>
      </c>
      <c r="L90" s="107"/>
      <c r="M90" s="107"/>
      <c r="N90" s="107"/>
      <c r="O90" s="107"/>
      <c r="P90" s="107"/>
      <c r="Q90" s="107">
        <f t="shared" si="24"/>
        <v>73780</v>
      </c>
      <c r="R90" s="229"/>
      <c r="S90" s="31"/>
      <c r="T90" s="31"/>
      <c r="U90" s="31"/>
      <c r="V90" s="31"/>
      <c r="W90" s="31"/>
      <c r="X90" s="31"/>
      <c r="Y90" s="31"/>
      <c r="Z90" s="31"/>
      <c r="AA90" s="31"/>
      <c r="AB90" s="31"/>
      <c r="AC90" s="31"/>
      <c r="AD90" s="31"/>
      <c r="AE90" s="31"/>
    </row>
    <row r="91" spans="1:31" s="14" customFormat="1" ht="46.5" customHeight="1">
      <c r="A91" s="22"/>
      <c r="B91" s="26" t="s">
        <v>91</v>
      </c>
      <c r="C91" s="26" t="s">
        <v>272</v>
      </c>
      <c r="D91" s="26" t="s">
        <v>267</v>
      </c>
      <c r="E91" s="23" t="s">
        <v>90</v>
      </c>
      <c r="F91" s="106">
        <f t="shared" si="23"/>
        <v>57920</v>
      </c>
      <c r="G91" s="106">
        <f>38010+19910</f>
        <v>57920</v>
      </c>
      <c r="H91" s="106"/>
      <c r="I91" s="106"/>
      <c r="J91" s="106"/>
      <c r="K91" s="106">
        <f t="shared" si="22"/>
        <v>0</v>
      </c>
      <c r="L91" s="106"/>
      <c r="M91" s="106"/>
      <c r="N91" s="106"/>
      <c r="O91" s="106"/>
      <c r="P91" s="106"/>
      <c r="Q91" s="106">
        <f t="shared" si="24"/>
        <v>57920</v>
      </c>
      <c r="R91" s="229"/>
      <c r="S91" s="41"/>
      <c r="T91" s="41"/>
      <c r="U91" s="41"/>
      <c r="V91" s="41"/>
      <c r="W91" s="41"/>
      <c r="X91" s="41"/>
      <c r="Y91" s="41"/>
      <c r="Z91" s="41"/>
      <c r="AA91" s="41"/>
      <c r="AB91" s="41"/>
      <c r="AC91" s="41"/>
      <c r="AD91" s="41"/>
      <c r="AE91" s="41"/>
    </row>
    <row r="92" spans="1:31" s="14" customFormat="1" ht="63.75" customHeight="1">
      <c r="A92" s="13"/>
      <c r="B92" s="122" t="s">
        <v>92</v>
      </c>
      <c r="C92" s="122" t="s">
        <v>410</v>
      </c>
      <c r="D92" s="122" t="s">
        <v>389</v>
      </c>
      <c r="E92" s="177" t="s">
        <v>43</v>
      </c>
      <c r="F92" s="106">
        <f t="shared" si="23"/>
        <v>5866880</v>
      </c>
      <c r="G92" s="106">
        <f>5000000+866880</f>
        <v>5866880</v>
      </c>
      <c r="H92" s="106"/>
      <c r="I92" s="106"/>
      <c r="J92" s="106"/>
      <c r="K92" s="106">
        <f t="shared" si="22"/>
        <v>0</v>
      </c>
      <c r="L92" s="106"/>
      <c r="M92" s="106"/>
      <c r="N92" s="106"/>
      <c r="O92" s="106"/>
      <c r="P92" s="106"/>
      <c r="Q92" s="106">
        <f t="shared" si="24"/>
        <v>5866880</v>
      </c>
      <c r="R92" s="229">
        <v>20</v>
      </c>
      <c r="S92" s="41"/>
      <c r="T92" s="41"/>
      <c r="U92" s="41"/>
      <c r="V92" s="41"/>
      <c r="W92" s="41"/>
      <c r="X92" s="41"/>
      <c r="Y92" s="41"/>
      <c r="Z92" s="41"/>
      <c r="AA92" s="41"/>
      <c r="AB92" s="41"/>
      <c r="AC92" s="41"/>
      <c r="AD92" s="41"/>
      <c r="AE92" s="41"/>
    </row>
    <row r="93" spans="1:31" s="14" customFormat="1" ht="23.25" customHeight="1">
      <c r="A93" s="13"/>
      <c r="B93" s="122" t="s">
        <v>501</v>
      </c>
      <c r="C93" s="122" t="s">
        <v>493</v>
      </c>
      <c r="D93" s="122"/>
      <c r="E93" s="177" t="s">
        <v>500</v>
      </c>
      <c r="F93" s="106">
        <f t="shared" si="23"/>
        <v>3922358</v>
      </c>
      <c r="G93" s="106">
        <f aca="true" t="shared" si="26" ref="G93:P93">G94</f>
        <v>3922358</v>
      </c>
      <c r="H93" s="106">
        <f t="shared" si="26"/>
        <v>2767788</v>
      </c>
      <c r="I93" s="106">
        <f t="shared" si="26"/>
        <v>241260</v>
      </c>
      <c r="J93" s="106">
        <f t="shared" si="26"/>
        <v>0</v>
      </c>
      <c r="K93" s="106">
        <f t="shared" si="22"/>
        <v>0</v>
      </c>
      <c r="L93" s="106">
        <f t="shared" si="26"/>
        <v>0</v>
      </c>
      <c r="M93" s="106">
        <f t="shared" si="26"/>
        <v>0</v>
      </c>
      <c r="N93" s="106">
        <f t="shared" si="26"/>
        <v>0</v>
      </c>
      <c r="O93" s="106">
        <f t="shared" si="26"/>
        <v>0</v>
      </c>
      <c r="P93" s="106">
        <f t="shared" si="26"/>
        <v>0</v>
      </c>
      <c r="Q93" s="106">
        <f t="shared" si="24"/>
        <v>3922358</v>
      </c>
      <c r="R93" s="229"/>
      <c r="S93" s="41"/>
      <c r="T93" s="41"/>
      <c r="U93" s="41"/>
      <c r="V93" s="41"/>
      <c r="W93" s="41"/>
      <c r="X93" s="41"/>
      <c r="Y93" s="41"/>
      <c r="Z93" s="41"/>
      <c r="AA93" s="41"/>
      <c r="AB93" s="41"/>
      <c r="AC93" s="41"/>
      <c r="AD93" s="41"/>
      <c r="AE93" s="41"/>
    </row>
    <row r="94" spans="1:31" s="33" customFormat="1" ht="35.25" customHeight="1">
      <c r="A94" s="32"/>
      <c r="B94" s="36" t="s">
        <v>502</v>
      </c>
      <c r="C94" s="36" t="s">
        <v>495</v>
      </c>
      <c r="D94" s="36" t="s">
        <v>320</v>
      </c>
      <c r="E94" s="178" t="s">
        <v>53</v>
      </c>
      <c r="F94" s="107">
        <f t="shared" si="23"/>
        <v>3922358</v>
      </c>
      <c r="G94" s="107">
        <f>3585110+10000+126200-33792+9100+11000+37000+40000+137740</f>
        <v>3922358</v>
      </c>
      <c r="H94" s="107">
        <f>2613610+103400-62122+112900</f>
        <v>2767788</v>
      </c>
      <c r="I94" s="107">
        <f>199254+42006</f>
        <v>241260</v>
      </c>
      <c r="J94" s="107"/>
      <c r="K94" s="107">
        <f t="shared" si="22"/>
        <v>0</v>
      </c>
      <c r="L94" s="107"/>
      <c r="M94" s="107"/>
      <c r="N94" s="107"/>
      <c r="O94" s="107"/>
      <c r="P94" s="107"/>
      <c r="Q94" s="107">
        <f t="shared" si="24"/>
        <v>3922358</v>
      </c>
      <c r="R94" s="229"/>
      <c r="S94" s="31"/>
      <c r="T94" s="31"/>
      <c r="U94" s="31"/>
      <c r="V94" s="31"/>
      <c r="W94" s="31"/>
      <c r="X94" s="31"/>
      <c r="Y94" s="31"/>
      <c r="Z94" s="31"/>
      <c r="AA94" s="31"/>
      <c r="AB94" s="31"/>
      <c r="AC94" s="31"/>
      <c r="AD94" s="31"/>
      <c r="AE94" s="31"/>
    </row>
    <row r="95" spans="1:31" s="33" customFormat="1" ht="23.25" customHeight="1">
      <c r="A95" s="32"/>
      <c r="B95" s="26" t="s">
        <v>384</v>
      </c>
      <c r="C95" s="26" t="s">
        <v>343</v>
      </c>
      <c r="D95" s="26" t="s">
        <v>344</v>
      </c>
      <c r="E95" s="23" t="s">
        <v>158</v>
      </c>
      <c r="F95" s="106">
        <f t="shared" si="23"/>
        <v>893088</v>
      </c>
      <c r="G95" s="106">
        <f>569500+75000+248588</f>
        <v>893088</v>
      </c>
      <c r="H95" s="106"/>
      <c r="I95" s="106"/>
      <c r="J95" s="106"/>
      <c r="K95" s="106">
        <f>L95+O95</f>
        <v>10621460</v>
      </c>
      <c r="L95" s="106"/>
      <c r="M95" s="106"/>
      <c r="N95" s="106"/>
      <c r="O95" s="106">
        <f>3794460+18000+600000+80500+98500+80000+5950000</f>
        <v>10621460</v>
      </c>
      <c r="P95" s="106">
        <f>3794460+18000+600000+80500+98500+80000+5950000-5950000</f>
        <v>4671460</v>
      </c>
      <c r="Q95" s="106">
        <f t="shared" si="24"/>
        <v>11514548</v>
      </c>
      <c r="R95" s="229"/>
      <c r="S95" s="31"/>
      <c r="T95" s="31"/>
      <c r="U95" s="31"/>
      <c r="V95" s="31"/>
      <c r="W95" s="31"/>
      <c r="X95" s="31"/>
      <c r="Y95" s="31"/>
      <c r="Z95" s="31"/>
      <c r="AA95" s="31"/>
      <c r="AB95" s="31"/>
      <c r="AC95" s="31"/>
      <c r="AD95" s="31"/>
      <c r="AE95" s="31"/>
    </row>
    <row r="96" spans="1:31" s="33" customFormat="1" ht="18" customHeight="1">
      <c r="A96" s="32"/>
      <c r="B96" s="26"/>
      <c r="C96" s="26"/>
      <c r="D96" s="26"/>
      <c r="E96" s="161" t="s">
        <v>511</v>
      </c>
      <c r="F96" s="106">
        <f t="shared" si="23"/>
        <v>0</v>
      </c>
      <c r="G96" s="106"/>
      <c r="H96" s="106"/>
      <c r="I96" s="106"/>
      <c r="J96" s="106"/>
      <c r="K96" s="106">
        <f>L96+O96</f>
        <v>6550000</v>
      </c>
      <c r="L96" s="106"/>
      <c r="M96" s="106"/>
      <c r="N96" s="106"/>
      <c r="O96" s="106">
        <f>600000+5950000</f>
        <v>6550000</v>
      </c>
      <c r="P96" s="106">
        <f>600000+5950000-5950000</f>
        <v>600000</v>
      </c>
      <c r="Q96" s="106">
        <f t="shared" si="24"/>
        <v>6550000</v>
      </c>
      <c r="R96" s="229"/>
      <c r="S96" s="31"/>
      <c r="T96" s="31"/>
      <c r="U96" s="31"/>
      <c r="V96" s="31"/>
      <c r="W96" s="31"/>
      <c r="X96" s="31"/>
      <c r="Y96" s="31"/>
      <c r="Z96" s="31"/>
      <c r="AA96" s="31"/>
      <c r="AB96" s="31"/>
      <c r="AC96" s="31"/>
      <c r="AD96" s="31"/>
      <c r="AE96" s="31"/>
    </row>
    <row r="97" spans="1:31" s="33" customFormat="1" ht="32.25" customHeight="1">
      <c r="A97" s="32"/>
      <c r="B97" s="26" t="s">
        <v>219</v>
      </c>
      <c r="C97" s="26" t="s">
        <v>367</v>
      </c>
      <c r="D97" s="26" t="s">
        <v>368</v>
      </c>
      <c r="E97" s="23" t="s">
        <v>217</v>
      </c>
      <c r="F97" s="106">
        <f t="shared" si="23"/>
        <v>0</v>
      </c>
      <c r="G97" s="106"/>
      <c r="H97" s="106"/>
      <c r="I97" s="106"/>
      <c r="J97" s="107"/>
      <c r="K97" s="106">
        <f t="shared" si="22"/>
        <v>44600</v>
      </c>
      <c r="L97" s="106">
        <v>44600</v>
      </c>
      <c r="M97" s="106"/>
      <c r="N97" s="106"/>
      <c r="O97" s="106"/>
      <c r="P97" s="106"/>
      <c r="Q97" s="106">
        <f t="shared" si="24"/>
        <v>44600</v>
      </c>
      <c r="R97" s="229"/>
      <c r="S97" s="31"/>
      <c r="T97" s="31"/>
      <c r="U97" s="31"/>
      <c r="V97" s="31"/>
      <c r="W97" s="31"/>
      <c r="X97" s="31"/>
      <c r="Y97" s="31"/>
      <c r="Z97" s="31"/>
      <c r="AA97" s="31"/>
      <c r="AB97" s="31"/>
      <c r="AC97" s="31"/>
      <c r="AD97" s="31"/>
      <c r="AE97" s="31"/>
    </row>
    <row r="98" spans="1:31" s="33" customFormat="1" ht="27.75" customHeight="1">
      <c r="A98" s="32"/>
      <c r="B98" s="26" t="s">
        <v>220</v>
      </c>
      <c r="C98" s="26" t="s">
        <v>369</v>
      </c>
      <c r="D98" s="26" t="s">
        <v>352</v>
      </c>
      <c r="E98" s="23" t="s">
        <v>23</v>
      </c>
      <c r="F98" s="106">
        <f t="shared" si="23"/>
        <v>0</v>
      </c>
      <c r="G98" s="106"/>
      <c r="H98" s="106"/>
      <c r="I98" s="106"/>
      <c r="J98" s="107"/>
      <c r="K98" s="106">
        <f t="shared" si="22"/>
        <v>265000</v>
      </c>
      <c r="L98" s="106">
        <f>220200+4300</f>
        <v>224500</v>
      </c>
      <c r="M98" s="106"/>
      <c r="N98" s="106"/>
      <c r="O98" s="106">
        <f>44800-4300</f>
        <v>40500</v>
      </c>
      <c r="P98" s="106"/>
      <c r="Q98" s="106">
        <f t="shared" si="24"/>
        <v>265000</v>
      </c>
      <c r="R98" s="229"/>
      <c r="S98" s="31"/>
      <c r="T98" s="31"/>
      <c r="U98" s="31"/>
      <c r="V98" s="31"/>
      <c r="W98" s="31"/>
      <c r="X98" s="31"/>
      <c r="Y98" s="31"/>
      <c r="Z98" s="31"/>
      <c r="AA98" s="31"/>
      <c r="AB98" s="31"/>
      <c r="AC98" s="31"/>
      <c r="AD98" s="31"/>
      <c r="AE98" s="31"/>
    </row>
    <row r="99" spans="1:31" s="104" customFormat="1" ht="22.5" customHeight="1">
      <c r="A99" s="101"/>
      <c r="B99" s="112" t="s">
        <v>94</v>
      </c>
      <c r="C99" s="112"/>
      <c r="D99" s="112"/>
      <c r="E99" s="16" t="s">
        <v>93</v>
      </c>
      <c r="F99" s="111">
        <f>F100</f>
        <v>335585913.45</v>
      </c>
      <c r="G99" s="111">
        <f aca="true" t="shared" si="27" ref="G99:Q99">G100</f>
        <v>335585913.45</v>
      </c>
      <c r="H99" s="111">
        <f t="shared" si="27"/>
        <v>578275</v>
      </c>
      <c r="I99" s="111">
        <f t="shared" si="27"/>
        <v>28150</v>
      </c>
      <c r="J99" s="111">
        <f t="shared" si="27"/>
        <v>0</v>
      </c>
      <c r="K99" s="111">
        <f t="shared" si="27"/>
        <v>65609841</v>
      </c>
      <c r="L99" s="111">
        <f t="shared" si="27"/>
        <v>12622623</v>
      </c>
      <c r="M99" s="111">
        <f t="shared" si="27"/>
        <v>0</v>
      </c>
      <c r="N99" s="111">
        <f t="shared" si="27"/>
        <v>0</v>
      </c>
      <c r="O99" s="111">
        <f t="shared" si="27"/>
        <v>52987218</v>
      </c>
      <c r="P99" s="111">
        <f t="shared" si="27"/>
        <v>47995408</v>
      </c>
      <c r="Q99" s="111">
        <f t="shared" si="27"/>
        <v>401195754.45</v>
      </c>
      <c r="R99" s="229"/>
      <c r="S99" s="103"/>
      <c r="T99" s="103"/>
      <c r="U99" s="103"/>
      <c r="V99" s="103"/>
      <c r="W99" s="103"/>
      <c r="X99" s="103"/>
      <c r="Y99" s="103"/>
      <c r="Z99" s="103"/>
      <c r="AA99" s="103"/>
      <c r="AB99" s="103"/>
      <c r="AC99" s="103"/>
      <c r="AD99" s="103"/>
      <c r="AE99" s="103"/>
    </row>
    <row r="100" spans="1:31" s="164" customFormat="1" ht="25.5" customHeight="1">
      <c r="A100" s="162"/>
      <c r="B100" s="114" t="s">
        <v>571</v>
      </c>
      <c r="C100" s="114"/>
      <c r="D100" s="114"/>
      <c r="E100" s="118" t="s">
        <v>93</v>
      </c>
      <c r="F100" s="116">
        <f>F102+F103+F105+F109+F111+F113+F119+F107+F125+F115+F127</f>
        <v>335585913.45</v>
      </c>
      <c r="G100" s="116">
        <f aca="true" t="shared" si="28" ref="G100:Q100">G102+G103+G105+G109+G111+G113+G119+G107+G125+G115+G127</f>
        <v>335585913.45</v>
      </c>
      <c r="H100" s="116">
        <f t="shared" si="28"/>
        <v>578275</v>
      </c>
      <c r="I100" s="116">
        <f t="shared" si="28"/>
        <v>28150</v>
      </c>
      <c r="J100" s="116">
        <f t="shared" si="28"/>
        <v>0</v>
      </c>
      <c r="K100" s="116">
        <f t="shared" si="28"/>
        <v>65609841</v>
      </c>
      <c r="L100" s="116">
        <f t="shared" si="28"/>
        <v>12622623</v>
      </c>
      <c r="M100" s="116">
        <f t="shared" si="28"/>
        <v>0</v>
      </c>
      <c r="N100" s="116">
        <f t="shared" si="28"/>
        <v>0</v>
      </c>
      <c r="O100" s="116">
        <f t="shared" si="28"/>
        <v>52987218</v>
      </c>
      <c r="P100" s="116">
        <f t="shared" si="28"/>
        <v>47995408</v>
      </c>
      <c r="Q100" s="116">
        <f t="shared" si="28"/>
        <v>401195754.45</v>
      </c>
      <c r="R100" s="229"/>
      <c r="S100" s="163"/>
      <c r="T100" s="163"/>
      <c r="U100" s="163"/>
      <c r="V100" s="163"/>
      <c r="W100" s="163"/>
      <c r="X100" s="163"/>
      <c r="Y100" s="163"/>
      <c r="Z100" s="163"/>
      <c r="AA100" s="163"/>
      <c r="AB100" s="163"/>
      <c r="AC100" s="163"/>
      <c r="AD100" s="163"/>
      <c r="AE100" s="163"/>
    </row>
    <row r="101" spans="1:31" s="14" customFormat="1" ht="15" customHeight="1">
      <c r="A101" s="145"/>
      <c r="B101" s="100"/>
      <c r="C101" s="100"/>
      <c r="D101" s="100"/>
      <c r="E101" s="99" t="s">
        <v>510</v>
      </c>
      <c r="F101" s="106">
        <f>F104+F106+F110+F112+F120+F114+F108+F116+F126+F128</f>
        <v>249055056.45</v>
      </c>
      <c r="G101" s="106">
        <f aca="true" t="shared" si="29" ref="G101:Q101">G104+G106+G110+G112+G120+G114+G108+G116+G126+G128</f>
        <v>249055056.45</v>
      </c>
      <c r="H101" s="106">
        <f t="shared" si="29"/>
        <v>0</v>
      </c>
      <c r="I101" s="106">
        <f t="shared" si="29"/>
        <v>0</v>
      </c>
      <c r="J101" s="106">
        <f t="shared" si="29"/>
        <v>0</v>
      </c>
      <c r="K101" s="106">
        <f t="shared" si="29"/>
        <v>6200000</v>
      </c>
      <c r="L101" s="106">
        <f t="shared" si="29"/>
        <v>0</v>
      </c>
      <c r="M101" s="106">
        <f t="shared" si="29"/>
        <v>0</v>
      </c>
      <c r="N101" s="106">
        <f t="shared" si="29"/>
        <v>0</v>
      </c>
      <c r="O101" s="106">
        <f t="shared" si="29"/>
        <v>6200000</v>
      </c>
      <c r="P101" s="106">
        <f t="shared" si="29"/>
        <v>1400000</v>
      </c>
      <c r="Q101" s="106">
        <f t="shared" si="29"/>
        <v>255255056.45</v>
      </c>
      <c r="R101" s="229"/>
      <c r="S101" s="41"/>
      <c r="T101" s="41"/>
      <c r="U101" s="41"/>
      <c r="V101" s="41"/>
      <c r="W101" s="41"/>
      <c r="X101" s="41"/>
      <c r="Y101" s="41"/>
      <c r="Z101" s="41"/>
      <c r="AA101" s="41"/>
      <c r="AB101" s="41"/>
      <c r="AC101" s="41"/>
      <c r="AD101" s="41"/>
      <c r="AE101" s="41"/>
    </row>
    <row r="102" spans="1:31" s="14" customFormat="1" ht="36.75" customHeight="1">
      <c r="A102" s="13"/>
      <c r="B102" s="122" t="s">
        <v>95</v>
      </c>
      <c r="C102" s="122" t="s">
        <v>249</v>
      </c>
      <c r="D102" s="122" t="s">
        <v>250</v>
      </c>
      <c r="E102" s="161" t="s">
        <v>520</v>
      </c>
      <c r="F102" s="106">
        <f aca="true" t="shared" si="30" ref="F102:F126">G102+J102</f>
        <v>852745</v>
      </c>
      <c r="G102" s="106">
        <f>714500+3500-22100+52200+104645</f>
        <v>852745</v>
      </c>
      <c r="H102" s="106">
        <f>492500+85775</f>
        <v>578275</v>
      </c>
      <c r="I102" s="106">
        <f>23900+3500+750</f>
        <v>28150</v>
      </c>
      <c r="J102" s="106"/>
      <c r="K102" s="106">
        <f aca="true" t="shared" si="31" ref="K102:K122">L102+O102</f>
        <v>13000</v>
      </c>
      <c r="L102" s="106"/>
      <c r="M102" s="106"/>
      <c r="N102" s="106"/>
      <c r="O102" s="106">
        <v>13000</v>
      </c>
      <c r="P102" s="106">
        <v>13000</v>
      </c>
      <c r="Q102" s="106">
        <f t="shared" si="24"/>
        <v>865745</v>
      </c>
      <c r="R102" s="229"/>
      <c r="S102" s="41"/>
      <c r="T102" s="41"/>
      <c r="U102" s="41"/>
      <c r="V102" s="41"/>
      <c r="W102" s="41"/>
      <c r="X102" s="41"/>
      <c r="Y102" s="41"/>
      <c r="Z102" s="41"/>
      <c r="AA102" s="41"/>
      <c r="AB102" s="41"/>
      <c r="AC102" s="41"/>
      <c r="AD102" s="41"/>
      <c r="AE102" s="41"/>
    </row>
    <row r="103" spans="1:31" s="14" customFormat="1" ht="34.5" customHeight="1">
      <c r="A103" s="13"/>
      <c r="B103" s="122" t="s">
        <v>97</v>
      </c>
      <c r="C103" s="122" t="s">
        <v>275</v>
      </c>
      <c r="D103" s="122" t="s">
        <v>276</v>
      </c>
      <c r="E103" s="161" t="s">
        <v>96</v>
      </c>
      <c r="F103" s="106">
        <f t="shared" si="30"/>
        <v>267157388.45</v>
      </c>
      <c r="G103" s="106">
        <f>243649288+12107548+5508000+430000+565208+150000+199000-56200+10000+28000+198900+75000+328300+1400000+489050+75000+20000-264120+7000+10000+50000-12000+114114.45+2074886+26000-25586</f>
        <v>267157388.45</v>
      </c>
      <c r="H103" s="106">
        <f>161043787-1996817-159507856+460886</f>
        <v>0</v>
      </c>
      <c r="I103" s="106">
        <f>18583106-21652058+2996184+72768</f>
        <v>0</v>
      </c>
      <c r="J103" s="106"/>
      <c r="K103" s="106">
        <f t="shared" si="31"/>
        <v>49747933</v>
      </c>
      <c r="L103" s="106">
        <f>8677823</f>
        <v>8677823</v>
      </c>
      <c r="M103" s="106">
        <f>4904947-4904947</f>
        <v>0</v>
      </c>
      <c r="N103" s="106">
        <f>190538-190538</f>
        <v>0</v>
      </c>
      <c r="O103" s="106">
        <f>22341810+2500000+3000000+2025000+368050+35000+300000+20000+12300+67000-489050+10000+15000+7200000+12000+151000+102000+3400000</f>
        <v>41070110</v>
      </c>
      <c r="P103" s="106">
        <f>22150000+2500000+3000000+2025000+368050+35000+300000+20000+12300+67000-489050+10000+15000+7200000+12000+151000+102000+3400000-3400000</f>
        <v>37478300</v>
      </c>
      <c r="Q103" s="106">
        <f t="shared" si="24"/>
        <v>316905321.45</v>
      </c>
      <c r="R103" s="229"/>
      <c r="S103" s="41"/>
      <c r="T103" s="41"/>
      <c r="U103" s="41"/>
      <c r="V103" s="41"/>
      <c r="W103" s="41"/>
      <c r="X103" s="41"/>
      <c r="Y103" s="41"/>
      <c r="Z103" s="41"/>
      <c r="AA103" s="41"/>
      <c r="AB103" s="41"/>
      <c r="AC103" s="41"/>
      <c r="AD103" s="41"/>
      <c r="AE103" s="41"/>
    </row>
    <row r="104" spans="1:31" s="14" customFormat="1" ht="15">
      <c r="A104" s="13"/>
      <c r="B104" s="123"/>
      <c r="C104" s="123"/>
      <c r="D104" s="123"/>
      <c r="E104" s="161" t="s">
        <v>510</v>
      </c>
      <c r="F104" s="106">
        <f t="shared" si="30"/>
        <v>201342601.45</v>
      </c>
      <c r="G104" s="106">
        <f>185378560+12107548+1364779+328300+114114.45+2074886-25586</f>
        <v>201342601.45</v>
      </c>
      <c r="H104" s="106">
        <f>152200885+1118770-153780541+460886</f>
        <v>0</v>
      </c>
      <c r="I104" s="106">
        <f>-72768+72768</f>
        <v>0</v>
      </c>
      <c r="J104" s="106"/>
      <c r="K104" s="106">
        <f t="shared" si="31"/>
        <v>3400000</v>
      </c>
      <c r="L104" s="106"/>
      <c r="M104" s="106"/>
      <c r="N104" s="106"/>
      <c r="O104" s="106">
        <v>3400000</v>
      </c>
      <c r="P104" s="106">
        <f>3400000-3400000</f>
        <v>0</v>
      </c>
      <c r="Q104" s="106">
        <f t="shared" si="24"/>
        <v>204742601.45</v>
      </c>
      <c r="R104" s="229"/>
      <c r="S104" s="41"/>
      <c r="T104" s="41"/>
      <c r="U104" s="41"/>
      <c r="V104" s="41"/>
      <c r="W104" s="41"/>
      <c r="X104" s="41"/>
      <c r="Y104" s="41"/>
      <c r="Z104" s="41"/>
      <c r="AA104" s="41"/>
      <c r="AB104" s="41"/>
      <c r="AC104" s="41"/>
      <c r="AD104" s="41"/>
      <c r="AE104" s="41"/>
    </row>
    <row r="105" spans="1:31" s="14" customFormat="1" ht="33" customHeight="1">
      <c r="A105" s="13"/>
      <c r="B105" s="122" t="s">
        <v>99</v>
      </c>
      <c r="C105" s="122" t="s">
        <v>277</v>
      </c>
      <c r="D105" s="122" t="s">
        <v>278</v>
      </c>
      <c r="E105" s="161" t="s">
        <v>98</v>
      </c>
      <c r="F105" s="106">
        <f t="shared" si="30"/>
        <v>30295960</v>
      </c>
      <c r="G105" s="106">
        <f>28161038+1498800+192942+150000-25020+15000+303200</f>
        <v>30295960</v>
      </c>
      <c r="H105" s="106">
        <f>18494577-18200890-293687</f>
        <v>0</v>
      </c>
      <c r="I105" s="106">
        <f>3304431-3855084+550653</f>
        <v>0</v>
      </c>
      <c r="J105" s="106"/>
      <c r="K105" s="106">
        <f t="shared" si="31"/>
        <v>3524000</v>
      </c>
      <c r="L105" s="106">
        <v>24000</v>
      </c>
      <c r="M105" s="106">
        <f>8800-8800</f>
        <v>0</v>
      </c>
      <c r="N105" s="106">
        <f>2050-2050</f>
        <v>0</v>
      </c>
      <c r="O105" s="106">
        <f>3500000</f>
        <v>3500000</v>
      </c>
      <c r="P105" s="106">
        <v>3500000</v>
      </c>
      <c r="Q105" s="106">
        <f t="shared" si="24"/>
        <v>33819960</v>
      </c>
      <c r="R105" s="229"/>
      <c r="S105" s="41"/>
      <c r="T105" s="41"/>
      <c r="U105" s="41"/>
      <c r="V105" s="41"/>
      <c r="W105" s="41"/>
      <c r="X105" s="41"/>
      <c r="Y105" s="41"/>
      <c r="Z105" s="41"/>
      <c r="AA105" s="41"/>
      <c r="AB105" s="41"/>
      <c r="AC105" s="41"/>
      <c r="AD105" s="41"/>
      <c r="AE105" s="41"/>
    </row>
    <row r="106" spans="1:31" s="14" customFormat="1" ht="15">
      <c r="A106" s="13"/>
      <c r="B106" s="123"/>
      <c r="C106" s="123"/>
      <c r="D106" s="123"/>
      <c r="E106" s="161" t="s">
        <v>511</v>
      </c>
      <c r="F106" s="106">
        <f t="shared" si="30"/>
        <v>20455292</v>
      </c>
      <c r="G106" s="106">
        <f>20867500-715408+303200</f>
        <v>20455292</v>
      </c>
      <c r="H106" s="106">
        <f>17132600-16545800-586800</f>
        <v>0</v>
      </c>
      <c r="I106" s="106"/>
      <c r="J106" s="106"/>
      <c r="K106" s="106">
        <f t="shared" si="31"/>
        <v>0</v>
      </c>
      <c r="L106" s="106"/>
      <c r="M106" s="106"/>
      <c r="N106" s="106"/>
      <c r="O106" s="106"/>
      <c r="P106" s="106"/>
      <c r="Q106" s="106">
        <f t="shared" si="24"/>
        <v>20455292</v>
      </c>
      <c r="R106" s="229"/>
      <c r="S106" s="41"/>
      <c r="T106" s="41"/>
      <c r="U106" s="41"/>
      <c r="V106" s="41"/>
      <c r="W106" s="41"/>
      <c r="X106" s="41"/>
      <c r="Y106" s="41"/>
      <c r="Z106" s="41"/>
      <c r="AA106" s="41"/>
      <c r="AB106" s="41"/>
      <c r="AC106" s="41"/>
      <c r="AD106" s="41"/>
      <c r="AE106" s="41"/>
    </row>
    <row r="107" spans="1:31" s="14" customFormat="1" ht="27" customHeight="1">
      <c r="A107" s="13"/>
      <c r="B107" s="77" t="s">
        <v>189</v>
      </c>
      <c r="C107" s="77" t="s">
        <v>279</v>
      </c>
      <c r="D107" s="77" t="s">
        <v>280</v>
      </c>
      <c r="E107" s="161" t="s">
        <v>411</v>
      </c>
      <c r="F107" s="106">
        <f t="shared" si="30"/>
        <v>2282045</v>
      </c>
      <c r="G107" s="106">
        <f>2300281+33700-51936</f>
        <v>2282045</v>
      </c>
      <c r="H107" s="106">
        <f>1761860-1704980-56880</f>
        <v>0</v>
      </c>
      <c r="I107" s="106">
        <f>101807-119095+17288</f>
        <v>0</v>
      </c>
      <c r="J107" s="106"/>
      <c r="K107" s="106">
        <f t="shared" si="31"/>
        <v>412100</v>
      </c>
      <c r="L107" s="106">
        <v>412100</v>
      </c>
      <c r="M107" s="106">
        <f>105000-105000</f>
        <v>0</v>
      </c>
      <c r="N107" s="106">
        <f>147982-147982</f>
        <v>0</v>
      </c>
      <c r="O107" s="106">
        <f>O78</f>
        <v>0</v>
      </c>
      <c r="P107" s="106">
        <f>P78</f>
        <v>0</v>
      </c>
      <c r="Q107" s="106">
        <f t="shared" si="24"/>
        <v>2694145</v>
      </c>
      <c r="R107" s="229"/>
      <c r="S107" s="41"/>
      <c r="T107" s="41"/>
      <c r="U107" s="41"/>
      <c r="V107" s="41"/>
      <c r="W107" s="41"/>
      <c r="X107" s="41"/>
      <c r="Y107" s="41"/>
      <c r="Z107" s="41"/>
      <c r="AA107" s="41"/>
      <c r="AB107" s="41"/>
      <c r="AC107" s="41"/>
      <c r="AD107" s="41"/>
      <c r="AE107" s="41"/>
    </row>
    <row r="108" spans="1:31" s="14" customFormat="1" ht="15" customHeight="1">
      <c r="A108" s="13"/>
      <c r="B108" s="77"/>
      <c r="C108" s="77"/>
      <c r="D108" s="77"/>
      <c r="E108" s="161" t="s">
        <v>511</v>
      </c>
      <c r="F108" s="106">
        <f t="shared" si="30"/>
        <v>1744691</v>
      </c>
      <c r="G108" s="106">
        <f>1977420-232729</f>
        <v>1744691</v>
      </c>
      <c r="H108" s="106">
        <f>1623500-1433600-189900</f>
        <v>0</v>
      </c>
      <c r="I108" s="106"/>
      <c r="J108" s="106"/>
      <c r="K108" s="106">
        <f t="shared" si="31"/>
        <v>0</v>
      </c>
      <c r="L108" s="106">
        <f>L79</f>
        <v>0</v>
      </c>
      <c r="M108" s="106">
        <f>M79</f>
        <v>0</v>
      </c>
      <c r="N108" s="106">
        <f>N79</f>
        <v>0</v>
      </c>
      <c r="O108" s="106">
        <f>O79</f>
        <v>0</v>
      </c>
      <c r="P108" s="106">
        <f>P79</f>
        <v>0</v>
      </c>
      <c r="Q108" s="106">
        <f t="shared" si="24"/>
        <v>1744691</v>
      </c>
      <c r="R108" s="229"/>
      <c r="S108" s="41"/>
      <c r="T108" s="41"/>
      <c r="U108" s="41"/>
      <c r="V108" s="41"/>
      <c r="W108" s="41"/>
      <c r="X108" s="41"/>
      <c r="Y108" s="41"/>
      <c r="Z108" s="41"/>
      <c r="AA108" s="41"/>
      <c r="AB108" s="41"/>
      <c r="AC108" s="41"/>
      <c r="AD108" s="41"/>
      <c r="AE108" s="41"/>
    </row>
    <row r="109" spans="1:31" s="14" customFormat="1" ht="30" customHeight="1">
      <c r="A109" s="13"/>
      <c r="B109" s="122" t="s">
        <v>101</v>
      </c>
      <c r="C109" s="122" t="s">
        <v>281</v>
      </c>
      <c r="D109" s="122" t="s">
        <v>282</v>
      </c>
      <c r="E109" s="161" t="s">
        <v>100</v>
      </c>
      <c r="F109" s="106">
        <f t="shared" si="30"/>
        <v>7106432</v>
      </c>
      <c r="G109" s="106">
        <f>6763216+677800-142134-60250-132200</f>
        <v>7106432</v>
      </c>
      <c r="H109" s="106">
        <f>4844273-4671090-173183</f>
        <v>0</v>
      </c>
      <c r="I109" s="106">
        <f>416191-485340+69149</f>
        <v>0</v>
      </c>
      <c r="J109" s="106"/>
      <c r="K109" s="106">
        <f t="shared" si="31"/>
        <v>4352000</v>
      </c>
      <c r="L109" s="106">
        <v>3352000</v>
      </c>
      <c r="M109" s="106">
        <f>2200000-2200000</f>
        <v>0</v>
      </c>
      <c r="N109" s="106">
        <f>166273-166273</f>
        <v>0</v>
      </c>
      <c r="O109" s="106">
        <v>1000000</v>
      </c>
      <c r="P109" s="106">
        <v>1000000</v>
      </c>
      <c r="Q109" s="106">
        <f t="shared" si="24"/>
        <v>11458432</v>
      </c>
      <c r="R109" s="229"/>
      <c r="S109" s="41"/>
      <c r="T109" s="41"/>
      <c r="U109" s="41"/>
      <c r="V109" s="41"/>
      <c r="W109" s="41"/>
      <c r="X109" s="41"/>
      <c r="Y109" s="41"/>
      <c r="Z109" s="41"/>
      <c r="AA109" s="41"/>
      <c r="AB109" s="41"/>
      <c r="AC109" s="41"/>
      <c r="AD109" s="41"/>
      <c r="AE109" s="41"/>
    </row>
    <row r="110" spans="1:31" s="14" customFormat="1" ht="15">
      <c r="A110" s="13"/>
      <c r="B110" s="123"/>
      <c r="C110" s="123"/>
      <c r="D110" s="123"/>
      <c r="E110" s="161" t="s">
        <v>511</v>
      </c>
      <c r="F110" s="106">
        <f t="shared" si="30"/>
        <v>5024130</v>
      </c>
      <c r="G110" s="106">
        <f>5229400-73070-132200</f>
        <v>5024130</v>
      </c>
      <c r="H110" s="106">
        <f>4286400-4226500-59900</f>
        <v>0</v>
      </c>
      <c r="I110" s="106"/>
      <c r="J110" s="106"/>
      <c r="K110" s="106">
        <f t="shared" si="31"/>
        <v>0</v>
      </c>
      <c r="L110" s="106"/>
      <c r="M110" s="106"/>
      <c r="N110" s="106"/>
      <c r="O110" s="106"/>
      <c r="P110" s="106"/>
      <c r="Q110" s="106">
        <f t="shared" si="24"/>
        <v>5024130</v>
      </c>
      <c r="R110" s="229"/>
      <c r="S110" s="41"/>
      <c r="T110" s="41"/>
      <c r="U110" s="41"/>
      <c r="V110" s="41"/>
      <c r="W110" s="41"/>
      <c r="X110" s="41"/>
      <c r="Y110" s="41"/>
      <c r="Z110" s="41"/>
      <c r="AA110" s="41"/>
      <c r="AB110" s="41"/>
      <c r="AC110" s="41"/>
      <c r="AD110" s="41"/>
      <c r="AE110" s="41"/>
    </row>
    <row r="111" spans="1:31" s="14" customFormat="1" ht="22.5" customHeight="1">
      <c r="A111" s="13"/>
      <c r="B111" s="122" t="s">
        <v>103</v>
      </c>
      <c r="C111" s="122" t="s">
        <v>283</v>
      </c>
      <c r="D111" s="122" t="s">
        <v>284</v>
      </c>
      <c r="E111" s="161" t="s">
        <v>102</v>
      </c>
      <c r="F111" s="106">
        <f t="shared" si="30"/>
        <v>14739397</v>
      </c>
      <c r="G111" s="106">
        <f>15160975+211200-849984-1500+100000+264120-145414</f>
        <v>14739397</v>
      </c>
      <c r="H111" s="106">
        <f>10325773-9562860-762913</f>
        <v>0</v>
      </c>
      <c r="I111" s="106">
        <f>541867-620349+78482</f>
        <v>0</v>
      </c>
      <c r="J111" s="106"/>
      <c r="K111" s="106">
        <f t="shared" si="31"/>
        <v>2018808</v>
      </c>
      <c r="L111" s="106">
        <v>156700</v>
      </c>
      <c r="M111" s="106">
        <f>26000-26000</f>
        <v>0</v>
      </c>
      <c r="N111" s="106">
        <f>19941-19941</f>
        <v>0</v>
      </c>
      <c r="O111" s="106">
        <f>1250000+475000+137108</f>
        <v>1862108</v>
      </c>
      <c r="P111" s="106">
        <f>1250000+475000+137108</f>
        <v>1862108</v>
      </c>
      <c r="Q111" s="106">
        <f t="shared" si="24"/>
        <v>16758205</v>
      </c>
      <c r="R111" s="229"/>
      <c r="S111" s="41"/>
      <c r="T111" s="41"/>
      <c r="U111" s="41"/>
      <c r="V111" s="41"/>
      <c r="W111" s="41"/>
      <c r="X111" s="41"/>
      <c r="Y111" s="41"/>
      <c r="Z111" s="41"/>
      <c r="AA111" s="41"/>
      <c r="AB111" s="41"/>
      <c r="AC111" s="41"/>
      <c r="AD111" s="41"/>
      <c r="AE111" s="41"/>
    </row>
    <row r="112" spans="1:31" s="14" customFormat="1" ht="15.75" customHeight="1">
      <c r="A112" s="13"/>
      <c r="B112" s="123"/>
      <c r="C112" s="123"/>
      <c r="D112" s="123"/>
      <c r="E112" s="161" t="s">
        <v>511</v>
      </c>
      <c r="F112" s="106">
        <f t="shared" si="30"/>
        <v>10392711</v>
      </c>
      <c r="G112" s="106">
        <f>10831100-292975-145414</f>
        <v>10392711</v>
      </c>
      <c r="H112" s="106">
        <f>8899800-8659100-240700</f>
        <v>0</v>
      </c>
      <c r="I112" s="106"/>
      <c r="J112" s="106"/>
      <c r="K112" s="106">
        <f t="shared" si="31"/>
        <v>0</v>
      </c>
      <c r="L112" s="106"/>
      <c r="M112" s="106"/>
      <c r="N112" s="106"/>
      <c r="O112" s="106"/>
      <c r="P112" s="106"/>
      <c r="Q112" s="106">
        <f t="shared" si="24"/>
        <v>10392711</v>
      </c>
      <c r="R112" s="229"/>
      <c r="S112" s="41"/>
      <c r="T112" s="41"/>
      <c r="U112" s="41"/>
      <c r="V112" s="41"/>
      <c r="W112" s="41"/>
      <c r="X112" s="41"/>
      <c r="Y112" s="41"/>
      <c r="Z112" s="41"/>
      <c r="AA112" s="41"/>
      <c r="AB112" s="41"/>
      <c r="AC112" s="41"/>
      <c r="AD112" s="41"/>
      <c r="AE112" s="41"/>
    </row>
    <row r="113" spans="1:31" s="14" customFormat="1" ht="62.25" customHeight="1">
      <c r="A113" s="13"/>
      <c r="B113" s="77" t="s">
        <v>108</v>
      </c>
      <c r="C113" s="77" t="s">
        <v>285</v>
      </c>
      <c r="D113" s="77" t="s">
        <v>286</v>
      </c>
      <c r="E113" s="161" t="s">
        <v>24</v>
      </c>
      <c r="F113" s="106">
        <f t="shared" si="30"/>
        <v>898410</v>
      </c>
      <c r="G113" s="106">
        <f>1003653-105243</f>
        <v>898410</v>
      </c>
      <c r="H113" s="106">
        <f>684083-596400-87683</f>
        <v>0</v>
      </c>
      <c r="I113" s="106">
        <f>24172-25902+1730</f>
        <v>0</v>
      </c>
      <c r="J113" s="106"/>
      <c r="K113" s="106">
        <f t="shared" si="31"/>
        <v>0</v>
      </c>
      <c r="L113" s="106"/>
      <c r="M113" s="106"/>
      <c r="N113" s="106"/>
      <c r="O113" s="106"/>
      <c r="P113" s="106"/>
      <c r="Q113" s="106">
        <f t="shared" si="24"/>
        <v>898410</v>
      </c>
      <c r="R113" s="229"/>
      <c r="S113" s="41"/>
      <c r="T113" s="41"/>
      <c r="U113" s="41"/>
      <c r="V113" s="41"/>
      <c r="W113" s="41"/>
      <c r="X113" s="41"/>
      <c r="Y113" s="41"/>
      <c r="Z113" s="41"/>
      <c r="AA113" s="41"/>
      <c r="AB113" s="41"/>
      <c r="AC113" s="41"/>
      <c r="AD113" s="41"/>
      <c r="AE113" s="41"/>
    </row>
    <row r="114" spans="1:31" s="14" customFormat="1" ht="21" customHeight="1">
      <c r="A114" s="13"/>
      <c r="B114" s="123"/>
      <c r="C114" s="123"/>
      <c r="D114" s="123"/>
      <c r="E114" s="161" t="s">
        <v>511</v>
      </c>
      <c r="F114" s="106">
        <f t="shared" si="30"/>
        <v>727608</v>
      </c>
      <c r="G114" s="106">
        <f>756280-28672</f>
        <v>727608</v>
      </c>
      <c r="H114" s="106">
        <f>619900-596400-23500</f>
        <v>0</v>
      </c>
      <c r="I114" s="106"/>
      <c r="J114" s="106"/>
      <c r="K114" s="106">
        <f t="shared" si="31"/>
        <v>0</v>
      </c>
      <c r="L114" s="106"/>
      <c r="M114" s="106"/>
      <c r="N114" s="106"/>
      <c r="O114" s="106"/>
      <c r="P114" s="106"/>
      <c r="Q114" s="106">
        <f t="shared" si="24"/>
        <v>727608</v>
      </c>
      <c r="R114" s="229"/>
      <c r="S114" s="41"/>
      <c r="T114" s="41"/>
      <c r="U114" s="41"/>
      <c r="V114" s="41"/>
      <c r="W114" s="41"/>
      <c r="X114" s="41"/>
      <c r="Y114" s="41"/>
      <c r="Z114" s="41"/>
      <c r="AA114" s="41"/>
      <c r="AB114" s="41"/>
      <c r="AC114" s="41"/>
      <c r="AD114" s="41"/>
      <c r="AE114" s="41"/>
    </row>
    <row r="115" spans="1:31" s="14" customFormat="1" ht="38.25" customHeight="1">
      <c r="A115" s="13"/>
      <c r="B115" s="123">
        <v>1412210</v>
      </c>
      <c r="C115" s="123">
        <v>2210</v>
      </c>
      <c r="D115" s="123"/>
      <c r="E115" s="161" t="s">
        <v>437</v>
      </c>
      <c r="F115" s="106">
        <f t="shared" si="30"/>
        <v>5312308</v>
      </c>
      <c r="G115" s="106">
        <f aca="true" t="shared" si="32" ref="G115:P115">G117</f>
        <v>5312308</v>
      </c>
      <c r="H115" s="106">
        <f t="shared" si="32"/>
        <v>0</v>
      </c>
      <c r="I115" s="106">
        <f t="shared" si="32"/>
        <v>0</v>
      </c>
      <c r="J115" s="106">
        <f t="shared" si="32"/>
        <v>0</v>
      </c>
      <c r="K115" s="106">
        <f t="shared" si="31"/>
        <v>0</v>
      </c>
      <c r="L115" s="106">
        <f t="shared" si="32"/>
        <v>0</v>
      </c>
      <c r="M115" s="106">
        <f t="shared" si="32"/>
        <v>0</v>
      </c>
      <c r="N115" s="106">
        <f t="shared" si="32"/>
        <v>0</v>
      </c>
      <c r="O115" s="106">
        <f t="shared" si="32"/>
        <v>0</v>
      </c>
      <c r="P115" s="106">
        <f t="shared" si="32"/>
        <v>0</v>
      </c>
      <c r="Q115" s="106">
        <f t="shared" si="24"/>
        <v>5312308</v>
      </c>
      <c r="R115" s="229"/>
      <c r="S115" s="41"/>
      <c r="T115" s="41"/>
      <c r="U115" s="41"/>
      <c r="V115" s="41"/>
      <c r="W115" s="41"/>
      <c r="X115" s="41"/>
      <c r="Y115" s="41"/>
      <c r="Z115" s="41"/>
      <c r="AA115" s="41"/>
      <c r="AB115" s="41"/>
      <c r="AC115" s="41"/>
      <c r="AD115" s="41"/>
      <c r="AE115" s="41"/>
    </row>
    <row r="116" spans="1:31" s="14" customFormat="1" ht="15.75" customHeight="1">
      <c r="A116" s="13"/>
      <c r="B116" s="123"/>
      <c r="C116" s="123"/>
      <c r="D116" s="123"/>
      <c r="E116" s="161" t="s">
        <v>511</v>
      </c>
      <c r="F116" s="106">
        <f t="shared" si="30"/>
        <v>5312308</v>
      </c>
      <c r="G116" s="106">
        <f aca="true" t="shared" si="33" ref="G116:P116">G118</f>
        <v>5312308</v>
      </c>
      <c r="H116" s="106">
        <f t="shared" si="33"/>
        <v>0</v>
      </c>
      <c r="I116" s="106">
        <f t="shared" si="33"/>
        <v>0</v>
      </c>
      <c r="J116" s="106">
        <f t="shared" si="33"/>
        <v>0</v>
      </c>
      <c r="K116" s="106">
        <f t="shared" si="31"/>
        <v>0</v>
      </c>
      <c r="L116" s="106">
        <f t="shared" si="33"/>
        <v>0</v>
      </c>
      <c r="M116" s="106">
        <f t="shared" si="33"/>
        <v>0</v>
      </c>
      <c r="N116" s="106">
        <f t="shared" si="33"/>
        <v>0</v>
      </c>
      <c r="O116" s="106">
        <f t="shared" si="33"/>
        <v>0</v>
      </c>
      <c r="P116" s="106">
        <f t="shared" si="33"/>
        <v>0</v>
      </c>
      <c r="Q116" s="106">
        <f t="shared" si="24"/>
        <v>5312308</v>
      </c>
      <c r="R116" s="229"/>
      <c r="S116" s="41"/>
      <c r="T116" s="41"/>
      <c r="U116" s="41"/>
      <c r="V116" s="41"/>
      <c r="W116" s="41"/>
      <c r="X116" s="41"/>
      <c r="Y116" s="41"/>
      <c r="Z116" s="41"/>
      <c r="AA116" s="41"/>
      <c r="AB116" s="41"/>
      <c r="AC116" s="41"/>
      <c r="AD116" s="41"/>
      <c r="AE116" s="41"/>
    </row>
    <row r="117" spans="1:31" s="33" customFormat="1" ht="40.5" customHeight="1">
      <c r="A117" s="32"/>
      <c r="B117" s="27">
        <v>1412214</v>
      </c>
      <c r="C117" s="27">
        <v>2214</v>
      </c>
      <c r="D117" s="28" t="s">
        <v>286</v>
      </c>
      <c r="E117" s="29" t="s">
        <v>438</v>
      </c>
      <c r="F117" s="107">
        <f t="shared" si="30"/>
        <v>5312308</v>
      </c>
      <c r="G117" s="107">
        <f>5312308</f>
        <v>5312308</v>
      </c>
      <c r="H117" s="107"/>
      <c r="I117" s="107"/>
      <c r="J117" s="107"/>
      <c r="K117" s="107">
        <f t="shared" si="31"/>
        <v>0</v>
      </c>
      <c r="L117" s="107"/>
      <c r="M117" s="107"/>
      <c r="N117" s="107"/>
      <c r="O117" s="107"/>
      <c r="P117" s="107"/>
      <c r="Q117" s="107">
        <f t="shared" si="24"/>
        <v>5312308</v>
      </c>
      <c r="R117" s="229"/>
      <c r="S117" s="31"/>
      <c r="T117" s="168"/>
      <c r="U117" s="31"/>
      <c r="V117" s="31"/>
      <c r="W117" s="31"/>
      <c r="X117" s="31"/>
      <c r="Y117" s="31"/>
      <c r="Z117" s="31"/>
      <c r="AA117" s="31"/>
      <c r="AB117" s="31"/>
      <c r="AC117" s="31"/>
      <c r="AD117" s="31"/>
      <c r="AE117" s="31"/>
    </row>
    <row r="118" spans="1:31" s="33" customFormat="1" ht="17.25" customHeight="1">
      <c r="A118" s="32"/>
      <c r="B118" s="27"/>
      <c r="C118" s="27"/>
      <c r="D118" s="28"/>
      <c r="E118" s="29" t="s">
        <v>511</v>
      </c>
      <c r="F118" s="107">
        <f t="shared" si="30"/>
        <v>5312308</v>
      </c>
      <c r="G118" s="107">
        <f>5312308</f>
        <v>5312308</v>
      </c>
      <c r="H118" s="107"/>
      <c r="I118" s="107"/>
      <c r="J118" s="107"/>
      <c r="K118" s="107">
        <f t="shared" si="31"/>
        <v>0</v>
      </c>
      <c r="L118" s="107"/>
      <c r="M118" s="107"/>
      <c r="N118" s="107"/>
      <c r="O118" s="107"/>
      <c r="P118" s="107"/>
      <c r="Q118" s="107">
        <f t="shared" si="24"/>
        <v>5312308</v>
      </c>
      <c r="R118" s="229"/>
      <c r="S118" s="31"/>
      <c r="T118" s="31"/>
      <c r="U118" s="31"/>
      <c r="V118" s="31"/>
      <c r="W118" s="31"/>
      <c r="X118" s="31"/>
      <c r="Y118" s="31"/>
      <c r="Z118" s="31"/>
      <c r="AA118" s="31"/>
      <c r="AB118" s="31"/>
      <c r="AC118" s="31"/>
      <c r="AD118" s="31"/>
      <c r="AE118" s="31"/>
    </row>
    <row r="119" spans="1:31" s="14" customFormat="1" ht="24" customHeight="1">
      <c r="A119" s="22"/>
      <c r="B119" s="26" t="s">
        <v>105</v>
      </c>
      <c r="C119" s="26" t="s">
        <v>287</v>
      </c>
      <c r="D119" s="26" t="s">
        <v>286</v>
      </c>
      <c r="E119" s="23" t="s">
        <v>104</v>
      </c>
      <c r="F119" s="106">
        <f>G119+J119</f>
        <v>6017158</v>
      </c>
      <c r="G119" s="106">
        <f>G121+G123</f>
        <v>6017158</v>
      </c>
      <c r="H119" s="106">
        <f aca="true" t="shared" si="34" ref="H119:P119">H121+H123</f>
        <v>0</v>
      </c>
      <c r="I119" s="106">
        <f t="shared" si="34"/>
        <v>0</v>
      </c>
      <c r="J119" s="106">
        <f t="shared" si="34"/>
        <v>0</v>
      </c>
      <c r="K119" s="106">
        <f t="shared" si="31"/>
        <v>0</v>
      </c>
      <c r="L119" s="106">
        <f t="shared" si="34"/>
        <v>0</v>
      </c>
      <c r="M119" s="106">
        <f t="shared" si="34"/>
        <v>0</v>
      </c>
      <c r="N119" s="106">
        <f t="shared" si="34"/>
        <v>0</v>
      </c>
      <c r="O119" s="106">
        <f t="shared" si="34"/>
        <v>0</v>
      </c>
      <c r="P119" s="106">
        <f t="shared" si="34"/>
        <v>0</v>
      </c>
      <c r="Q119" s="106">
        <f t="shared" si="24"/>
        <v>6017158</v>
      </c>
      <c r="R119" s="229"/>
      <c r="S119" s="41"/>
      <c r="T119" s="41"/>
      <c r="U119" s="41"/>
      <c r="V119" s="41"/>
      <c r="W119" s="41"/>
      <c r="X119" s="41"/>
      <c r="Y119" s="41"/>
      <c r="Z119" s="41"/>
      <c r="AA119" s="41"/>
      <c r="AB119" s="41"/>
      <c r="AC119" s="41"/>
      <c r="AD119" s="41"/>
      <c r="AE119" s="41"/>
    </row>
    <row r="120" spans="1:31" s="14" customFormat="1" ht="24.75" customHeight="1">
      <c r="A120" s="13"/>
      <c r="B120" s="27"/>
      <c r="C120" s="27"/>
      <c r="D120" s="25"/>
      <c r="E120" s="23" t="s">
        <v>511</v>
      </c>
      <c r="F120" s="106">
        <f>G120+J120</f>
        <v>4055715</v>
      </c>
      <c r="G120" s="106">
        <f>G122+G124</f>
        <v>4055715</v>
      </c>
      <c r="H120" s="106">
        <f aca="true" t="shared" si="35" ref="H120:P120">H122</f>
        <v>0</v>
      </c>
      <c r="I120" s="106">
        <f t="shared" si="35"/>
        <v>0</v>
      </c>
      <c r="J120" s="106">
        <f t="shared" si="35"/>
        <v>0</v>
      </c>
      <c r="K120" s="106">
        <f t="shared" si="35"/>
        <v>0</v>
      </c>
      <c r="L120" s="106">
        <f t="shared" si="35"/>
        <v>0</v>
      </c>
      <c r="M120" s="106">
        <f t="shared" si="35"/>
        <v>0</v>
      </c>
      <c r="N120" s="106">
        <f t="shared" si="35"/>
        <v>0</v>
      </c>
      <c r="O120" s="106">
        <f t="shared" si="35"/>
        <v>0</v>
      </c>
      <c r="P120" s="106">
        <f t="shared" si="35"/>
        <v>0</v>
      </c>
      <c r="Q120" s="106">
        <f t="shared" si="24"/>
        <v>4055715</v>
      </c>
      <c r="R120" s="229"/>
      <c r="S120" s="41"/>
      <c r="T120" s="41"/>
      <c r="U120" s="41"/>
      <c r="V120" s="41"/>
      <c r="W120" s="41"/>
      <c r="X120" s="41"/>
      <c r="Y120" s="41"/>
      <c r="Z120" s="41"/>
      <c r="AA120" s="41"/>
      <c r="AB120" s="41"/>
      <c r="AC120" s="41"/>
      <c r="AD120" s="41"/>
      <c r="AE120" s="41"/>
    </row>
    <row r="121" spans="1:31" s="33" customFormat="1" ht="34.5" customHeight="1">
      <c r="A121" s="32"/>
      <c r="B121" s="36" t="s">
        <v>105</v>
      </c>
      <c r="C121" s="36" t="s">
        <v>287</v>
      </c>
      <c r="D121" s="28" t="s">
        <v>286</v>
      </c>
      <c r="E121" s="19" t="s">
        <v>106</v>
      </c>
      <c r="F121" s="107">
        <f t="shared" si="30"/>
        <v>826395</v>
      </c>
      <c r="G121" s="107">
        <f>912686-86291</f>
        <v>826395</v>
      </c>
      <c r="H121" s="107">
        <f>641947-569930-72017</f>
        <v>0</v>
      </c>
      <c r="I121" s="107">
        <f>10726-12295+1569</f>
        <v>0</v>
      </c>
      <c r="J121" s="107"/>
      <c r="K121" s="107">
        <f t="shared" si="31"/>
        <v>0</v>
      </c>
      <c r="L121" s="107"/>
      <c r="M121" s="107"/>
      <c r="N121" s="107"/>
      <c r="O121" s="107"/>
      <c r="P121" s="107"/>
      <c r="Q121" s="107">
        <f t="shared" si="24"/>
        <v>826395</v>
      </c>
      <c r="R121" s="229"/>
      <c r="S121" s="31"/>
      <c r="T121" s="31"/>
      <c r="U121" s="31"/>
      <c r="V121" s="31"/>
      <c r="W121" s="31"/>
      <c r="X121" s="31"/>
      <c r="Y121" s="31"/>
      <c r="Z121" s="31"/>
      <c r="AA121" s="31"/>
      <c r="AB121" s="31"/>
      <c r="AC121" s="31"/>
      <c r="AD121" s="31"/>
      <c r="AE121" s="31"/>
    </row>
    <row r="122" spans="1:31" s="33" customFormat="1" ht="16.5" customHeight="1">
      <c r="A122" s="32"/>
      <c r="B122" s="28"/>
      <c r="C122" s="28"/>
      <c r="D122" s="28"/>
      <c r="E122" s="19" t="s">
        <v>511</v>
      </c>
      <c r="F122" s="107">
        <f t="shared" si="30"/>
        <v>695315</v>
      </c>
      <c r="G122" s="107">
        <f>717240-21925</f>
        <v>695315</v>
      </c>
      <c r="H122" s="107">
        <f>587900-569930-17970</f>
        <v>0</v>
      </c>
      <c r="I122" s="107"/>
      <c r="J122" s="107"/>
      <c r="K122" s="107">
        <f t="shared" si="31"/>
        <v>0</v>
      </c>
      <c r="L122" s="107"/>
      <c r="M122" s="107"/>
      <c r="N122" s="107"/>
      <c r="O122" s="107"/>
      <c r="P122" s="107"/>
      <c r="Q122" s="107">
        <f t="shared" si="24"/>
        <v>695315</v>
      </c>
      <c r="R122" s="229"/>
      <c r="S122" s="31"/>
      <c r="T122" s="31"/>
      <c r="U122" s="31"/>
      <c r="V122" s="31"/>
      <c r="W122" s="31"/>
      <c r="X122" s="31"/>
      <c r="Y122" s="31"/>
      <c r="Z122" s="31"/>
      <c r="AA122" s="31"/>
      <c r="AB122" s="31"/>
      <c r="AC122" s="31"/>
      <c r="AD122" s="31"/>
      <c r="AE122" s="31"/>
    </row>
    <row r="123" spans="1:31" s="33" customFormat="1" ht="30" customHeight="1">
      <c r="A123" s="32"/>
      <c r="B123" s="36" t="s">
        <v>105</v>
      </c>
      <c r="C123" s="36" t="s">
        <v>287</v>
      </c>
      <c r="D123" s="28" t="s">
        <v>286</v>
      </c>
      <c r="E123" s="19" t="s">
        <v>107</v>
      </c>
      <c r="F123" s="107">
        <f t="shared" si="30"/>
        <v>5190763</v>
      </c>
      <c r="G123" s="107">
        <f>1830363+3360400</f>
        <v>5190763</v>
      </c>
      <c r="H123" s="107"/>
      <c r="I123" s="107"/>
      <c r="J123" s="107"/>
      <c r="K123" s="107">
        <f>L123+O123</f>
        <v>0</v>
      </c>
      <c r="L123" s="107"/>
      <c r="M123" s="107"/>
      <c r="N123" s="107"/>
      <c r="O123" s="107"/>
      <c r="P123" s="107"/>
      <c r="Q123" s="107">
        <f t="shared" si="24"/>
        <v>5190763</v>
      </c>
      <c r="R123" s="229"/>
      <c r="S123" s="31"/>
      <c r="T123" s="31"/>
      <c r="U123" s="31"/>
      <c r="V123" s="31"/>
      <c r="W123" s="31"/>
      <c r="X123" s="31"/>
      <c r="Y123" s="31"/>
      <c r="Z123" s="31"/>
      <c r="AA123" s="31"/>
      <c r="AB123" s="31"/>
      <c r="AC123" s="31"/>
      <c r="AD123" s="31"/>
      <c r="AE123" s="31"/>
    </row>
    <row r="124" spans="1:31" s="33" customFormat="1" ht="14.25" customHeight="1">
      <c r="A124" s="32"/>
      <c r="B124" s="36"/>
      <c r="C124" s="36"/>
      <c r="D124" s="28"/>
      <c r="E124" s="19" t="s">
        <v>511</v>
      </c>
      <c r="F124" s="107">
        <f t="shared" si="30"/>
        <v>3360400</v>
      </c>
      <c r="G124" s="107">
        <v>3360400</v>
      </c>
      <c r="H124" s="107"/>
      <c r="I124" s="107"/>
      <c r="J124" s="107"/>
      <c r="K124" s="107"/>
      <c r="L124" s="107"/>
      <c r="M124" s="107"/>
      <c r="N124" s="107"/>
      <c r="O124" s="107"/>
      <c r="P124" s="107"/>
      <c r="Q124" s="107">
        <f t="shared" si="24"/>
        <v>3360400</v>
      </c>
      <c r="R124" s="229"/>
      <c r="S124" s="31"/>
      <c r="T124" s="31"/>
      <c r="U124" s="31"/>
      <c r="V124" s="31"/>
      <c r="W124" s="31"/>
      <c r="X124" s="31"/>
      <c r="Y124" s="31"/>
      <c r="Z124" s="31"/>
      <c r="AA124" s="31"/>
      <c r="AB124" s="31"/>
      <c r="AC124" s="31"/>
      <c r="AD124" s="31"/>
      <c r="AE124" s="31"/>
    </row>
    <row r="125" spans="1:31" s="14" customFormat="1" ht="20.25" customHeight="1">
      <c r="A125" s="13"/>
      <c r="B125" s="122" t="s">
        <v>383</v>
      </c>
      <c r="C125" s="122" t="s">
        <v>343</v>
      </c>
      <c r="D125" s="122" t="s">
        <v>344</v>
      </c>
      <c r="E125" s="99" t="s">
        <v>158</v>
      </c>
      <c r="F125" s="106">
        <f t="shared" si="30"/>
        <v>264070</v>
      </c>
      <c r="G125" s="106">
        <f>121100+82720+60250</f>
        <v>264070</v>
      </c>
      <c r="H125" s="106"/>
      <c r="I125" s="106"/>
      <c r="J125" s="106"/>
      <c r="K125" s="106">
        <f>L125+O125</f>
        <v>2642000</v>
      </c>
      <c r="L125" s="106"/>
      <c r="M125" s="106"/>
      <c r="N125" s="106"/>
      <c r="O125" s="106">
        <f>1200000+42000+1400000</f>
        <v>2642000</v>
      </c>
      <c r="P125" s="106">
        <f>1200000+42000+1400000</f>
        <v>2642000</v>
      </c>
      <c r="Q125" s="106">
        <f t="shared" si="24"/>
        <v>2906070</v>
      </c>
      <c r="R125" s="229"/>
      <c r="S125" s="41"/>
      <c r="T125" s="41"/>
      <c r="U125" s="41"/>
      <c r="V125" s="41"/>
      <c r="W125" s="41"/>
      <c r="X125" s="41"/>
      <c r="Y125" s="41"/>
      <c r="Z125" s="41"/>
      <c r="AA125" s="41"/>
      <c r="AB125" s="41"/>
      <c r="AC125" s="41"/>
      <c r="AD125" s="41"/>
      <c r="AE125" s="41"/>
    </row>
    <row r="126" spans="1:31" s="14" customFormat="1" ht="16.5" customHeight="1">
      <c r="A126" s="13"/>
      <c r="B126" s="122"/>
      <c r="C126" s="122"/>
      <c r="D126" s="122"/>
      <c r="E126" s="99" t="s">
        <v>579</v>
      </c>
      <c r="F126" s="106">
        <f t="shared" si="30"/>
        <v>0</v>
      </c>
      <c r="G126" s="106"/>
      <c r="H126" s="106"/>
      <c r="I126" s="106"/>
      <c r="J126" s="106"/>
      <c r="K126" s="106">
        <f>L126+O126</f>
        <v>1400000</v>
      </c>
      <c r="L126" s="106"/>
      <c r="M126" s="106"/>
      <c r="N126" s="106"/>
      <c r="O126" s="106">
        <v>1400000</v>
      </c>
      <c r="P126" s="106">
        <v>1400000</v>
      </c>
      <c r="Q126" s="106">
        <f t="shared" si="24"/>
        <v>1400000</v>
      </c>
      <c r="R126" s="229"/>
      <c r="S126" s="41"/>
      <c r="T126" s="41"/>
      <c r="U126" s="41"/>
      <c r="V126" s="41"/>
      <c r="W126" s="41"/>
      <c r="X126" s="41"/>
      <c r="Y126" s="41"/>
      <c r="Z126" s="41"/>
      <c r="AA126" s="41"/>
      <c r="AB126" s="41"/>
      <c r="AC126" s="41"/>
      <c r="AD126" s="41"/>
      <c r="AE126" s="41"/>
    </row>
    <row r="127" spans="1:31" s="14" customFormat="1" ht="16.5" customHeight="1">
      <c r="A127" s="13"/>
      <c r="B127" s="122" t="s">
        <v>568</v>
      </c>
      <c r="C127" s="122" t="s">
        <v>379</v>
      </c>
      <c r="D127" s="122" t="s">
        <v>249</v>
      </c>
      <c r="E127" s="201" t="s">
        <v>30</v>
      </c>
      <c r="F127" s="106">
        <f>F129</f>
        <v>660000</v>
      </c>
      <c r="G127" s="106">
        <f aca="true" t="shared" si="36" ref="G127:Q128">G129</f>
        <v>660000</v>
      </c>
      <c r="H127" s="106">
        <f t="shared" si="36"/>
        <v>0</v>
      </c>
      <c r="I127" s="106">
        <f t="shared" si="36"/>
        <v>0</v>
      </c>
      <c r="J127" s="106">
        <f t="shared" si="36"/>
        <v>0</v>
      </c>
      <c r="K127" s="106">
        <f t="shared" si="36"/>
        <v>2900000</v>
      </c>
      <c r="L127" s="106">
        <f t="shared" si="36"/>
        <v>0</v>
      </c>
      <c r="M127" s="106">
        <f t="shared" si="36"/>
        <v>0</v>
      </c>
      <c r="N127" s="106">
        <f t="shared" si="36"/>
        <v>0</v>
      </c>
      <c r="O127" s="106">
        <f t="shared" si="36"/>
        <v>2900000</v>
      </c>
      <c r="P127" s="106">
        <f t="shared" si="36"/>
        <v>1500000</v>
      </c>
      <c r="Q127" s="106">
        <f t="shared" si="36"/>
        <v>3560000</v>
      </c>
      <c r="R127" s="229"/>
      <c r="S127" s="41"/>
      <c r="T127" s="41"/>
      <c r="U127" s="41"/>
      <c r="V127" s="41"/>
      <c r="W127" s="41"/>
      <c r="X127" s="41"/>
      <c r="Y127" s="41"/>
      <c r="Z127" s="41"/>
      <c r="AA127" s="41"/>
      <c r="AB127" s="41"/>
      <c r="AC127" s="41"/>
      <c r="AD127" s="41"/>
      <c r="AE127" s="41"/>
    </row>
    <row r="128" spans="1:31" s="14" customFormat="1" ht="16.5" customHeight="1">
      <c r="A128" s="13"/>
      <c r="B128" s="122"/>
      <c r="C128" s="122"/>
      <c r="D128" s="122"/>
      <c r="E128" s="99" t="s">
        <v>579</v>
      </c>
      <c r="F128" s="106">
        <f>F130</f>
        <v>0</v>
      </c>
      <c r="G128" s="106">
        <f t="shared" si="36"/>
        <v>0</v>
      </c>
      <c r="H128" s="106">
        <f t="shared" si="36"/>
        <v>0</v>
      </c>
      <c r="I128" s="106">
        <f t="shared" si="36"/>
        <v>0</v>
      </c>
      <c r="J128" s="106">
        <f t="shared" si="36"/>
        <v>0</v>
      </c>
      <c r="K128" s="106">
        <f t="shared" si="36"/>
        <v>1400000</v>
      </c>
      <c r="L128" s="106">
        <f t="shared" si="36"/>
        <v>0</v>
      </c>
      <c r="M128" s="106">
        <f t="shared" si="36"/>
        <v>0</v>
      </c>
      <c r="N128" s="106">
        <f t="shared" si="36"/>
        <v>0</v>
      </c>
      <c r="O128" s="106">
        <f t="shared" si="36"/>
        <v>1400000</v>
      </c>
      <c r="P128" s="106">
        <f t="shared" si="36"/>
        <v>0</v>
      </c>
      <c r="Q128" s="106">
        <f t="shared" si="36"/>
        <v>1400000</v>
      </c>
      <c r="R128" s="229"/>
      <c r="S128" s="41"/>
      <c r="T128" s="41"/>
      <c r="U128" s="41"/>
      <c r="V128" s="41"/>
      <c r="W128" s="41"/>
      <c r="X128" s="41"/>
      <c r="Y128" s="41"/>
      <c r="Z128" s="41"/>
      <c r="AA128" s="41"/>
      <c r="AB128" s="41"/>
      <c r="AC128" s="41"/>
      <c r="AD128" s="41"/>
      <c r="AE128" s="41"/>
    </row>
    <row r="129" spans="1:31" s="33" customFormat="1" ht="49.5" customHeight="1">
      <c r="A129" s="32"/>
      <c r="B129" s="36" t="s">
        <v>568</v>
      </c>
      <c r="C129" s="36" t="s">
        <v>379</v>
      </c>
      <c r="D129" s="36" t="s">
        <v>249</v>
      </c>
      <c r="E129" s="29" t="s">
        <v>569</v>
      </c>
      <c r="F129" s="107">
        <f>G129+J129</f>
        <v>660000</v>
      </c>
      <c r="G129" s="107">
        <v>660000</v>
      </c>
      <c r="H129" s="107"/>
      <c r="I129" s="107"/>
      <c r="J129" s="107"/>
      <c r="K129" s="107">
        <f>L129+O129</f>
        <v>2900000</v>
      </c>
      <c r="L129" s="107"/>
      <c r="M129" s="107"/>
      <c r="N129" s="107"/>
      <c r="O129" s="107">
        <f>1500000+1400000</f>
        <v>2900000</v>
      </c>
      <c r="P129" s="107">
        <v>1500000</v>
      </c>
      <c r="Q129" s="107">
        <f>F129+K129</f>
        <v>3560000</v>
      </c>
      <c r="R129" s="229"/>
      <c r="S129" s="31"/>
      <c r="T129" s="31"/>
      <c r="U129" s="31"/>
      <c r="V129" s="31"/>
      <c r="W129" s="31"/>
      <c r="X129" s="31"/>
      <c r="Y129" s="31"/>
      <c r="Z129" s="31"/>
      <c r="AA129" s="31"/>
      <c r="AB129" s="31"/>
      <c r="AC129" s="31"/>
      <c r="AD129" s="31"/>
      <c r="AE129" s="31"/>
    </row>
    <row r="130" spans="1:31" s="33" customFormat="1" ht="17.25" customHeight="1">
      <c r="A130" s="32"/>
      <c r="B130" s="36"/>
      <c r="C130" s="36"/>
      <c r="D130" s="36"/>
      <c r="E130" s="99" t="s">
        <v>579</v>
      </c>
      <c r="F130" s="107">
        <f>G130+J130</f>
        <v>0</v>
      </c>
      <c r="G130" s="107"/>
      <c r="H130" s="107"/>
      <c r="I130" s="107"/>
      <c r="J130" s="107"/>
      <c r="K130" s="107">
        <f>L130+O130</f>
        <v>1400000</v>
      </c>
      <c r="L130" s="107"/>
      <c r="M130" s="107"/>
      <c r="N130" s="107"/>
      <c r="O130" s="107">
        <v>1400000</v>
      </c>
      <c r="P130" s="107"/>
      <c r="Q130" s="107">
        <f>F130+K130</f>
        <v>1400000</v>
      </c>
      <c r="R130" s="229"/>
      <c r="S130" s="31"/>
      <c r="T130" s="31"/>
      <c r="U130" s="31"/>
      <c r="V130" s="31"/>
      <c r="W130" s="31"/>
      <c r="X130" s="31"/>
      <c r="Y130" s="31"/>
      <c r="Z130" s="31"/>
      <c r="AA130" s="31"/>
      <c r="AB130" s="31"/>
      <c r="AC130" s="31"/>
      <c r="AD130" s="31"/>
      <c r="AE130" s="31"/>
    </row>
    <row r="131" spans="1:31" s="104" customFormat="1" ht="34.5" customHeight="1">
      <c r="A131" s="101"/>
      <c r="B131" s="112" t="s">
        <v>109</v>
      </c>
      <c r="C131" s="112"/>
      <c r="D131" s="112"/>
      <c r="E131" s="16" t="s">
        <v>226</v>
      </c>
      <c r="F131" s="111">
        <f>F132</f>
        <v>921296717.73</v>
      </c>
      <c r="G131" s="111">
        <f aca="true" t="shared" si="37" ref="G131:P131">G132</f>
        <v>921296717.73</v>
      </c>
      <c r="H131" s="111">
        <f t="shared" si="37"/>
        <v>27691213</v>
      </c>
      <c r="I131" s="111">
        <f t="shared" si="37"/>
        <v>1635700</v>
      </c>
      <c r="J131" s="111">
        <f t="shared" si="37"/>
        <v>0</v>
      </c>
      <c r="K131" s="111">
        <f t="shared" si="37"/>
        <v>2645685</v>
      </c>
      <c r="L131" s="111">
        <f t="shared" si="37"/>
        <v>48900</v>
      </c>
      <c r="M131" s="111">
        <f t="shared" si="37"/>
        <v>39000</v>
      </c>
      <c r="N131" s="111">
        <f t="shared" si="37"/>
        <v>0</v>
      </c>
      <c r="O131" s="111">
        <f t="shared" si="37"/>
        <v>2596785</v>
      </c>
      <c r="P131" s="111">
        <f t="shared" si="37"/>
        <v>2596785</v>
      </c>
      <c r="Q131" s="111">
        <f t="shared" si="24"/>
        <v>923942402.73</v>
      </c>
      <c r="R131" s="229">
        <v>21</v>
      </c>
      <c r="S131" s="103"/>
      <c r="T131" s="103"/>
      <c r="U131" s="103"/>
      <c r="V131" s="103"/>
      <c r="W131" s="103"/>
      <c r="X131" s="103"/>
      <c r="Y131" s="103"/>
      <c r="Z131" s="103"/>
      <c r="AA131" s="103"/>
      <c r="AB131" s="103"/>
      <c r="AC131" s="103"/>
      <c r="AD131" s="103"/>
      <c r="AE131" s="103"/>
    </row>
    <row r="132" spans="1:31" s="164" customFormat="1" ht="33" customHeight="1">
      <c r="A132" s="162"/>
      <c r="B132" s="114" t="s">
        <v>110</v>
      </c>
      <c r="C132" s="114"/>
      <c r="D132" s="114"/>
      <c r="E132" s="118" t="s">
        <v>226</v>
      </c>
      <c r="F132" s="116">
        <f>F134+F160+F187+F191+F193+F197+F198+F203+F208+F202+F201+F212+F135+F137+F152+F167+F188+F190+F213</f>
        <v>921296717.73</v>
      </c>
      <c r="G132" s="116">
        <f aca="true" t="shared" si="38" ref="G132:Q132">G134+G160+G187+G191+G193+G197+G198+G203+G208+G202+G201+G212+G135+G137+G152+G167+G188+G190+G213</f>
        <v>921296717.73</v>
      </c>
      <c r="H132" s="116">
        <f t="shared" si="38"/>
        <v>27691213</v>
      </c>
      <c r="I132" s="116">
        <f t="shared" si="38"/>
        <v>1635700</v>
      </c>
      <c r="J132" s="116">
        <f t="shared" si="38"/>
        <v>0</v>
      </c>
      <c r="K132" s="116">
        <f t="shared" si="38"/>
        <v>2645685</v>
      </c>
      <c r="L132" s="116">
        <f t="shared" si="38"/>
        <v>48900</v>
      </c>
      <c r="M132" s="116">
        <f t="shared" si="38"/>
        <v>39000</v>
      </c>
      <c r="N132" s="116">
        <f t="shared" si="38"/>
        <v>0</v>
      </c>
      <c r="O132" s="116">
        <f t="shared" si="38"/>
        <v>2596785</v>
      </c>
      <c r="P132" s="116">
        <f t="shared" si="38"/>
        <v>2596785</v>
      </c>
      <c r="Q132" s="116">
        <f t="shared" si="38"/>
        <v>923942402.73</v>
      </c>
      <c r="R132" s="229"/>
      <c r="S132" s="163"/>
      <c r="T132" s="163"/>
      <c r="U132" s="163"/>
      <c r="V132" s="163"/>
      <c r="W132" s="163"/>
      <c r="X132" s="163"/>
      <c r="Y132" s="163"/>
      <c r="Z132" s="163"/>
      <c r="AA132" s="163"/>
      <c r="AB132" s="163"/>
      <c r="AC132" s="163"/>
      <c r="AD132" s="163"/>
      <c r="AE132" s="163"/>
    </row>
    <row r="133" spans="1:31" s="164" customFormat="1" ht="19.5" customHeight="1">
      <c r="A133" s="162"/>
      <c r="B133" s="114"/>
      <c r="C133" s="114"/>
      <c r="D133" s="114"/>
      <c r="E133" s="29" t="s">
        <v>510</v>
      </c>
      <c r="F133" s="116">
        <f>F136+F138+F153+F168+F189+F204</f>
        <v>806333600</v>
      </c>
      <c r="G133" s="116">
        <f aca="true" t="shared" si="39" ref="G133:Q133">G136+G138+G153+G168+G189+G204</f>
        <v>806333600</v>
      </c>
      <c r="H133" s="116">
        <f t="shared" si="39"/>
        <v>0</v>
      </c>
      <c r="I133" s="116">
        <f t="shared" si="39"/>
        <v>0</v>
      </c>
      <c r="J133" s="116">
        <f t="shared" si="39"/>
        <v>0</v>
      </c>
      <c r="K133" s="116">
        <f t="shared" si="39"/>
        <v>600000</v>
      </c>
      <c r="L133" s="116">
        <f t="shared" si="39"/>
        <v>0</v>
      </c>
      <c r="M133" s="116">
        <f t="shared" si="39"/>
        <v>0</v>
      </c>
      <c r="N133" s="116">
        <f t="shared" si="39"/>
        <v>0</v>
      </c>
      <c r="O133" s="116">
        <f t="shared" si="39"/>
        <v>600000</v>
      </c>
      <c r="P133" s="116">
        <f t="shared" si="39"/>
        <v>600000</v>
      </c>
      <c r="Q133" s="116">
        <f t="shared" si="39"/>
        <v>806933600</v>
      </c>
      <c r="R133" s="229"/>
      <c r="S133" s="163"/>
      <c r="T133" s="163"/>
      <c r="U133" s="163"/>
      <c r="V133" s="163"/>
      <c r="W133" s="163"/>
      <c r="X133" s="163"/>
      <c r="Y133" s="163"/>
      <c r="Z133" s="163"/>
      <c r="AA133" s="163"/>
      <c r="AB133" s="163"/>
      <c r="AC133" s="163"/>
      <c r="AD133" s="163"/>
      <c r="AE133" s="163"/>
    </row>
    <row r="134" spans="1:31" s="14" customFormat="1" ht="27.75" customHeight="1">
      <c r="A134" s="145"/>
      <c r="B134" s="98" t="s">
        <v>111</v>
      </c>
      <c r="C134" s="98" t="s">
        <v>249</v>
      </c>
      <c r="D134" s="98" t="s">
        <v>250</v>
      </c>
      <c r="E134" s="99" t="s">
        <v>520</v>
      </c>
      <c r="F134" s="106">
        <f>G134+J134</f>
        <v>24515688</v>
      </c>
      <c r="G134" s="106">
        <f>22096900+60600-102000+500000+135200+83345-404770+400000+1746413</f>
        <v>24515688</v>
      </c>
      <c r="H134" s="106">
        <f>16987900+327870+1431486</f>
        <v>18747256</v>
      </c>
      <c r="I134" s="106">
        <f>499700+60600+120300</f>
        <v>680600</v>
      </c>
      <c r="J134" s="106"/>
      <c r="K134" s="106">
        <f>L134+O134</f>
        <v>654770</v>
      </c>
      <c r="L134" s="106"/>
      <c r="M134" s="106"/>
      <c r="N134" s="106"/>
      <c r="O134" s="106">
        <f>250000+404770</f>
        <v>654770</v>
      </c>
      <c r="P134" s="106">
        <f>250000+404770</f>
        <v>654770</v>
      </c>
      <c r="Q134" s="106">
        <f t="shared" si="24"/>
        <v>25170458</v>
      </c>
      <c r="R134" s="229"/>
      <c r="S134" s="41"/>
      <c r="T134" s="41"/>
      <c r="U134" s="41"/>
      <c r="V134" s="41"/>
      <c r="W134" s="41"/>
      <c r="X134" s="41"/>
      <c r="Y134" s="41"/>
      <c r="Z134" s="41"/>
      <c r="AA134" s="41"/>
      <c r="AB134" s="41"/>
      <c r="AC134" s="41"/>
      <c r="AD134" s="41"/>
      <c r="AE134" s="41"/>
    </row>
    <row r="135" spans="1:31" s="14" customFormat="1" ht="87.75" customHeight="1">
      <c r="A135" s="13"/>
      <c r="B135" s="122" t="s">
        <v>439</v>
      </c>
      <c r="C135" s="122" t="s">
        <v>259</v>
      </c>
      <c r="D135" s="122" t="s">
        <v>255</v>
      </c>
      <c r="E135" s="161" t="s">
        <v>499</v>
      </c>
      <c r="F135" s="106">
        <f>G135+J135</f>
        <v>2415100</v>
      </c>
      <c r="G135" s="106">
        <v>2415100</v>
      </c>
      <c r="H135" s="106"/>
      <c r="I135" s="106"/>
      <c r="J135" s="106"/>
      <c r="K135" s="106">
        <f>L135+O135</f>
        <v>0</v>
      </c>
      <c r="L135" s="106"/>
      <c r="M135" s="106"/>
      <c r="N135" s="106"/>
      <c r="O135" s="106"/>
      <c r="P135" s="106"/>
      <c r="Q135" s="106">
        <f t="shared" si="24"/>
        <v>2415100</v>
      </c>
      <c r="R135" s="229"/>
      <c r="S135" s="41"/>
      <c r="T135" s="41"/>
      <c r="U135" s="41"/>
      <c r="V135" s="41"/>
      <c r="W135" s="41"/>
      <c r="X135" s="41"/>
      <c r="Y135" s="41"/>
      <c r="Z135" s="41"/>
      <c r="AA135" s="41"/>
      <c r="AB135" s="41"/>
      <c r="AC135" s="41"/>
      <c r="AD135" s="41"/>
      <c r="AE135" s="41"/>
    </row>
    <row r="136" spans="1:31" s="14" customFormat="1" ht="16.5" customHeight="1">
      <c r="A136" s="13"/>
      <c r="B136" s="122"/>
      <c r="C136" s="122"/>
      <c r="D136" s="122"/>
      <c r="E136" s="161" t="s">
        <v>511</v>
      </c>
      <c r="F136" s="106">
        <f>G136+J136</f>
        <v>2415100</v>
      </c>
      <c r="G136" s="106">
        <v>2415100</v>
      </c>
      <c r="H136" s="106"/>
      <c r="I136" s="106"/>
      <c r="J136" s="106"/>
      <c r="K136" s="106">
        <f>L136+O136</f>
        <v>0</v>
      </c>
      <c r="L136" s="106"/>
      <c r="M136" s="106"/>
      <c r="N136" s="106"/>
      <c r="O136" s="106"/>
      <c r="P136" s="106"/>
      <c r="Q136" s="106">
        <f t="shared" si="24"/>
        <v>2415100</v>
      </c>
      <c r="R136" s="229"/>
      <c r="S136" s="41"/>
      <c r="T136" s="41"/>
      <c r="U136" s="41"/>
      <c r="V136" s="41"/>
      <c r="W136" s="41"/>
      <c r="X136" s="41"/>
      <c r="Y136" s="41"/>
      <c r="Z136" s="41"/>
      <c r="AA136" s="41"/>
      <c r="AB136" s="41"/>
      <c r="AC136" s="41"/>
      <c r="AD136" s="41"/>
      <c r="AE136" s="41"/>
    </row>
    <row r="137" spans="1:31" s="14" customFormat="1" ht="69" customHeight="1">
      <c r="A137" s="13"/>
      <c r="B137" s="122" t="s">
        <v>440</v>
      </c>
      <c r="C137" s="122" t="s">
        <v>441</v>
      </c>
      <c r="D137" s="122"/>
      <c r="E137" s="161" t="s">
        <v>442</v>
      </c>
      <c r="F137" s="106">
        <f>F139+F141+F142+F144+F146+F148+F150</f>
        <v>486900900</v>
      </c>
      <c r="G137" s="106">
        <f aca="true" t="shared" si="40" ref="G137:P137">G139+G141+G142+G144+G146+G148+G150</f>
        <v>486900900</v>
      </c>
      <c r="H137" s="106">
        <f t="shared" si="40"/>
        <v>0</v>
      </c>
      <c r="I137" s="106">
        <f t="shared" si="40"/>
        <v>0</v>
      </c>
      <c r="J137" s="106">
        <f t="shared" si="40"/>
        <v>0</v>
      </c>
      <c r="K137" s="106">
        <f t="shared" si="40"/>
        <v>0</v>
      </c>
      <c r="L137" s="106">
        <f t="shared" si="40"/>
        <v>0</v>
      </c>
      <c r="M137" s="106">
        <f t="shared" si="40"/>
        <v>0</v>
      </c>
      <c r="N137" s="106">
        <f t="shared" si="40"/>
        <v>0</v>
      </c>
      <c r="O137" s="106">
        <f t="shared" si="40"/>
        <v>0</v>
      </c>
      <c r="P137" s="106">
        <f t="shared" si="40"/>
        <v>0</v>
      </c>
      <c r="Q137" s="106">
        <f t="shared" si="24"/>
        <v>486900900</v>
      </c>
      <c r="R137" s="229"/>
      <c r="S137" s="41"/>
      <c r="T137" s="41"/>
      <c r="U137" s="41"/>
      <c r="V137" s="41"/>
      <c r="W137" s="41"/>
      <c r="X137" s="41"/>
      <c r="Y137" s="41"/>
      <c r="Z137" s="41"/>
      <c r="AA137" s="41"/>
      <c r="AB137" s="41"/>
      <c r="AC137" s="41"/>
      <c r="AD137" s="41"/>
      <c r="AE137" s="41"/>
    </row>
    <row r="138" spans="1:31" s="14" customFormat="1" ht="16.5" customHeight="1">
      <c r="A138" s="13"/>
      <c r="B138" s="122"/>
      <c r="C138" s="122"/>
      <c r="D138" s="122"/>
      <c r="E138" s="161" t="s">
        <v>511</v>
      </c>
      <c r="F138" s="106">
        <f>F140+F143+F145+F147+F149+F151</f>
        <v>486900900</v>
      </c>
      <c r="G138" s="106">
        <f aca="true" t="shared" si="41" ref="G138:P138">G140+G143+G145+G147+G149+G151</f>
        <v>486900900</v>
      </c>
      <c r="H138" s="106">
        <f t="shared" si="41"/>
        <v>0</v>
      </c>
      <c r="I138" s="106">
        <f t="shared" si="41"/>
        <v>0</v>
      </c>
      <c r="J138" s="106">
        <f t="shared" si="41"/>
        <v>0</v>
      </c>
      <c r="K138" s="106">
        <f t="shared" si="41"/>
        <v>0</v>
      </c>
      <c r="L138" s="106">
        <f t="shared" si="41"/>
        <v>0</v>
      </c>
      <c r="M138" s="106">
        <f t="shared" si="41"/>
        <v>0</v>
      </c>
      <c r="N138" s="106">
        <f t="shared" si="41"/>
        <v>0</v>
      </c>
      <c r="O138" s="106">
        <f t="shared" si="41"/>
        <v>0</v>
      </c>
      <c r="P138" s="106">
        <f t="shared" si="41"/>
        <v>0</v>
      </c>
      <c r="Q138" s="106">
        <f t="shared" si="24"/>
        <v>486900900</v>
      </c>
      <c r="R138" s="229"/>
      <c r="S138" s="41"/>
      <c r="T138" s="41"/>
      <c r="U138" s="41"/>
      <c r="V138" s="41"/>
      <c r="W138" s="41"/>
      <c r="X138" s="41"/>
      <c r="Y138" s="41"/>
      <c r="Z138" s="41"/>
      <c r="AA138" s="41"/>
      <c r="AB138" s="41"/>
      <c r="AC138" s="41"/>
      <c r="AD138" s="41"/>
      <c r="AE138" s="41"/>
    </row>
    <row r="139" spans="1:31" s="33" customFormat="1" ht="193.5" customHeight="1">
      <c r="A139" s="32"/>
      <c r="B139" s="36" t="s">
        <v>443</v>
      </c>
      <c r="C139" s="36" t="s">
        <v>444</v>
      </c>
      <c r="D139" s="36" t="s">
        <v>258</v>
      </c>
      <c r="E139" s="29" t="s">
        <v>445</v>
      </c>
      <c r="F139" s="107">
        <f>G139</f>
        <v>18254500</v>
      </c>
      <c r="G139" s="107">
        <f>10254500+10000000-5200000+1000000+2200000</f>
        <v>18254500</v>
      </c>
      <c r="H139" s="107"/>
      <c r="I139" s="107"/>
      <c r="J139" s="107"/>
      <c r="K139" s="107"/>
      <c r="L139" s="107"/>
      <c r="M139" s="107"/>
      <c r="N139" s="107"/>
      <c r="O139" s="107"/>
      <c r="P139" s="107"/>
      <c r="Q139" s="107">
        <f t="shared" si="24"/>
        <v>18254500</v>
      </c>
      <c r="R139" s="229"/>
      <c r="S139" s="31"/>
      <c r="T139" s="31"/>
      <c r="U139" s="31"/>
      <c r="V139" s="31"/>
      <c r="W139" s="31"/>
      <c r="X139" s="31"/>
      <c r="Y139" s="31"/>
      <c r="Z139" s="31"/>
      <c r="AA139" s="31"/>
      <c r="AB139" s="31"/>
      <c r="AC139" s="31"/>
      <c r="AD139" s="31"/>
      <c r="AE139" s="31"/>
    </row>
    <row r="140" spans="1:31" s="33" customFormat="1" ht="21.75" customHeight="1">
      <c r="A140" s="32"/>
      <c r="B140" s="36"/>
      <c r="C140" s="36"/>
      <c r="D140" s="36"/>
      <c r="E140" s="29" t="s">
        <v>511</v>
      </c>
      <c r="F140" s="140">
        <f aca="true" t="shared" si="42" ref="F140:F159">G140</f>
        <v>18254500</v>
      </c>
      <c r="G140" s="140">
        <f>10254500+10000000-5200000+1000000+2200000</f>
        <v>18254500</v>
      </c>
      <c r="H140" s="140"/>
      <c r="I140" s="140"/>
      <c r="J140" s="140"/>
      <c r="K140" s="140"/>
      <c r="L140" s="140"/>
      <c r="M140" s="140"/>
      <c r="N140" s="140"/>
      <c r="O140" s="140"/>
      <c r="P140" s="140"/>
      <c r="Q140" s="140">
        <f t="shared" si="24"/>
        <v>18254500</v>
      </c>
      <c r="R140" s="229"/>
      <c r="S140" s="31"/>
      <c r="T140" s="31"/>
      <c r="U140" s="31"/>
      <c r="V140" s="31"/>
      <c r="W140" s="31"/>
      <c r="X140" s="31"/>
      <c r="Y140" s="31"/>
      <c r="Z140" s="31"/>
      <c r="AA140" s="31"/>
      <c r="AB140" s="31"/>
      <c r="AC140" s="31"/>
      <c r="AD140" s="31"/>
      <c r="AE140" s="31"/>
    </row>
    <row r="141" spans="1:31" s="33" customFormat="1" ht="301.5" customHeight="1">
      <c r="A141" s="32"/>
      <c r="B141" s="227" t="s">
        <v>446</v>
      </c>
      <c r="C141" s="227" t="s">
        <v>447</v>
      </c>
      <c r="D141" s="232" t="s">
        <v>258</v>
      </c>
      <c r="E141" s="138" t="s">
        <v>2</v>
      </c>
      <c r="F141" s="153">
        <f t="shared" si="42"/>
        <v>2873400</v>
      </c>
      <c r="G141" s="153">
        <f>1663400+600000+200000+340000+70000</f>
        <v>2873400</v>
      </c>
      <c r="H141" s="153"/>
      <c r="I141" s="153"/>
      <c r="J141" s="153"/>
      <c r="K141" s="153"/>
      <c r="L141" s="153"/>
      <c r="M141" s="153"/>
      <c r="N141" s="153"/>
      <c r="O141" s="153"/>
      <c r="P141" s="153"/>
      <c r="Q141" s="153">
        <f t="shared" si="24"/>
        <v>2873400</v>
      </c>
      <c r="R141" s="229"/>
      <c r="S141" s="31"/>
      <c r="T141" s="31"/>
      <c r="U141" s="31"/>
      <c r="V141" s="31"/>
      <c r="W141" s="31"/>
      <c r="X141" s="31"/>
      <c r="Y141" s="31"/>
      <c r="Z141" s="31"/>
      <c r="AA141" s="31"/>
      <c r="AB141" s="31"/>
      <c r="AC141" s="31"/>
      <c r="AD141" s="31"/>
      <c r="AE141" s="31"/>
    </row>
    <row r="142" spans="1:31" s="33" customFormat="1" ht="225" customHeight="1">
      <c r="A142" s="32"/>
      <c r="B142" s="228"/>
      <c r="C142" s="228"/>
      <c r="D142" s="233"/>
      <c r="E142" s="139" t="s">
        <v>3</v>
      </c>
      <c r="F142" s="109">
        <f t="shared" si="42"/>
        <v>0</v>
      </c>
      <c r="G142" s="109"/>
      <c r="H142" s="109"/>
      <c r="I142" s="109"/>
      <c r="J142" s="109"/>
      <c r="K142" s="109"/>
      <c r="L142" s="109"/>
      <c r="M142" s="109"/>
      <c r="N142" s="109"/>
      <c r="O142" s="109"/>
      <c r="P142" s="109"/>
      <c r="Q142" s="109">
        <f t="shared" si="24"/>
        <v>0</v>
      </c>
      <c r="R142" s="229">
        <v>22</v>
      </c>
      <c r="S142" s="31"/>
      <c r="T142" s="31"/>
      <c r="U142" s="31"/>
      <c r="V142" s="31"/>
      <c r="W142" s="31"/>
      <c r="X142" s="31"/>
      <c r="Y142" s="31"/>
      <c r="Z142" s="31"/>
      <c r="AA142" s="31"/>
      <c r="AB142" s="31"/>
      <c r="AC142" s="31"/>
      <c r="AD142" s="31"/>
      <c r="AE142" s="31"/>
    </row>
    <row r="143" spans="1:31" s="33" customFormat="1" ht="14.25" customHeight="1">
      <c r="A143" s="32"/>
      <c r="B143" s="36"/>
      <c r="C143" s="36"/>
      <c r="D143" s="36"/>
      <c r="E143" s="29" t="s">
        <v>511</v>
      </c>
      <c r="F143" s="109">
        <f t="shared" si="42"/>
        <v>2873400</v>
      </c>
      <c r="G143" s="109">
        <f>1663400+600000+200000+340000+70000</f>
        <v>2873400</v>
      </c>
      <c r="H143" s="109"/>
      <c r="I143" s="109"/>
      <c r="J143" s="109"/>
      <c r="K143" s="109"/>
      <c r="L143" s="109"/>
      <c r="M143" s="109"/>
      <c r="N143" s="109"/>
      <c r="O143" s="109"/>
      <c r="P143" s="109"/>
      <c r="Q143" s="109">
        <f t="shared" si="24"/>
        <v>2873400</v>
      </c>
      <c r="R143" s="229"/>
      <c r="S143" s="31"/>
      <c r="T143" s="31"/>
      <c r="U143" s="31"/>
      <c r="V143" s="31"/>
      <c r="W143" s="31"/>
      <c r="X143" s="31"/>
      <c r="Y143" s="31"/>
      <c r="Z143" s="31"/>
      <c r="AA143" s="31"/>
      <c r="AB143" s="31"/>
      <c r="AC143" s="31"/>
      <c r="AD143" s="31"/>
      <c r="AE143" s="31"/>
    </row>
    <row r="144" spans="1:31" s="33" customFormat="1" ht="92.25" customHeight="1">
      <c r="A144" s="32"/>
      <c r="B144" s="36" t="s">
        <v>448</v>
      </c>
      <c r="C144" s="36" t="s">
        <v>449</v>
      </c>
      <c r="D144" s="36" t="s">
        <v>260</v>
      </c>
      <c r="E144" s="29" t="s">
        <v>450</v>
      </c>
      <c r="F144" s="107">
        <f t="shared" si="42"/>
        <v>1834400</v>
      </c>
      <c r="G144" s="107">
        <f>1184400+600000-300000+150000+200000</f>
        <v>1834400</v>
      </c>
      <c r="H144" s="107"/>
      <c r="I144" s="107"/>
      <c r="J144" s="107"/>
      <c r="K144" s="107"/>
      <c r="L144" s="107"/>
      <c r="M144" s="107"/>
      <c r="N144" s="107"/>
      <c r="O144" s="107"/>
      <c r="P144" s="107"/>
      <c r="Q144" s="107">
        <f t="shared" si="24"/>
        <v>1834400</v>
      </c>
      <c r="R144" s="229"/>
      <c r="S144" s="31"/>
      <c r="T144" s="31"/>
      <c r="U144" s="31"/>
      <c r="V144" s="31"/>
      <c r="W144" s="31"/>
      <c r="X144" s="31"/>
      <c r="Y144" s="31"/>
      <c r="Z144" s="31"/>
      <c r="AA144" s="31"/>
      <c r="AB144" s="31"/>
      <c r="AC144" s="31"/>
      <c r="AD144" s="31"/>
      <c r="AE144" s="31"/>
    </row>
    <row r="145" spans="1:31" s="33" customFormat="1" ht="14.25" customHeight="1">
      <c r="A145" s="32"/>
      <c r="B145" s="36"/>
      <c r="C145" s="36"/>
      <c r="D145" s="36"/>
      <c r="E145" s="29" t="s">
        <v>511</v>
      </c>
      <c r="F145" s="107">
        <f t="shared" si="42"/>
        <v>1834400</v>
      </c>
      <c r="G145" s="107">
        <f>1184400+600000-300000+150000+200000</f>
        <v>1834400</v>
      </c>
      <c r="H145" s="107"/>
      <c r="I145" s="107"/>
      <c r="J145" s="107"/>
      <c r="K145" s="107"/>
      <c r="L145" s="107"/>
      <c r="M145" s="107"/>
      <c r="N145" s="107"/>
      <c r="O145" s="107"/>
      <c r="P145" s="107"/>
      <c r="Q145" s="107">
        <f t="shared" si="24"/>
        <v>1834400</v>
      </c>
      <c r="R145" s="229"/>
      <c r="S145" s="31"/>
      <c r="T145" s="31"/>
      <c r="U145" s="31"/>
      <c r="V145" s="31"/>
      <c r="W145" s="31"/>
      <c r="X145" s="31"/>
      <c r="Y145" s="31"/>
      <c r="Z145" s="31"/>
      <c r="AA145" s="31"/>
      <c r="AB145" s="31"/>
      <c r="AC145" s="31"/>
      <c r="AD145" s="31"/>
      <c r="AE145" s="31"/>
    </row>
    <row r="146" spans="1:31" s="33" customFormat="1" ht="179.25" customHeight="1">
      <c r="A146" s="32"/>
      <c r="B146" s="36" t="s">
        <v>451</v>
      </c>
      <c r="C146" s="36" t="s">
        <v>452</v>
      </c>
      <c r="D146" s="36" t="s">
        <v>260</v>
      </c>
      <c r="E146" s="29" t="s">
        <v>453</v>
      </c>
      <c r="F146" s="107">
        <f t="shared" si="42"/>
        <v>64700</v>
      </c>
      <c r="G146" s="107">
        <f>14700+50000</f>
        <v>64700</v>
      </c>
      <c r="H146" s="107"/>
      <c r="I146" s="107"/>
      <c r="J146" s="107"/>
      <c r="K146" s="107"/>
      <c r="L146" s="107"/>
      <c r="M146" s="107"/>
      <c r="N146" s="107"/>
      <c r="O146" s="107"/>
      <c r="P146" s="107"/>
      <c r="Q146" s="107">
        <f t="shared" si="24"/>
        <v>64700</v>
      </c>
      <c r="R146" s="229"/>
      <c r="S146" s="31"/>
      <c r="T146" s="31"/>
      <c r="U146" s="31"/>
      <c r="V146" s="31"/>
      <c r="W146" s="31"/>
      <c r="X146" s="31"/>
      <c r="Y146" s="31"/>
      <c r="Z146" s="31"/>
      <c r="AA146" s="31"/>
      <c r="AB146" s="31"/>
      <c r="AC146" s="31"/>
      <c r="AD146" s="31"/>
      <c r="AE146" s="31"/>
    </row>
    <row r="147" spans="1:31" s="33" customFormat="1" ht="14.25" customHeight="1">
      <c r="A147" s="32"/>
      <c r="B147" s="36"/>
      <c r="C147" s="36"/>
      <c r="D147" s="36"/>
      <c r="E147" s="29" t="s">
        <v>511</v>
      </c>
      <c r="F147" s="107">
        <f t="shared" si="42"/>
        <v>64700</v>
      </c>
      <c r="G147" s="107">
        <f>14700+50000</f>
        <v>64700</v>
      </c>
      <c r="H147" s="107"/>
      <c r="I147" s="107"/>
      <c r="J147" s="107"/>
      <c r="K147" s="107"/>
      <c r="L147" s="107"/>
      <c r="M147" s="107"/>
      <c r="N147" s="107"/>
      <c r="O147" s="107"/>
      <c r="P147" s="107"/>
      <c r="Q147" s="107">
        <f t="shared" si="24"/>
        <v>64700</v>
      </c>
      <c r="R147" s="229"/>
      <c r="S147" s="31"/>
      <c r="T147" s="31"/>
      <c r="U147" s="31"/>
      <c r="V147" s="31"/>
      <c r="W147" s="31"/>
      <c r="X147" s="31"/>
      <c r="Y147" s="31"/>
      <c r="Z147" s="31"/>
      <c r="AA147" s="31"/>
      <c r="AB147" s="31"/>
      <c r="AC147" s="31"/>
      <c r="AD147" s="31"/>
      <c r="AE147" s="31"/>
    </row>
    <row r="148" spans="1:31" s="33" customFormat="1" ht="32.25" customHeight="1">
      <c r="A148" s="32"/>
      <c r="B148" s="36" t="s">
        <v>454</v>
      </c>
      <c r="C148" s="36" t="s">
        <v>455</v>
      </c>
      <c r="D148" s="36" t="s">
        <v>260</v>
      </c>
      <c r="E148" s="29" t="s">
        <v>456</v>
      </c>
      <c r="F148" s="107">
        <f t="shared" si="42"/>
        <v>819400</v>
      </c>
      <c r="G148" s="107">
        <f>241400+600000-167000+50000+95000</f>
        <v>819400</v>
      </c>
      <c r="H148" s="107"/>
      <c r="I148" s="107"/>
      <c r="J148" s="107"/>
      <c r="K148" s="107"/>
      <c r="L148" s="107"/>
      <c r="M148" s="107"/>
      <c r="N148" s="107"/>
      <c r="O148" s="107"/>
      <c r="P148" s="107"/>
      <c r="Q148" s="107">
        <f t="shared" si="24"/>
        <v>819400</v>
      </c>
      <c r="R148" s="229"/>
      <c r="S148" s="31"/>
      <c r="T148" s="31"/>
      <c r="U148" s="31"/>
      <c r="V148" s="31"/>
      <c r="W148" s="31"/>
      <c r="X148" s="31"/>
      <c r="Y148" s="31"/>
      <c r="Z148" s="31"/>
      <c r="AA148" s="31"/>
      <c r="AB148" s="31"/>
      <c r="AC148" s="31"/>
      <c r="AD148" s="31"/>
      <c r="AE148" s="31"/>
    </row>
    <row r="149" spans="1:31" s="33" customFormat="1" ht="14.25" customHeight="1">
      <c r="A149" s="32"/>
      <c r="B149" s="36"/>
      <c r="C149" s="36"/>
      <c r="D149" s="36"/>
      <c r="E149" s="29" t="s">
        <v>511</v>
      </c>
      <c r="F149" s="107">
        <f t="shared" si="42"/>
        <v>819400</v>
      </c>
      <c r="G149" s="107">
        <f>241400+600000-167000+50000+95000</f>
        <v>819400</v>
      </c>
      <c r="H149" s="107"/>
      <c r="I149" s="107"/>
      <c r="J149" s="107"/>
      <c r="K149" s="107"/>
      <c r="L149" s="107"/>
      <c r="M149" s="107"/>
      <c r="N149" s="107"/>
      <c r="O149" s="107"/>
      <c r="P149" s="107"/>
      <c r="Q149" s="107">
        <f t="shared" si="24"/>
        <v>819400</v>
      </c>
      <c r="R149" s="229"/>
      <c r="S149" s="31"/>
      <c r="T149" s="31"/>
      <c r="U149" s="31"/>
      <c r="V149" s="31"/>
      <c r="W149" s="31"/>
      <c r="X149" s="31"/>
      <c r="Y149" s="31"/>
      <c r="Z149" s="31"/>
      <c r="AA149" s="31"/>
      <c r="AB149" s="31"/>
      <c r="AC149" s="31"/>
      <c r="AD149" s="31"/>
      <c r="AE149" s="31"/>
    </row>
    <row r="150" spans="1:31" s="33" customFormat="1" ht="36" customHeight="1">
      <c r="A150" s="32"/>
      <c r="B150" s="36" t="s">
        <v>457</v>
      </c>
      <c r="C150" s="36" t="s">
        <v>458</v>
      </c>
      <c r="D150" s="36" t="s">
        <v>259</v>
      </c>
      <c r="E150" s="29" t="s">
        <v>459</v>
      </c>
      <c r="F150" s="107">
        <f t="shared" si="42"/>
        <v>463054500</v>
      </c>
      <c r="G150" s="107">
        <f>253542500+183150000+5667000+23600000-2835000-70000</f>
        <v>463054500</v>
      </c>
      <c r="H150" s="107"/>
      <c r="I150" s="107"/>
      <c r="J150" s="107"/>
      <c r="K150" s="107"/>
      <c r="L150" s="107"/>
      <c r="M150" s="107"/>
      <c r="N150" s="107"/>
      <c r="O150" s="107"/>
      <c r="P150" s="107"/>
      <c r="Q150" s="107">
        <f t="shared" si="24"/>
        <v>463054500</v>
      </c>
      <c r="R150" s="229"/>
      <c r="S150" s="31"/>
      <c r="T150" s="31"/>
      <c r="U150" s="31"/>
      <c r="V150" s="31"/>
      <c r="W150" s="31"/>
      <c r="X150" s="31"/>
      <c r="Y150" s="31"/>
      <c r="Z150" s="31"/>
      <c r="AA150" s="31"/>
      <c r="AB150" s="31"/>
      <c r="AC150" s="31"/>
      <c r="AD150" s="31"/>
      <c r="AE150" s="31"/>
    </row>
    <row r="151" spans="1:31" s="33" customFormat="1" ht="14.25" customHeight="1">
      <c r="A151" s="32"/>
      <c r="B151" s="36"/>
      <c r="C151" s="36"/>
      <c r="D151" s="36"/>
      <c r="E151" s="29" t="s">
        <v>511</v>
      </c>
      <c r="F151" s="107">
        <f t="shared" si="42"/>
        <v>463054500</v>
      </c>
      <c r="G151" s="107">
        <f>253542500+183150000+5667000+23600000-2835000-70000</f>
        <v>463054500</v>
      </c>
      <c r="H151" s="107"/>
      <c r="I151" s="107"/>
      <c r="J151" s="107"/>
      <c r="K151" s="107"/>
      <c r="L151" s="107"/>
      <c r="M151" s="107"/>
      <c r="N151" s="107"/>
      <c r="O151" s="107"/>
      <c r="P151" s="107"/>
      <c r="Q151" s="107">
        <f t="shared" si="24"/>
        <v>463054500</v>
      </c>
      <c r="R151" s="229"/>
      <c r="S151" s="31"/>
      <c r="T151" s="31"/>
      <c r="U151" s="31"/>
      <c r="V151" s="31"/>
      <c r="W151" s="31"/>
      <c r="X151" s="31"/>
      <c r="Y151" s="31"/>
      <c r="Z151" s="31"/>
      <c r="AA151" s="31"/>
      <c r="AB151" s="31"/>
      <c r="AC151" s="31"/>
      <c r="AD151" s="31"/>
      <c r="AE151" s="31"/>
    </row>
    <row r="152" spans="1:31" s="14" customFormat="1" ht="45.75" customHeight="1">
      <c r="A152" s="22"/>
      <c r="B152" s="26" t="s">
        <v>460</v>
      </c>
      <c r="C152" s="26" t="s">
        <v>461</v>
      </c>
      <c r="D152" s="26"/>
      <c r="E152" s="23" t="s">
        <v>462</v>
      </c>
      <c r="F152" s="107">
        <f>F154+F156+F158</f>
        <v>313500</v>
      </c>
      <c r="G152" s="107">
        <f aca="true" t="shared" si="43" ref="G152:P152">G154+G156+G158</f>
        <v>313500</v>
      </c>
      <c r="H152" s="107">
        <f t="shared" si="43"/>
        <v>0</v>
      </c>
      <c r="I152" s="107">
        <f t="shared" si="43"/>
        <v>0</v>
      </c>
      <c r="J152" s="107">
        <f t="shared" si="43"/>
        <v>0</v>
      </c>
      <c r="K152" s="107">
        <f t="shared" si="43"/>
        <v>0</v>
      </c>
      <c r="L152" s="107">
        <f t="shared" si="43"/>
        <v>0</v>
      </c>
      <c r="M152" s="107">
        <f t="shared" si="43"/>
        <v>0</v>
      </c>
      <c r="N152" s="107">
        <f t="shared" si="43"/>
        <v>0</v>
      </c>
      <c r="O152" s="107">
        <f t="shared" si="43"/>
        <v>0</v>
      </c>
      <c r="P152" s="107">
        <f t="shared" si="43"/>
        <v>0</v>
      </c>
      <c r="Q152" s="106">
        <f aca="true" t="shared" si="44" ref="Q152:Q160">F152+K152</f>
        <v>313500</v>
      </c>
      <c r="R152" s="229"/>
      <c r="S152" s="41"/>
      <c r="T152" s="41"/>
      <c r="U152" s="41"/>
      <c r="V152" s="41"/>
      <c r="W152" s="41"/>
      <c r="X152" s="41"/>
      <c r="Y152" s="41"/>
      <c r="Z152" s="41"/>
      <c r="AA152" s="41"/>
      <c r="AB152" s="41"/>
      <c r="AC152" s="41"/>
      <c r="AD152" s="41"/>
      <c r="AE152" s="41"/>
    </row>
    <row r="153" spans="1:31" s="14" customFormat="1" ht="14.25" customHeight="1">
      <c r="A153" s="13"/>
      <c r="B153" s="122"/>
      <c r="C153" s="122"/>
      <c r="D153" s="122"/>
      <c r="E153" s="161" t="s">
        <v>511</v>
      </c>
      <c r="F153" s="107">
        <f>F155+F157+F159</f>
        <v>313500</v>
      </c>
      <c r="G153" s="107">
        <f aca="true" t="shared" si="45" ref="G153:P153">G155+G157+G159</f>
        <v>313500</v>
      </c>
      <c r="H153" s="107">
        <f t="shared" si="45"/>
        <v>0</v>
      </c>
      <c r="I153" s="107">
        <f t="shared" si="45"/>
        <v>0</v>
      </c>
      <c r="J153" s="107">
        <f t="shared" si="45"/>
        <v>0</v>
      </c>
      <c r="K153" s="107">
        <f t="shared" si="45"/>
        <v>0</v>
      </c>
      <c r="L153" s="107">
        <f t="shared" si="45"/>
        <v>0</v>
      </c>
      <c r="M153" s="107">
        <f t="shared" si="45"/>
        <v>0</v>
      </c>
      <c r="N153" s="107">
        <f t="shared" si="45"/>
        <v>0</v>
      </c>
      <c r="O153" s="107">
        <f t="shared" si="45"/>
        <v>0</v>
      </c>
      <c r="P153" s="107">
        <f t="shared" si="45"/>
        <v>0</v>
      </c>
      <c r="Q153" s="106">
        <f t="shared" si="44"/>
        <v>313500</v>
      </c>
      <c r="R153" s="229"/>
      <c r="S153" s="41"/>
      <c r="T153" s="41"/>
      <c r="U153" s="41"/>
      <c r="V153" s="41"/>
      <c r="W153" s="41"/>
      <c r="X153" s="41"/>
      <c r="Y153" s="41"/>
      <c r="Z153" s="41"/>
      <c r="AA153" s="41"/>
      <c r="AB153" s="41"/>
      <c r="AC153" s="41"/>
      <c r="AD153" s="41"/>
      <c r="AE153" s="41"/>
    </row>
    <row r="154" spans="1:31" s="33" customFormat="1" ht="187.5" customHeight="1">
      <c r="A154" s="32"/>
      <c r="B154" s="36" t="s">
        <v>463</v>
      </c>
      <c r="C154" s="36" t="s">
        <v>464</v>
      </c>
      <c r="D154" s="36" t="s">
        <v>258</v>
      </c>
      <c r="E154" s="29" t="s">
        <v>465</v>
      </c>
      <c r="F154" s="107">
        <f t="shared" si="42"/>
        <v>36189.020000000004</v>
      </c>
      <c r="G154" s="107">
        <f>28416+7773.02</f>
        <v>36189.020000000004</v>
      </c>
      <c r="H154" s="107"/>
      <c r="I154" s="107"/>
      <c r="J154" s="107"/>
      <c r="K154" s="107"/>
      <c r="L154" s="107"/>
      <c r="M154" s="107"/>
      <c r="N154" s="107"/>
      <c r="O154" s="107"/>
      <c r="P154" s="107"/>
      <c r="Q154" s="107">
        <f t="shared" si="44"/>
        <v>36189.020000000004</v>
      </c>
      <c r="R154" s="229"/>
      <c r="S154" s="31"/>
      <c r="T154" s="31"/>
      <c r="U154" s="31"/>
      <c r="V154" s="31"/>
      <c r="W154" s="31"/>
      <c r="X154" s="31"/>
      <c r="Y154" s="31"/>
      <c r="Z154" s="31"/>
      <c r="AA154" s="31"/>
      <c r="AB154" s="31"/>
      <c r="AC154" s="31"/>
      <c r="AD154" s="31"/>
      <c r="AE154" s="31"/>
    </row>
    <row r="155" spans="1:31" s="33" customFormat="1" ht="14.25" customHeight="1">
      <c r="A155" s="32"/>
      <c r="B155" s="36"/>
      <c r="C155" s="36"/>
      <c r="D155" s="36"/>
      <c r="E155" s="29" t="s">
        <v>511</v>
      </c>
      <c r="F155" s="107">
        <f t="shared" si="42"/>
        <v>36189.020000000004</v>
      </c>
      <c r="G155" s="107">
        <f>28416+7773.02</f>
        <v>36189.020000000004</v>
      </c>
      <c r="H155" s="107"/>
      <c r="I155" s="107"/>
      <c r="J155" s="107"/>
      <c r="K155" s="107"/>
      <c r="L155" s="107"/>
      <c r="M155" s="107"/>
      <c r="N155" s="107"/>
      <c r="O155" s="107"/>
      <c r="P155" s="107"/>
      <c r="Q155" s="107">
        <f t="shared" si="44"/>
        <v>36189.020000000004</v>
      </c>
      <c r="R155" s="229"/>
      <c r="S155" s="31"/>
      <c r="T155" s="31"/>
      <c r="U155" s="31"/>
      <c r="V155" s="31"/>
      <c r="W155" s="31"/>
      <c r="X155" s="31"/>
      <c r="Y155" s="31"/>
      <c r="Z155" s="31"/>
      <c r="AA155" s="31"/>
      <c r="AB155" s="31"/>
      <c r="AC155" s="31"/>
      <c r="AD155" s="31"/>
      <c r="AE155" s="31"/>
    </row>
    <row r="156" spans="1:31" s="33" customFormat="1" ht="34.5" customHeight="1">
      <c r="A156" s="32"/>
      <c r="B156" s="36" t="s">
        <v>466</v>
      </c>
      <c r="C156" s="36" t="s">
        <v>467</v>
      </c>
      <c r="D156" s="36" t="s">
        <v>260</v>
      </c>
      <c r="E156" s="121" t="s">
        <v>468</v>
      </c>
      <c r="F156" s="107">
        <f t="shared" si="42"/>
        <v>8035.26</v>
      </c>
      <c r="G156" s="107">
        <f>8259-223.74</f>
        <v>8035.26</v>
      </c>
      <c r="H156" s="107"/>
      <c r="I156" s="107"/>
      <c r="J156" s="107"/>
      <c r="K156" s="107"/>
      <c r="L156" s="107"/>
      <c r="M156" s="107"/>
      <c r="N156" s="107"/>
      <c r="O156" s="107"/>
      <c r="P156" s="107"/>
      <c r="Q156" s="107">
        <f t="shared" si="44"/>
        <v>8035.26</v>
      </c>
      <c r="R156" s="229"/>
      <c r="S156" s="31"/>
      <c r="T156" s="31"/>
      <c r="U156" s="31"/>
      <c r="V156" s="31"/>
      <c r="W156" s="31"/>
      <c r="X156" s="31"/>
      <c r="Y156" s="31"/>
      <c r="Z156" s="31"/>
      <c r="AA156" s="31"/>
      <c r="AB156" s="31"/>
      <c r="AC156" s="31"/>
      <c r="AD156" s="31"/>
      <c r="AE156" s="31"/>
    </row>
    <row r="157" spans="1:31" s="33" customFormat="1" ht="14.25" customHeight="1">
      <c r="A157" s="32"/>
      <c r="B157" s="36"/>
      <c r="C157" s="36"/>
      <c r="D157" s="36"/>
      <c r="E157" s="29" t="s">
        <v>511</v>
      </c>
      <c r="F157" s="107">
        <f t="shared" si="42"/>
        <v>8035.26</v>
      </c>
      <c r="G157" s="107">
        <f>8259-223.74</f>
        <v>8035.26</v>
      </c>
      <c r="H157" s="107"/>
      <c r="I157" s="107"/>
      <c r="J157" s="107"/>
      <c r="K157" s="107"/>
      <c r="L157" s="107"/>
      <c r="M157" s="107"/>
      <c r="N157" s="107"/>
      <c r="O157" s="107"/>
      <c r="P157" s="107"/>
      <c r="Q157" s="107">
        <f t="shared" si="44"/>
        <v>8035.26</v>
      </c>
      <c r="R157" s="229"/>
      <c r="S157" s="31"/>
      <c r="T157" s="31"/>
      <c r="U157" s="31"/>
      <c r="V157" s="31"/>
      <c r="W157" s="31"/>
      <c r="X157" s="31"/>
      <c r="Y157" s="31"/>
      <c r="Z157" s="31"/>
      <c r="AA157" s="31"/>
      <c r="AB157" s="31"/>
      <c r="AC157" s="31"/>
      <c r="AD157" s="31"/>
      <c r="AE157" s="31"/>
    </row>
    <row r="158" spans="1:31" s="33" customFormat="1" ht="51.75" customHeight="1">
      <c r="A158" s="32"/>
      <c r="B158" s="36" t="s">
        <v>469</v>
      </c>
      <c r="C158" s="36" t="s">
        <v>470</v>
      </c>
      <c r="D158" s="36" t="s">
        <v>259</v>
      </c>
      <c r="E158" s="29" t="s">
        <v>471</v>
      </c>
      <c r="F158" s="107">
        <f t="shared" si="42"/>
        <v>269275.72</v>
      </c>
      <c r="G158" s="107">
        <f>276825-7549.28</f>
        <v>269275.72</v>
      </c>
      <c r="H158" s="107"/>
      <c r="I158" s="107"/>
      <c r="J158" s="107"/>
      <c r="K158" s="107"/>
      <c r="L158" s="107"/>
      <c r="M158" s="107"/>
      <c r="N158" s="107"/>
      <c r="O158" s="107"/>
      <c r="P158" s="107"/>
      <c r="Q158" s="107">
        <f t="shared" si="44"/>
        <v>269275.72</v>
      </c>
      <c r="R158" s="229"/>
      <c r="S158" s="31"/>
      <c r="T158" s="31"/>
      <c r="U158" s="31"/>
      <c r="V158" s="31"/>
      <c r="W158" s="31"/>
      <c r="X158" s="31"/>
      <c r="Y158" s="31"/>
      <c r="Z158" s="31"/>
      <c r="AA158" s="31"/>
      <c r="AB158" s="31"/>
      <c r="AC158" s="31"/>
      <c r="AD158" s="31"/>
      <c r="AE158" s="31"/>
    </row>
    <row r="159" spans="1:31" s="33" customFormat="1" ht="14.25" customHeight="1">
      <c r="A159" s="32"/>
      <c r="B159" s="36"/>
      <c r="C159" s="36"/>
      <c r="D159" s="36"/>
      <c r="E159" s="29" t="s">
        <v>511</v>
      </c>
      <c r="F159" s="107">
        <f t="shared" si="42"/>
        <v>269275.72</v>
      </c>
      <c r="G159" s="107">
        <f>276825-7549.28</f>
        <v>269275.72</v>
      </c>
      <c r="H159" s="107"/>
      <c r="I159" s="107"/>
      <c r="J159" s="107"/>
      <c r="K159" s="107"/>
      <c r="L159" s="107"/>
      <c r="M159" s="107"/>
      <c r="N159" s="107"/>
      <c r="O159" s="107"/>
      <c r="P159" s="107"/>
      <c r="Q159" s="107">
        <f t="shared" si="44"/>
        <v>269275.72</v>
      </c>
      <c r="R159" s="229"/>
      <c r="S159" s="31"/>
      <c r="T159" s="31"/>
      <c r="U159" s="31"/>
      <c r="V159" s="31"/>
      <c r="W159" s="31"/>
      <c r="X159" s="31"/>
      <c r="Y159" s="31"/>
      <c r="Z159" s="31"/>
      <c r="AA159" s="31"/>
      <c r="AB159" s="31"/>
      <c r="AC159" s="31"/>
      <c r="AD159" s="31"/>
      <c r="AE159" s="31"/>
    </row>
    <row r="160" spans="1:32" s="69" customFormat="1" ht="176.25" customHeight="1">
      <c r="A160" s="146"/>
      <c r="B160" s="25">
        <v>1513030</v>
      </c>
      <c r="C160" s="25">
        <v>3030</v>
      </c>
      <c r="D160" s="25">
        <v>1030</v>
      </c>
      <c r="E160" s="23" t="s">
        <v>112</v>
      </c>
      <c r="F160" s="108">
        <f>F166+F161+F162+F163+F164+F165</f>
        <v>38687720.2</v>
      </c>
      <c r="G160" s="108">
        <f>G166+G161+G162+G163+G164+G165</f>
        <v>38687720.2</v>
      </c>
      <c r="H160" s="108">
        <f aca="true" t="shared" si="46" ref="H160:P160">H166+H161+H162+H163+H164</f>
        <v>0</v>
      </c>
      <c r="I160" s="108">
        <f t="shared" si="46"/>
        <v>0</v>
      </c>
      <c r="J160" s="108">
        <f t="shared" si="46"/>
        <v>0</v>
      </c>
      <c r="K160" s="108">
        <f>K166+K161+K162+K163+K164</f>
        <v>154612</v>
      </c>
      <c r="L160" s="108">
        <f t="shared" si="46"/>
        <v>0</v>
      </c>
      <c r="M160" s="108">
        <f t="shared" si="46"/>
        <v>0</v>
      </c>
      <c r="N160" s="108">
        <f t="shared" si="46"/>
        <v>0</v>
      </c>
      <c r="O160" s="108">
        <f t="shared" si="46"/>
        <v>154612</v>
      </c>
      <c r="P160" s="108">
        <f t="shared" si="46"/>
        <v>154612</v>
      </c>
      <c r="Q160" s="106">
        <f t="shared" si="44"/>
        <v>38842332.2</v>
      </c>
      <c r="R160" s="229">
        <v>23</v>
      </c>
      <c r="S160" s="41"/>
      <c r="T160" s="41"/>
      <c r="U160" s="41"/>
      <c r="V160" s="41"/>
      <c r="W160" s="41"/>
      <c r="X160" s="41"/>
      <c r="Y160" s="41"/>
      <c r="Z160" s="41"/>
      <c r="AA160" s="41"/>
      <c r="AB160" s="41"/>
      <c r="AC160" s="41"/>
      <c r="AD160" s="41"/>
      <c r="AE160" s="41"/>
      <c r="AF160" s="92"/>
    </row>
    <row r="161" spans="1:18" s="31" customFormat="1" ht="222" customHeight="1">
      <c r="A161" s="30"/>
      <c r="B161" s="27">
        <v>1513031</v>
      </c>
      <c r="C161" s="27">
        <v>3031</v>
      </c>
      <c r="D161" s="27">
        <v>1030</v>
      </c>
      <c r="E161" s="29" t="s">
        <v>238</v>
      </c>
      <c r="F161" s="107">
        <f aca="true" t="shared" si="47" ref="F161:F166">G161+J161</f>
        <v>270200</v>
      </c>
      <c r="G161" s="110">
        <v>270200</v>
      </c>
      <c r="H161" s="110"/>
      <c r="I161" s="110"/>
      <c r="J161" s="110"/>
      <c r="K161" s="110">
        <f>L161+O161</f>
        <v>154612</v>
      </c>
      <c r="L161" s="110"/>
      <c r="M161" s="110"/>
      <c r="N161" s="110"/>
      <c r="O161" s="110">
        <f>150000+4612</f>
        <v>154612</v>
      </c>
      <c r="P161" s="110">
        <f>150000+4612</f>
        <v>154612</v>
      </c>
      <c r="Q161" s="110">
        <f aca="true" t="shared" si="48" ref="Q161:Q215">F161+K161</f>
        <v>424812</v>
      </c>
      <c r="R161" s="229"/>
    </row>
    <row r="162" spans="1:18" s="31" customFormat="1" ht="84.75" customHeight="1">
      <c r="A162" s="30"/>
      <c r="B162" s="27">
        <v>1513033</v>
      </c>
      <c r="C162" s="27">
        <v>3033</v>
      </c>
      <c r="D162" s="27">
        <v>1070</v>
      </c>
      <c r="E162" s="29" t="s">
        <v>239</v>
      </c>
      <c r="F162" s="107">
        <f t="shared" si="47"/>
        <v>74666</v>
      </c>
      <c r="G162" s="110">
        <v>74666</v>
      </c>
      <c r="H162" s="110"/>
      <c r="I162" s="110"/>
      <c r="J162" s="110"/>
      <c r="K162" s="110">
        <f aca="true" t="shared" si="49" ref="K162:K190">L162+O162</f>
        <v>0</v>
      </c>
      <c r="L162" s="110"/>
      <c r="M162" s="110"/>
      <c r="N162" s="110"/>
      <c r="O162" s="110"/>
      <c r="P162" s="110"/>
      <c r="Q162" s="110">
        <f t="shared" si="48"/>
        <v>74666</v>
      </c>
      <c r="R162" s="229"/>
    </row>
    <row r="163" spans="1:18" s="31" customFormat="1" ht="40.5" customHeight="1">
      <c r="A163" s="30"/>
      <c r="B163" s="27">
        <v>1513034</v>
      </c>
      <c r="C163" s="27">
        <v>3034</v>
      </c>
      <c r="D163" s="27">
        <v>1070</v>
      </c>
      <c r="E163" s="29" t="s">
        <v>231</v>
      </c>
      <c r="F163" s="107">
        <f t="shared" si="47"/>
        <v>1577457</v>
      </c>
      <c r="G163" s="110">
        <f>1562305+15152</f>
        <v>1577457</v>
      </c>
      <c r="H163" s="110"/>
      <c r="I163" s="110"/>
      <c r="J163" s="110"/>
      <c r="K163" s="110">
        <f t="shared" si="49"/>
        <v>0</v>
      </c>
      <c r="L163" s="110"/>
      <c r="M163" s="110"/>
      <c r="N163" s="110"/>
      <c r="O163" s="110"/>
      <c r="P163" s="110"/>
      <c r="Q163" s="110">
        <f t="shared" si="48"/>
        <v>1577457</v>
      </c>
      <c r="R163" s="229"/>
    </row>
    <row r="164" spans="1:18" s="31" customFormat="1" ht="43.5" customHeight="1">
      <c r="A164" s="30"/>
      <c r="B164" s="27">
        <v>1513035</v>
      </c>
      <c r="C164" s="27">
        <v>3035</v>
      </c>
      <c r="D164" s="27">
        <v>1070</v>
      </c>
      <c r="E164" s="29" t="s">
        <v>240</v>
      </c>
      <c r="F164" s="107">
        <f t="shared" si="47"/>
        <v>10065884.2</v>
      </c>
      <c r="G164" s="110">
        <f>5552643+68400+3427694+894987.2+2480+119680</f>
        <v>10065884.2</v>
      </c>
      <c r="H164" s="110"/>
      <c r="I164" s="110"/>
      <c r="J164" s="110"/>
      <c r="K164" s="110">
        <f t="shared" si="49"/>
        <v>0</v>
      </c>
      <c r="L164" s="110"/>
      <c r="M164" s="110"/>
      <c r="N164" s="110"/>
      <c r="O164" s="110"/>
      <c r="P164" s="110"/>
      <c r="Q164" s="110">
        <f t="shared" si="48"/>
        <v>10065884.2</v>
      </c>
      <c r="R164" s="229"/>
    </row>
    <row r="165" spans="1:18" s="31" customFormat="1" ht="43.5" customHeight="1">
      <c r="A165" s="30"/>
      <c r="B165" s="27">
        <v>1513037</v>
      </c>
      <c r="C165" s="27">
        <v>3037</v>
      </c>
      <c r="D165" s="27">
        <v>1070</v>
      </c>
      <c r="E165" s="29" t="s">
        <v>528</v>
      </c>
      <c r="F165" s="107">
        <f t="shared" si="47"/>
        <v>1500000</v>
      </c>
      <c r="G165" s="110">
        <v>1500000</v>
      </c>
      <c r="H165" s="110"/>
      <c r="I165" s="110"/>
      <c r="J165" s="110"/>
      <c r="K165" s="110"/>
      <c r="L165" s="110"/>
      <c r="M165" s="110"/>
      <c r="N165" s="110"/>
      <c r="O165" s="110"/>
      <c r="P165" s="110"/>
      <c r="Q165" s="110">
        <f t="shared" si="48"/>
        <v>1500000</v>
      </c>
      <c r="R165" s="229"/>
    </row>
    <row r="166" spans="1:18" s="31" customFormat="1" ht="46.5" customHeight="1">
      <c r="A166" s="30"/>
      <c r="B166" s="27">
        <v>1513038</v>
      </c>
      <c r="C166" s="27">
        <v>3038</v>
      </c>
      <c r="D166" s="27">
        <v>1070</v>
      </c>
      <c r="E166" s="29" t="s">
        <v>27</v>
      </c>
      <c r="F166" s="107">
        <f t="shared" si="47"/>
        <v>25199513</v>
      </c>
      <c r="G166" s="107">
        <f>16255544+8943969</f>
        <v>25199513</v>
      </c>
      <c r="H166" s="107"/>
      <c r="I166" s="107"/>
      <c r="J166" s="107"/>
      <c r="K166" s="110">
        <f t="shared" si="49"/>
        <v>0</v>
      </c>
      <c r="L166" s="107"/>
      <c r="M166" s="107"/>
      <c r="N166" s="107"/>
      <c r="O166" s="107"/>
      <c r="P166" s="107"/>
      <c r="Q166" s="107">
        <f t="shared" si="48"/>
        <v>25199513</v>
      </c>
      <c r="R166" s="229"/>
    </row>
    <row r="167" spans="1:18" s="41" customFormat="1" ht="45" customHeight="1">
      <c r="A167" s="147"/>
      <c r="B167" s="25">
        <v>1513040</v>
      </c>
      <c r="C167" s="25">
        <v>3040</v>
      </c>
      <c r="D167" s="25"/>
      <c r="E167" s="23" t="s">
        <v>472</v>
      </c>
      <c r="F167" s="106">
        <f>F169+F171+F173+F175+F177+F179+F181+F183+F185</f>
        <v>307126600</v>
      </c>
      <c r="G167" s="106">
        <f aca="true" t="shared" si="50" ref="G167:P167">G169+G171+G173+G175+G177+G179+G181+G183+G185</f>
        <v>307126600</v>
      </c>
      <c r="H167" s="106">
        <f t="shared" si="50"/>
        <v>0</v>
      </c>
      <c r="I167" s="106">
        <f t="shared" si="50"/>
        <v>0</v>
      </c>
      <c r="J167" s="106">
        <f t="shared" si="50"/>
        <v>0</v>
      </c>
      <c r="K167" s="108">
        <f t="shared" si="49"/>
        <v>0</v>
      </c>
      <c r="L167" s="106">
        <f t="shared" si="50"/>
        <v>0</v>
      </c>
      <c r="M167" s="106">
        <f t="shared" si="50"/>
        <v>0</v>
      </c>
      <c r="N167" s="106">
        <f t="shared" si="50"/>
        <v>0</v>
      </c>
      <c r="O167" s="106">
        <f t="shared" si="50"/>
        <v>0</v>
      </c>
      <c r="P167" s="106">
        <f t="shared" si="50"/>
        <v>0</v>
      </c>
      <c r="Q167" s="106">
        <f t="shared" si="48"/>
        <v>307126600</v>
      </c>
      <c r="R167" s="229"/>
    </row>
    <row r="168" spans="1:18" s="41" customFormat="1" ht="15">
      <c r="A168" s="40"/>
      <c r="B168" s="123"/>
      <c r="C168" s="123"/>
      <c r="D168" s="123"/>
      <c r="E168" s="161" t="s">
        <v>511</v>
      </c>
      <c r="F168" s="106">
        <f>F170+F172+F174+F176+F178+F180+F182+F184+F186</f>
        <v>307126600</v>
      </c>
      <c r="G168" s="106">
        <f aca="true" t="shared" si="51" ref="G168:P168">G170+G172+G174+G176+G178+G180+G182+G184+G186</f>
        <v>307126600</v>
      </c>
      <c r="H168" s="106">
        <f t="shared" si="51"/>
        <v>0</v>
      </c>
      <c r="I168" s="106">
        <f t="shared" si="51"/>
        <v>0</v>
      </c>
      <c r="J168" s="106">
        <f t="shared" si="51"/>
        <v>0</v>
      </c>
      <c r="K168" s="108">
        <f t="shared" si="49"/>
        <v>0</v>
      </c>
      <c r="L168" s="106">
        <f t="shared" si="51"/>
        <v>0</v>
      </c>
      <c r="M168" s="106">
        <f t="shared" si="51"/>
        <v>0</v>
      </c>
      <c r="N168" s="106">
        <f t="shared" si="51"/>
        <v>0</v>
      </c>
      <c r="O168" s="106">
        <f t="shared" si="51"/>
        <v>0</v>
      </c>
      <c r="P168" s="106">
        <f t="shared" si="51"/>
        <v>0</v>
      </c>
      <c r="Q168" s="106">
        <f t="shared" si="48"/>
        <v>307126600</v>
      </c>
      <c r="R168" s="229"/>
    </row>
    <row r="169" spans="1:18" s="31" customFormat="1" ht="28.5" customHeight="1">
      <c r="A169" s="30"/>
      <c r="B169" s="27">
        <v>1513041</v>
      </c>
      <c r="C169" s="27">
        <v>3041</v>
      </c>
      <c r="D169" s="27">
        <v>1040</v>
      </c>
      <c r="E169" s="29" t="s">
        <v>473</v>
      </c>
      <c r="F169" s="107">
        <f>G169</f>
        <v>3435800</v>
      </c>
      <c r="G169" s="107">
        <v>3435800</v>
      </c>
      <c r="H169" s="107"/>
      <c r="I169" s="107"/>
      <c r="J169" s="107"/>
      <c r="K169" s="110">
        <f t="shared" si="49"/>
        <v>0</v>
      </c>
      <c r="L169" s="107"/>
      <c r="M169" s="107"/>
      <c r="N169" s="107"/>
      <c r="O169" s="107"/>
      <c r="P169" s="107"/>
      <c r="Q169" s="107">
        <f t="shared" si="48"/>
        <v>3435800</v>
      </c>
      <c r="R169" s="229"/>
    </row>
    <row r="170" spans="1:18" s="31" customFormat="1" ht="14.25" customHeight="1">
      <c r="A170" s="30"/>
      <c r="B170" s="27"/>
      <c r="C170" s="27"/>
      <c r="D170" s="27"/>
      <c r="E170" s="29" t="s">
        <v>511</v>
      </c>
      <c r="F170" s="107">
        <f aca="true" t="shared" si="52" ref="F170:F186">G170</f>
        <v>3435800</v>
      </c>
      <c r="G170" s="107">
        <v>3435800</v>
      </c>
      <c r="H170" s="107"/>
      <c r="I170" s="107"/>
      <c r="J170" s="107"/>
      <c r="K170" s="110">
        <f t="shared" si="49"/>
        <v>0</v>
      </c>
      <c r="L170" s="107"/>
      <c r="M170" s="107"/>
      <c r="N170" s="107"/>
      <c r="O170" s="107"/>
      <c r="P170" s="107"/>
      <c r="Q170" s="107">
        <f t="shared" si="48"/>
        <v>3435800</v>
      </c>
      <c r="R170" s="229"/>
    </row>
    <row r="171" spans="1:18" s="31" customFormat="1" ht="30" customHeight="1">
      <c r="A171" s="30"/>
      <c r="B171" s="27">
        <v>1513042</v>
      </c>
      <c r="C171" s="27">
        <v>3042</v>
      </c>
      <c r="D171" s="27">
        <v>1040</v>
      </c>
      <c r="E171" s="29" t="s">
        <v>521</v>
      </c>
      <c r="F171" s="107">
        <f t="shared" si="52"/>
        <v>468000</v>
      </c>
      <c r="G171" s="107">
        <v>468000</v>
      </c>
      <c r="H171" s="107"/>
      <c r="I171" s="107"/>
      <c r="J171" s="107"/>
      <c r="K171" s="110">
        <f t="shared" si="49"/>
        <v>0</v>
      </c>
      <c r="L171" s="107"/>
      <c r="M171" s="107"/>
      <c r="N171" s="107"/>
      <c r="O171" s="107"/>
      <c r="P171" s="107"/>
      <c r="Q171" s="107">
        <f t="shared" si="48"/>
        <v>468000</v>
      </c>
      <c r="R171" s="229"/>
    </row>
    <row r="172" spans="1:18" s="31" customFormat="1" ht="15" customHeight="1">
      <c r="A172" s="30"/>
      <c r="B172" s="27"/>
      <c r="C172" s="27"/>
      <c r="D172" s="27"/>
      <c r="E172" s="29" t="s">
        <v>511</v>
      </c>
      <c r="F172" s="107">
        <f t="shared" si="52"/>
        <v>468000</v>
      </c>
      <c r="G172" s="107">
        <v>468000</v>
      </c>
      <c r="H172" s="107"/>
      <c r="I172" s="107"/>
      <c r="J172" s="107"/>
      <c r="K172" s="110">
        <f t="shared" si="49"/>
        <v>0</v>
      </c>
      <c r="L172" s="107"/>
      <c r="M172" s="107"/>
      <c r="N172" s="107"/>
      <c r="O172" s="107"/>
      <c r="P172" s="107"/>
      <c r="Q172" s="107">
        <f t="shared" si="48"/>
        <v>468000</v>
      </c>
      <c r="R172" s="229"/>
    </row>
    <row r="173" spans="1:18" s="31" customFormat="1" ht="21" customHeight="1">
      <c r="A173" s="30"/>
      <c r="B173" s="27">
        <v>1513043</v>
      </c>
      <c r="C173" s="27">
        <v>3043</v>
      </c>
      <c r="D173" s="27">
        <v>1040</v>
      </c>
      <c r="E173" s="29" t="s">
        <v>474</v>
      </c>
      <c r="F173" s="107">
        <f t="shared" si="52"/>
        <v>144214000</v>
      </c>
      <c r="G173" s="107">
        <f>142613700+1600300</f>
        <v>144214000</v>
      </c>
      <c r="H173" s="107"/>
      <c r="I173" s="107"/>
      <c r="J173" s="107"/>
      <c r="K173" s="110">
        <f t="shared" si="49"/>
        <v>0</v>
      </c>
      <c r="L173" s="107"/>
      <c r="M173" s="107"/>
      <c r="N173" s="107"/>
      <c r="O173" s="107"/>
      <c r="P173" s="107"/>
      <c r="Q173" s="107">
        <f t="shared" si="48"/>
        <v>144214000</v>
      </c>
      <c r="R173" s="229"/>
    </row>
    <row r="174" spans="1:18" s="31" customFormat="1" ht="19.5" customHeight="1">
      <c r="A174" s="30"/>
      <c r="B174" s="27"/>
      <c r="C174" s="27"/>
      <c r="D174" s="27"/>
      <c r="E174" s="29" t="s">
        <v>511</v>
      </c>
      <c r="F174" s="107">
        <f t="shared" si="52"/>
        <v>144214000</v>
      </c>
      <c r="G174" s="107">
        <f>142613700+1600300</f>
        <v>144214000</v>
      </c>
      <c r="H174" s="107"/>
      <c r="I174" s="107"/>
      <c r="J174" s="107"/>
      <c r="K174" s="110">
        <f t="shared" si="49"/>
        <v>0</v>
      </c>
      <c r="L174" s="107"/>
      <c r="M174" s="107"/>
      <c r="N174" s="107"/>
      <c r="O174" s="107"/>
      <c r="P174" s="107"/>
      <c r="Q174" s="107">
        <f t="shared" si="48"/>
        <v>144214000</v>
      </c>
      <c r="R174" s="229"/>
    </row>
    <row r="175" spans="1:18" s="31" customFormat="1" ht="27">
      <c r="A175" s="30"/>
      <c r="B175" s="27">
        <v>1513044</v>
      </c>
      <c r="C175" s="27">
        <v>3044</v>
      </c>
      <c r="D175" s="27">
        <v>1040</v>
      </c>
      <c r="E175" s="29" t="s">
        <v>475</v>
      </c>
      <c r="F175" s="107">
        <f t="shared" si="52"/>
        <v>9856700</v>
      </c>
      <c r="G175" s="107">
        <v>9856700</v>
      </c>
      <c r="H175" s="107"/>
      <c r="I175" s="107"/>
      <c r="J175" s="107"/>
      <c r="K175" s="110">
        <f t="shared" si="49"/>
        <v>0</v>
      </c>
      <c r="L175" s="107"/>
      <c r="M175" s="107"/>
      <c r="N175" s="107"/>
      <c r="O175" s="107"/>
      <c r="P175" s="107"/>
      <c r="Q175" s="107">
        <f t="shared" si="48"/>
        <v>9856700</v>
      </c>
      <c r="R175" s="229"/>
    </row>
    <row r="176" spans="1:18" s="31" customFormat="1" ht="18" customHeight="1">
      <c r="A176" s="30"/>
      <c r="B176" s="27"/>
      <c r="C176" s="27"/>
      <c r="D176" s="27"/>
      <c r="E176" s="29" t="s">
        <v>511</v>
      </c>
      <c r="F176" s="107">
        <f t="shared" si="52"/>
        <v>9856700</v>
      </c>
      <c r="G176" s="107">
        <v>9856700</v>
      </c>
      <c r="H176" s="107"/>
      <c r="I176" s="107"/>
      <c r="J176" s="107"/>
      <c r="K176" s="110">
        <f t="shared" si="49"/>
        <v>0</v>
      </c>
      <c r="L176" s="107"/>
      <c r="M176" s="107"/>
      <c r="N176" s="107"/>
      <c r="O176" s="107"/>
      <c r="P176" s="107"/>
      <c r="Q176" s="107">
        <f t="shared" si="48"/>
        <v>9856700</v>
      </c>
      <c r="R176" s="229"/>
    </row>
    <row r="177" spans="1:18" s="31" customFormat="1" ht="14.25" customHeight="1">
      <c r="A177" s="30"/>
      <c r="B177" s="27">
        <v>1513045</v>
      </c>
      <c r="C177" s="27">
        <v>3045</v>
      </c>
      <c r="D177" s="27">
        <v>1040</v>
      </c>
      <c r="E177" s="29" t="s">
        <v>476</v>
      </c>
      <c r="F177" s="107">
        <f t="shared" si="52"/>
        <v>47203000</v>
      </c>
      <c r="G177" s="107">
        <f>58904500-11701500</f>
        <v>47203000</v>
      </c>
      <c r="H177" s="107"/>
      <c r="I177" s="107"/>
      <c r="J177" s="107"/>
      <c r="K177" s="110">
        <f t="shared" si="49"/>
        <v>0</v>
      </c>
      <c r="L177" s="107"/>
      <c r="M177" s="107"/>
      <c r="N177" s="107"/>
      <c r="O177" s="107"/>
      <c r="P177" s="107"/>
      <c r="Q177" s="107">
        <f t="shared" si="48"/>
        <v>47203000</v>
      </c>
      <c r="R177" s="229"/>
    </row>
    <row r="178" spans="1:18" s="31" customFormat="1" ht="17.25" customHeight="1">
      <c r="A178" s="30"/>
      <c r="B178" s="27"/>
      <c r="C178" s="27"/>
      <c r="D178" s="27"/>
      <c r="E178" s="29" t="s">
        <v>511</v>
      </c>
      <c r="F178" s="107">
        <f t="shared" si="52"/>
        <v>47203000</v>
      </c>
      <c r="G178" s="107">
        <f>58904500-11701500</f>
        <v>47203000</v>
      </c>
      <c r="H178" s="107"/>
      <c r="I178" s="107"/>
      <c r="J178" s="107"/>
      <c r="K178" s="110">
        <f t="shared" si="49"/>
        <v>0</v>
      </c>
      <c r="L178" s="107"/>
      <c r="M178" s="107"/>
      <c r="N178" s="107"/>
      <c r="O178" s="107"/>
      <c r="P178" s="107"/>
      <c r="Q178" s="107">
        <f t="shared" si="48"/>
        <v>47203000</v>
      </c>
      <c r="R178" s="229"/>
    </row>
    <row r="179" spans="1:18" s="31" customFormat="1" ht="15" customHeight="1">
      <c r="A179" s="30"/>
      <c r="B179" s="27">
        <v>1513046</v>
      </c>
      <c r="C179" s="27">
        <v>3046</v>
      </c>
      <c r="D179" s="27">
        <v>1040</v>
      </c>
      <c r="E179" s="29" t="s">
        <v>477</v>
      </c>
      <c r="F179" s="107">
        <f t="shared" si="52"/>
        <v>2590200</v>
      </c>
      <c r="G179" s="107">
        <v>2590200</v>
      </c>
      <c r="H179" s="107"/>
      <c r="I179" s="107"/>
      <c r="J179" s="107"/>
      <c r="K179" s="110">
        <f t="shared" si="49"/>
        <v>0</v>
      </c>
      <c r="L179" s="107"/>
      <c r="M179" s="107"/>
      <c r="N179" s="107"/>
      <c r="O179" s="107"/>
      <c r="P179" s="107"/>
      <c r="Q179" s="107">
        <f t="shared" si="48"/>
        <v>2590200</v>
      </c>
      <c r="R179" s="229"/>
    </row>
    <row r="180" spans="1:18" s="31" customFormat="1" ht="15" customHeight="1">
      <c r="A180" s="30"/>
      <c r="B180" s="27"/>
      <c r="C180" s="27"/>
      <c r="D180" s="27"/>
      <c r="E180" s="29" t="s">
        <v>511</v>
      </c>
      <c r="F180" s="107">
        <f t="shared" si="52"/>
        <v>2590200</v>
      </c>
      <c r="G180" s="107">
        <v>2590200</v>
      </c>
      <c r="H180" s="107"/>
      <c r="I180" s="107"/>
      <c r="J180" s="107"/>
      <c r="K180" s="110">
        <f t="shared" si="49"/>
        <v>0</v>
      </c>
      <c r="L180" s="107"/>
      <c r="M180" s="107"/>
      <c r="N180" s="107"/>
      <c r="O180" s="107"/>
      <c r="P180" s="107"/>
      <c r="Q180" s="107">
        <f t="shared" si="48"/>
        <v>2590200</v>
      </c>
      <c r="R180" s="229"/>
    </row>
    <row r="181" spans="1:18" s="31" customFormat="1" ht="19.5" customHeight="1">
      <c r="A181" s="30"/>
      <c r="B181" s="27">
        <v>1513047</v>
      </c>
      <c r="C181" s="27">
        <v>3047</v>
      </c>
      <c r="D181" s="27">
        <v>1040</v>
      </c>
      <c r="E181" s="29" t="s">
        <v>478</v>
      </c>
      <c r="F181" s="107">
        <f t="shared" si="52"/>
        <v>354300</v>
      </c>
      <c r="G181" s="107">
        <v>354300</v>
      </c>
      <c r="H181" s="107"/>
      <c r="I181" s="107"/>
      <c r="J181" s="107"/>
      <c r="K181" s="110">
        <f t="shared" si="49"/>
        <v>0</v>
      </c>
      <c r="L181" s="107"/>
      <c r="M181" s="107"/>
      <c r="N181" s="107"/>
      <c r="O181" s="107"/>
      <c r="P181" s="107"/>
      <c r="Q181" s="107">
        <f t="shared" si="48"/>
        <v>354300</v>
      </c>
      <c r="R181" s="229"/>
    </row>
    <row r="182" spans="1:18" s="31" customFormat="1" ht="18.75" customHeight="1">
      <c r="A182" s="30"/>
      <c r="B182" s="27"/>
      <c r="C182" s="27"/>
      <c r="D182" s="27"/>
      <c r="E182" s="29" t="s">
        <v>511</v>
      </c>
      <c r="F182" s="107">
        <f t="shared" si="52"/>
        <v>354300</v>
      </c>
      <c r="G182" s="107">
        <v>354300</v>
      </c>
      <c r="H182" s="107"/>
      <c r="I182" s="107"/>
      <c r="J182" s="107"/>
      <c r="K182" s="110">
        <f t="shared" si="49"/>
        <v>0</v>
      </c>
      <c r="L182" s="107"/>
      <c r="M182" s="107"/>
      <c r="N182" s="107"/>
      <c r="O182" s="107"/>
      <c r="P182" s="107"/>
      <c r="Q182" s="107">
        <f t="shared" si="48"/>
        <v>354300</v>
      </c>
      <c r="R182" s="229"/>
    </row>
    <row r="183" spans="1:18" s="31" customFormat="1" ht="27">
      <c r="A183" s="30"/>
      <c r="B183" s="27">
        <v>1513048</v>
      </c>
      <c r="C183" s="27">
        <v>3048</v>
      </c>
      <c r="D183" s="27">
        <v>1040</v>
      </c>
      <c r="E183" s="29" t="s">
        <v>479</v>
      </c>
      <c r="F183" s="107">
        <f t="shared" si="52"/>
        <v>48309400</v>
      </c>
      <c r="G183" s="107">
        <f>38809400+9500000</f>
        <v>48309400</v>
      </c>
      <c r="H183" s="107"/>
      <c r="I183" s="107"/>
      <c r="J183" s="107"/>
      <c r="K183" s="110">
        <f t="shared" si="49"/>
        <v>0</v>
      </c>
      <c r="L183" s="107"/>
      <c r="M183" s="107"/>
      <c r="N183" s="107"/>
      <c r="O183" s="107"/>
      <c r="P183" s="107"/>
      <c r="Q183" s="107">
        <f t="shared" si="48"/>
        <v>48309400</v>
      </c>
      <c r="R183" s="229"/>
    </row>
    <row r="184" spans="1:18" s="31" customFormat="1" ht="18.75" customHeight="1">
      <c r="A184" s="30"/>
      <c r="B184" s="27"/>
      <c r="C184" s="27"/>
      <c r="D184" s="27"/>
      <c r="E184" s="29" t="s">
        <v>511</v>
      </c>
      <c r="F184" s="107">
        <f t="shared" si="52"/>
        <v>48309400</v>
      </c>
      <c r="G184" s="107">
        <f>38809400+9500000</f>
        <v>48309400</v>
      </c>
      <c r="H184" s="107"/>
      <c r="I184" s="107"/>
      <c r="J184" s="107"/>
      <c r="K184" s="110">
        <f t="shared" si="49"/>
        <v>0</v>
      </c>
      <c r="L184" s="107"/>
      <c r="M184" s="107"/>
      <c r="N184" s="107"/>
      <c r="O184" s="107"/>
      <c r="P184" s="107"/>
      <c r="Q184" s="107">
        <f t="shared" si="48"/>
        <v>48309400</v>
      </c>
      <c r="R184" s="229">
        <v>24</v>
      </c>
    </row>
    <row r="185" spans="1:18" s="31" customFormat="1" ht="27">
      <c r="A185" s="30"/>
      <c r="B185" s="27">
        <v>1513049</v>
      </c>
      <c r="C185" s="27">
        <v>3049</v>
      </c>
      <c r="D185" s="27">
        <v>1010</v>
      </c>
      <c r="E185" s="29" t="s">
        <v>480</v>
      </c>
      <c r="F185" s="107">
        <f t="shared" si="52"/>
        <v>50695200</v>
      </c>
      <c r="G185" s="107">
        <f>50694000+1200</f>
        <v>50695200</v>
      </c>
      <c r="H185" s="107"/>
      <c r="I185" s="107"/>
      <c r="J185" s="107"/>
      <c r="K185" s="110">
        <f t="shared" si="49"/>
        <v>0</v>
      </c>
      <c r="L185" s="107"/>
      <c r="M185" s="107"/>
      <c r="N185" s="107"/>
      <c r="O185" s="107"/>
      <c r="P185" s="107"/>
      <c r="Q185" s="107">
        <f t="shared" si="48"/>
        <v>50695200</v>
      </c>
      <c r="R185" s="229"/>
    </row>
    <row r="186" spans="1:18" s="31" customFormat="1" ht="22.5" customHeight="1">
      <c r="A186" s="30"/>
      <c r="B186" s="27"/>
      <c r="C186" s="27"/>
      <c r="D186" s="27"/>
      <c r="E186" s="29" t="s">
        <v>511</v>
      </c>
      <c r="F186" s="107">
        <f t="shared" si="52"/>
        <v>50695200</v>
      </c>
      <c r="G186" s="107">
        <f>50694000+1200</f>
        <v>50695200</v>
      </c>
      <c r="H186" s="107"/>
      <c r="I186" s="107"/>
      <c r="J186" s="107"/>
      <c r="K186" s="110">
        <f t="shared" si="49"/>
        <v>0</v>
      </c>
      <c r="L186" s="107"/>
      <c r="M186" s="107"/>
      <c r="N186" s="107"/>
      <c r="O186" s="107"/>
      <c r="P186" s="107"/>
      <c r="Q186" s="107">
        <f t="shared" si="48"/>
        <v>50695200</v>
      </c>
      <c r="R186" s="229"/>
    </row>
    <row r="187" spans="1:31" s="14" customFormat="1" ht="38.25" customHeight="1">
      <c r="A187" s="22"/>
      <c r="B187" s="25">
        <v>1513050</v>
      </c>
      <c r="C187" s="25">
        <v>3050</v>
      </c>
      <c r="D187" s="25">
        <v>1070</v>
      </c>
      <c r="E187" s="23" t="s">
        <v>113</v>
      </c>
      <c r="F187" s="106">
        <f>G187+J187</f>
        <v>930500</v>
      </c>
      <c r="G187" s="106">
        <f>540500+390000</f>
        <v>930500</v>
      </c>
      <c r="H187" s="106"/>
      <c r="I187" s="106"/>
      <c r="J187" s="106"/>
      <c r="K187" s="108">
        <f t="shared" si="49"/>
        <v>0</v>
      </c>
      <c r="L187" s="106"/>
      <c r="M187" s="106"/>
      <c r="N187" s="106"/>
      <c r="O187" s="106"/>
      <c r="P187" s="106"/>
      <c r="Q187" s="106">
        <f t="shared" si="48"/>
        <v>930500</v>
      </c>
      <c r="R187" s="229"/>
      <c r="S187" s="41"/>
      <c r="T187" s="41"/>
      <c r="U187" s="41"/>
      <c r="V187" s="41"/>
      <c r="W187" s="41"/>
      <c r="X187" s="41"/>
      <c r="Y187" s="41"/>
      <c r="Z187" s="41"/>
      <c r="AA187" s="41"/>
      <c r="AB187" s="41"/>
      <c r="AC187" s="41"/>
      <c r="AD187" s="41"/>
      <c r="AE187" s="41"/>
    </row>
    <row r="188" spans="1:31" s="14" customFormat="1" ht="40.5" customHeight="1">
      <c r="A188" s="13"/>
      <c r="B188" s="123">
        <v>1513080</v>
      </c>
      <c r="C188" s="123">
        <v>3080</v>
      </c>
      <c r="D188" s="123">
        <v>1010</v>
      </c>
      <c r="E188" s="161" t="s">
        <v>522</v>
      </c>
      <c r="F188" s="106">
        <f>G188+J188</f>
        <v>9577500</v>
      </c>
      <c r="G188" s="106">
        <f>8977500+600000</f>
        <v>9577500</v>
      </c>
      <c r="H188" s="106"/>
      <c r="I188" s="106"/>
      <c r="J188" s="106"/>
      <c r="K188" s="108">
        <f t="shared" si="49"/>
        <v>0</v>
      </c>
      <c r="L188" s="106"/>
      <c r="M188" s="106"/>
      <c r="N188" s="106"/>
      <c r="O188" s="106"/>
      <c r="P188" s="106"/>
      <c r="Q188" s="106">
        <f t="shared" si="48"/>
        <v>9577500</v>
      </c>
      <c r="R188" s="229"/>
      <c r="S188" s="41"/>
      <c r="T188" s="41"/>
      <c r="U188" s="41"/>
      <c r="V188" s="41"/>
      <c r="W188" s="41"/>
      <c r="X188" s="41"/>
      <c r="Y188" s="41"/>
      <c r="Z188" s="41"/>
      <c r="AA188" s="41"/>
      <c r="AB188" s="41"/>
      <c r="AC188" s="41"/>
      <c r="AD188" s="41"/>
      <c r="AE188" s="41"/>
    </row>
    <row r="189" spans="1:31" s="14" customFormat="1" ht="15.75" customHeight="1">
      <c r="A189" s="13"/>
      <c r="B189" s="123"/>
      <c r="C189" s="123"/>
      <c r="D189" s="123"/>
      <c r="E189" s="161" t="s">
        <v>511</v>
      </c>
      <c r="F189" s="106">
        <f>G189+J189</f>
        <v>9577500</v>
      </c>
      <c r="G189" s="106">
        <f>8977500+600000</f>
        <v>9577500</v>
      </c>
      <c r="H189" s="106"/>
      <c r="I189" s="106"/>
      <c r="J189" s="106"/>
      <c r="K189" s="108">
        <f t="shared" si="49"/>
        <v>0</v>
      </c>
      <c r="L189" s="106"/>
      <c r="M189" s="106"/>
      <c r="N189" s="106"/>
      <c r="O189" s="106"/>
      <c r="P189" s="106"/>
      <c r="Q189" s="106">
        <f t="shared" si="48"/>
        <v>9577500</v>
      </c>
      <c r="R189" s="229"/>
      <c r="S189" s="41"/>
      <c r="T189" s="41"/>
      <c r="U189" s="41"/>
      <c r="V189" s="41"/>
      <c r="W189" s="41"/>
      <c r="X189" s="41"/>
      <c r="Y189" s="41"/>
      <c r="Z189" s="41"/>
      <c r="AA189" s="41"/>
      <c r="AB189" s="41"/>
      <c r="AC189" s="41"/>
      <c r="AD189" s="41"/>
      <c r="AE189" s="41"/>
    </row>
    <row r="190" spans="1:31" s="14" customFormat="1" ht="34.5" customHeight="1">
      <c r="A190" s="13"/>
      <c r="B190" s="123">
        <v>1513090</v>
      </c>
      <c r="C190" s="123">
        <v>3090</v>
      </c>
      <c r="D190" s="123">
        <v>1030</v>
      </c>
      <c r="E190" s="179" t="s">
        <v>481</v>
      </c>
      <c r="F190" s="106">
        <f>G190+J190</f>
        <v>196100</v>
      </c>
      <c r="G190" s="106">
        <v>196100</v>
      </c>
      <c r="H190" s="106"/>
      <c r="I190" s="106"/>
      <c r="J190" s="106"/>
      <c r="K190" s="108">
        <f t="shared" si="49"/>
        <v>0</v>
      </c>
      <c r="L190" s="106"/>
      <c r="M190" s="106"/>
      <c r="N190" s="106"/>
      <c r="O190" s="106"/>
      <c r="P190" s="106"/>
      <c r="Q190" s="106">
        <f t="shared" si="48"/>
        <v>196100</v>
      </c>
      <c r="R190" s="229"/>
      <c r="S190" s="41"/>
      <c r="T190" s="41"/>
      <c r="U190" s="41"/>
      <c r="V190" s="41"/>
      <c r="W190" s="41"/>
      <c r="X190" s="41"/>
      <c r="Y190" s="41"/>
      <c r="Z190" s="41"/>
      <c r="AA190" s="41"/>
      <c r="AB190" s="41"/>
      <c r="AC190" s="41"/>
      <c r="AD190" s="41"/>
      <c r="AE190" s="41"/>
    </row>
    <row r="191" spans="1:31" s="14" customFormat="1" ht="45" customHeight="1">
      <c r="A191" s="13"/>
      <c r="B191" s="123">
        <v>1513100</v>
      </c>
      <c r="C191" s="123">
        <v>3100</v>
      </c>
      <c r="D191" s="123"/>
      <c r="E191" s="161" t="s">
        <v>114</v>
      </c>
      <c r="F191" s="108">
        <f>F192</f>
        <v>8372482</v>
      </c>
      <c r="G191" s="108">
        <f aca="true" t="shared" si="53" ref="G191:P191">G192</f>
        <v>8372482</v>
      </c>
      <c r="H191" s="108">
        <f t="shared" si="53"/>
        <v>6253700</v>
      </c>
      <c r="I191" s="108">
        <f t="shared" si="53"/>
        <v>195000</v>
      </c>
      <c r="J191" s="108">
        <f t="shared" si="53"/>
        <v>0</v>
      </c>
      <c r="K191" s="108">
        <f t="shared" si="53"/>
        <v>66803</v>
      </c>
      <c r="L191" s="108">
        <f t="shared" si="53"/>
        <v>48900</v>
      </c>
      <c r="M191" s="108">
        <f t="shared" si="53"/>
        <v>39000</v>
      </c>
      <c r="N191" s="108">
        <f t="shared" si="53"/>
        <v>0</v>
      </c>
      <c r="O191" s="108">
        <f t="shared" si="53"/>
        <v>17903</v>
      </c>
      <c r="P191" s="108">
        <f t="shared" si="53"/>
        <v>17903</v>
      </c>
      <c r="Q191" s="108">
        <f t="shared" si="48"/>
        <v>8439285</v>
      </c>
      <c r="R191" s="229"/>
      <c r="S191" s="41"/>
      <c r="T191" s="41"/>
      <c r="U191" s="41"/>
      <c r="V191" s="41"/>
      <c r="W191" s="41"/>
      <c r="X191" s="41"/>
      <c r="Y191" s="41"/>
      <c r="Z191" s="41"/>
      <c r="AA191" s="41"/>
      <c r="AB191" s="41"/>
      <c r="AC191" s="41"/>
      <c r="AD191" s="41"/>
      <c r="AE191" s="41"/>
    </row>
    <row r="192" spans="1:31" s="33" customFormat="1" ht="63" customHeight="1">
      <c r="A192" s="32"/>
      <c r="B192" s="27">
        <v>1513104</v>
      </c>
      <c r="C192" s="27">
        <v>3104</v>
      </c>
      <c r="D192" s="27">
        <v>1020</v>
      </c>
      <c r="E192" s="29" t="s">
        <v>115</v>
      </c>
      <c r="F192" s="107">
        <f>G192+J192</f>
        <v>8372482</v>
      </c>
      <c r="G192" s="107">
        <f>8537800-266700+43782+4000+6000+17600+30000</f>
        <v>8372482</v>
      </c>
      <c r="H192" s="107">
        <f>6483800-230100</f>
        <v>6253700</v>
      </c>
      <c r="I192" s="107">
        <f>181600+13400</f>
        <v>195000</v>
      </c>
      <c r="J192" s="107"/>
      <c r="K192" s="107">
        <f>L192+O192</f>
        <v>66803</v>
      </c>
      <c r="L192" s="107">
        <v>48900</v>
      </c>
      <c r="M192" s="107">
        <v>39000</v>
      </c>
      <c r="N192" s="107"/>
      <c r="O192" s="107">
        <f>10000+7903</f>
        <v>17903</v>
      </c>
      <c r="P192" s="107">
        <f>10000+7903</f>
        <v>17903</v>
      </c>
      <c r="Q192" s="107">
        <f t="shared" si="48"/>
        <v>8439285</v>
      </c>
      <c r="R192" s="229"/>
      <c r="S192" s="31"/>
      <c r="T192" s="31"/>
      <c r="U192" s="31"/>
      <c r="V192" s="31"/>
      <c r="W192" s="31"/>
      <c r="X192" s="31"/>
      <c r="Y192" s="31"/>
      <c r="Z192" s="31"/>
      <c r="AA192" s="31"/>
      <c r="AB192" s="31"/>
      <c r="AC192" s="31"/>
      <c r="AD192" s="31"/>
      <c r="AE192" s="31"/>
    </row>
    <row r="193" spans="1:31" s="14" customFormat="1" ht="76.5" customHeight="1">
      <c r="A193" s="22"/>
      <c r="B193" s="25">
        <v>1513180</v>
      </c>
      <c r="C193" s="25">
        <v>3180</v>
      </c>
      <c r="D193" s="25"/>
      <c r="E193" s="23" t="s">
        <v>116</v>
      </c>
      <c r="F193" s="108">
        <f>F194+F195+F196</f>
        <v>1715937</v>
      </c>
      <c r="G193" s="108">
        <f aca="true" t="shared" si="54" ref="G193:Q193">G194+G195+G196</f>
        <v>1715937</v>
      </c>
      <c r="H193" s="108">
        <f t="shared" si="54"/>
        <v>0</v>
      </c>
      <c r="I193" s="108">
        <f t="shared" si="54"/>
        <v>0</v>
      </c>
      <c r="J193" s="108">
        <f t="shared" si="54"/>
        <v>0</v>
      </c>
      <c r="K193" s="108">
        <f t="shared" si="54"/>
        <v>0</v>
      </c>
      <c r="L193" s="108">
        <f t="shared" si="54"/>
        <v>0</v>
      </c>
      <c r="M193" s="108">
        <f t="shared" si="54"/>
        <v>0</v>
      </c>
      <c r="N193" s="108">
        <f t="shared" si="54"/>
        <v>0</v>
      </c>
      <c r="O193" s="108">
        <f t="shared" si="54"/>
        <v>0</v>
      </c>
      <c r="P193" s="108">
        <f t="shared" si="54"/>
        <v>0</v>
      </c>
      <c r="Q193" s="108">
        <f t="shared" si="54"/>
        <v>1715937</v>
      </c>
      <c r="R193" s="229"/>
      <c r="S193" s="41"/>
      <c r="T193" s="41"/>
      <c r="U193" s="41"/>
      <c r="V193" s="41"/>
      <c r="W193" s="41"/>
      <c r="X193" s="41"/>
      <c r="Y193" s="41"/>
      <c r="Z193" s="41"/>
      <c r="AA193" s="41"/>
      <c r="AB193" s="41"/>
      <c r="AC193" s="41"/>
      <c r="AD193" s="41"/>
      <c r="AE193" s="41"/>
    </row>
    <row r="194" spans="1:31" s="33" customFormat="1" ht="70.5" customHeight="1">
      <c r="A194" s="32"/>
      <c r="B194" s="27">
        <v>1513181</v>
      </c>
      <c r="C194" s="27">
        <v>3181</v>
      </c>
      <c r="D194" s="27">
        <v>1010</v>
      </c>
      <c r="E194" s="29" t="s">
        <v>117</v>
      </c>
      <c r="F194" s="107">
        <f>G194+J194</f>
        <v>1534100</v>
      </c>
      <c r="G194" s="107">
        <v>1534100</v>
      </c>
      <c r="H194" s="107"/>
      <c r="I194" s="107"/>
      <c r="J194" s="107"/>
      <c r="K194" s="107">
        <f>L194+O194</f>
        <v>0</v>
      </c>
      <c r="L194" s="107"/>
      <c r="M194" s="107"/>
      <c r="N194" s="107"/>
      <c r="O194" s="107"/>
      <c r="P194" s="107"/>
      <c r="Q194" s="107">
        <f t="shared" si="48"/>
        <v>1534100</v>
      </c>
      <c r="R194" s="229"/>
      <c r="S194" s="31"/>
      <c r="T194" s="31"/>
      <c r="U194" s="31"/>
      <c r="V194" s="31"/>
      <c r="W194" s="31"/>
      <c r="X194" s="31"/>
      <c r="Y194" s="31"/>
      <c r="Z194" s="31"/>
      <c r="AA194" s="31"/>
      <c r="AB194" s="31"/>
      <c r="AC194" s="31"/>
      <c r="AD194" s="31"/>
      <c r="AE194" s="31"/>
    </row>
    <row r="195" spans="1:31" s="33" customFormat="1" ht="45" customHeight="1">
      <c r="A195" s="32"/>
      <c r="B195" s="27">
        <v>1513182</v>
      </c>
      <c r="C195" s="27">
        <v>3182</v>
      </c>
      <c r="D195" s="27">
        <v>1010</v>
      </c>
      <c r="E195" s="29" t="s">
        <v>482</v>
      </c>
      <c r="F195" s="107">
        <f>G195+J195</f>
        <v>176637</v>
      </c>
      <c r="G195" s="107">
        <v>176637</v>
      </c>
      <c r="H195" s="107"/>
      <c r="I195" s="107"/>
      <c r="J195" s="107"/>
      <c r="K195" s="107">
        <f>L195+O195</f>
        <v>0</v>
      </c>
      <c r="L195" s="107"/>
      <c r="M195" s="107"/>
      <c r="N195" s="107"/>
      <c r="O195" s="107"/>
      <c r="P195" s="107"/>
      <c r="Q195" s="107">
        <f t="shared" si="48"/>
        <v>176637</v>
      </c>
      <c r="R195" s="229"/>
      <c r="S195" s="31"/>
      <c r="T195" s="31"/>
      <c r="U195" s="31"/>
      <c r="V195" s="31"/>
      <c r="W195" s="31"/>
      <c r="X195" s="31"/>
      <c r="Y195" s="31"/>
      <c r="Z195" s="31"/>
      <c r="AA195" s="31"/>
      <c r="AB195" s="31"/>
      <c r="AC195" s="31"/>
      <c r="AD195" s="31"/>
      <c r="AE195" s="31"/>
    </row>
    <row r="196" spans="1:31" s="33" customFormat="1" ht="20.25" customHeight="1">
      <c r="A196" s="32"/>
      <c r="B196" s="27">
        <v>1513183</v>
      </c>
      <c r="C196" s="27">
        <v>3183</v>
      </c>
      <c r="D196" s="27">
        <v>1010</v>
      </c>
      <c r="E196" s="29" t="s">
        <v>483</v>
      </c>
      <c r="F196" s="107">
        <f>G196+J196</f>
        <v>5200</v>
      </c>
      <c r="G196" s="107">
        <v>5200</v>
      </c>
      <c r="H196" s="107"/>
      <c r="I196" s="107"/>
      <c r="J196" s="107"/>
      <c r="K196" s="107">
        <f>L196+O196</f>
        <v>0</v>
      </c>
      <c r="L196" s="107"/>
      <c r="M196" s="107"/>
      <c r="N196" s="107"/>
      <c r="O196" s="107"/>
      <c r="P196" s="107"/>
      <c r="Q196" s="107">
        <f t="shared" si="48"/>
        <v>5200</v>
      </c>
      <c r="R196" s="229"/>
      <c r="S196" s="31"/>
      <c r="T196" s="31"/>
      <c r="U196" s="31"/>
      <c r="V196" s="31"/>
      <c r="W196" s="31"/>
      <c r="X196" s="31"/>
      <c r="Y196" s="31"/>
      <c r="Z196" s="31"/>
      <c r="AA196" s="31"/>
      <c r="AB196" s="31"/>
      <c r="AC196" s="31"/>
      <c r="AD196" s="31"/>
      <c r="AE196" s="31"/>
    </row>
    <row r="197" spans="1:31" s="14" customFormat="1" ht="81.75" customHeight="1">
      <c r="A197" s="22"/>
      <c r="B197" s="25">
        <v>1513190</v>
      </c>
      <c r="C197" s="25">
        <v>3190</v>
      </c>
      <c r="D197" s="25">
        <v>1060</v>
      </c>
      <c r="E197" s="23" t="s">
        <v>118</v>
      </c>
      <c r="F197" s="106">
        <f>G197+J197</f>
        <v>1832454</v>
      </c>
      <c r="G197" s="106">
        <v>1832454</v>
      </c>
      <c r="H197" s="106"/>
      <c r="I197" s="106"/>
      <c r="J197" s="106"/>
      <c r="K197" s="106">
        <f>L197+O197</f>
        <v>0</v>
      </c>
      <c r="L197" s="106"/>
      <c r="M197" s="106"/>
      <c r="N197" s="106"/>
      <c r="O197" s="106"/>
      <c r="P197" s="106"/>
      <c r="Q197" s="106">
        <f t="shared" si="48"/>
        <v>1832454</v>
      </c>
      <c r="R197" s="229"/>
      <c r="S197" s="41"/>
      <c r="T197" s="41"/>
      <c r="U197" s="41"/>
      <c r="V197" s="41"/>
      <c r="W197" s="41"/>
      <c r="X197" s="41"/>
      <c r="Y197" s="41"/>
      <c r="Z197" s="41"/>
      <c r="AA197" s="41"/>
      <c r="AB197" s="41"/>
      <c r="AC197" s="41"/>
      <c r="AD197" s="41"/>
      <c r="AE197" s="41"/>
    </row>
    <row r="198" spans="1:31" s="14" customFormat="1" ht="21.75" customHeight="1">
      <c r="A198" s="13"/>
      <c r="B198" s="123">
        <v>1513200</v>
      </c>
      <c r="C198" s="123">
        <v>3200</v>
      </c>
      <c r="D198" s="123"/>
      <c r="E198" s="161" t="s">
        <v>119</v>
      </c>
      <c r="F198" s="108">
        <f>F199+F200</f>
        <v>2493045</v>
      </c>
      <c r="G198" s="108">
        <f aca="true" t="shared" si="55" ref="G198:P198">G199+G200</f>
        <v>2493045</v>
      </c>
      <c r="H198" s="108">
        <f t="shared" si="55"/>
        <v>0</v>
      </c>
      <c r="I198" s="108">
        <f t="shared" si="55"/>
        <v>0</v>
      </c>
      <c r="J198" s="108">
        <f t="shared" si="55"/>
        <v>0</v>
      </c>
      <c r="K198" s="108">
        <f t="shared" si="55"/>
        <v>0</v>
      </c>
      <c r="L198" s="108">
        <f t="shared" si="55"/>
        <v>0</v>
      </c>
      <c r="M198" s="108">
        <f t="shared" si="55"/>
        <v>0</v>
      </c>
      <c r="N198" s="108">
        <f t="shared" si="55"/>
        <v>0</v>
      </c>
      <c r="O198" s="108">
        <f t="shared" si="55"/>
        <v>0</v>
      </c>
      <c r="P198" s="108">
        <f t="shared" si="55"/>
        <v>0</v>
      </c>
      <c r="Q198" s="108">
        <f t="shared" si="48"/>
        <v>2493045</v>
      </c>
      <c r="R198" s="229"/>
      <c r="S198" s="41"/>
      <c r="T198" s="41"/>
      <c r="U198" s="41"/>
      <c r="V198" s="41"/>
      <c r="W198" s="41"/>
      <c r="X198" s="41"/>
      <c r="Y198" s="41"/>
      <c r="Z198" s="41"/>
      <c r="AA198" s="41"/>
      <c r="AB198" s="41"/>
      <c r="AC198" s="41"/>
      <c r="AD198" s="41"/>
      <c r="AE198" s="41"/>
    </row>
    <row r="199" spans="1:31" s="33" customFormat="1" ht="31.5" customHeight="1">
      <c r="A199" s="32"/>
      <c r="B199" s="27">
        <v>1513201</v>
      </c>
      <c r="C199" s="27">
        <v>3201</v>
      </c>
      <c r="D199" s="27">
        <v>1030</v>
      </c>
      <c r="E199" s="29" t="s">
        <v>25</v>
      </c>
      <c r="F199" s="107">
        <f>G199+J199</f>
        <v>1379035</v>
      </c>
      <c r="G199" s="107">
        <f>1346729+73171-9791-1580-29494</f>
        <v>1379035</v>
      </c>
      <c r="H199" s="107"/>
      <c r="I199" s="107"/>
      <c r="J199" s="107"/>
      <c r="K199" s="107">
        <f>L199+O199</f>
        <v>0</v>
      </c>
      <c r="L199" s="107"/>
      <c r="M199" s="107"/>
      <c r="N199" s="107"/>
      <c r="O199" s="107"/>
      <c r="P199" s="107"/>
      <c r="Q199" s="107">
        <f t="shared" si="48"/>
        <v>1379035</v>
      </c>
      <c r="R199" s="229"/>
      <c r="S199" s="31"/>
      <c r="T199" s="31"/>
      <c r="U199" s="31"/>
      <c r="V199" s="31"/>
      <c r="W199" s="31"/>
      <c r="X199" s="31"/>
      <c r="Y199" s="31"/>
      <c r="Z199" s="31"/>
      <c r="AA199" s="31"/>
      <c r="AB199" s="31"/>
      <c r="AC199" s="31"/>
      <c r="AD199" s="31"/>
      <c r="AE199" s="31"/>
    </row>
    <row r="200" spans="1:31" s="14" customFormat="1" ht="41.25">
      <c r="A200" s="22"/>
      <c r="B200" s="24">
        <v>1513202</v>
      </c>
      <c r="C200" s="24">
        <v>3202</v>
      </c>
      <c r="D200" s="24">
        <v>1030</v>
      </c>
      <c r="E200" s="19" t="s">
        <v>120</v>
      </c>
      <c r="F200" s="107">
        <f>G200+J200</f>
        <v>1114010</v>
      </c>
      <c r="G200" s="107">
        <f>863275+249155+1580</f>
        <v>1114010</v>
      </c>
      <c r="H200" s="107"/>
      <c r="I200" s="107"/>
      <c r="J200" s="107"/>
      <c r="K200" s="107">
        <f>L200+O200</f>
        <v>0</v>
      </c>
      <c r="L200" s="107"/>
      <c r="M200" s="107"/>
      <c r="N200" s="107"/>
      <c r="O200" s="107"/>
      <c r="P200" s="107"/>
      <c r="Q200" s="107">
        <f t="shared" si="48"/>
        <v>1114010</v>
      </c>
      <c r="R200" s="229"/>
      <c r="S200" s="41"/>
      <c r="T200" s="41"/>
      <c r="U200" s="41"/>
      <c r="V200" s="41"/>
      <c r="W200" s="41"/>
      <c r="X200" s="41"/>
      <c r="Y200" s="41"/>
      <c r="Z200" s="41"/>
      <c r="AA200" s="41"/>
      <c r="AB200" s="41"/>
      <c r="AC200" s="41"/>
      <c r="AD200" s="41"/>
      <c r="AE200" s="41"/>
    </row>
    <row r="201" spans="1:31" s="14" customFormat="1" ht="27">
      <c r="A201" s="13"/>
      <c r="B201" s="123">
        <v>1513220</v>
      </c>
      <c r="C201" s="123">
        <v>3220</v>
      </c>
      <c r="D201" s="123">
        <v>1090</v>
      </c>
      <c r="E201" s="161" t="s">
        <v>214</v>
      </c>
      <c r="F201" s="106">
        <f>G201+J201</f>
        <v>160000</v>
      </c>
      <c r="G201" s="106">
        <f>90000+70000</f>
        <v>160000</v>
      </c>
      <c r="H201" s="106"/>
      <c r="I201" s="106"/>
      <c r="J201" s="106"/>
      <c r="K201" s="106"/>
      <c r="L201" s="106"/>
      <c r="M201" s="106"/>
      <c r="N201" s="106"/>
      <c r="O201" s="106"/>
      <c r="P201" s="106"/>
      <c r="Q201" s="106">
        <f t="shared" si="48"/>
        <v>160000</v>
      </c>
      <c r="R201" s="229"/>
      <c r="S201" s="41"/>
      <c r="T201" s="41"/>
      <c r="U201" s="41"/>
      <c r="V201" s="41"/>
      <c r="W201" s="41"/>
      <c r="X201" s="41"/>
      <c r="Y201" s="41"/>
      <c r="Z201" s="41"/>
      <c r="AA201" s="41"/>
      <c r="AB201" s="41"/>
      <c r="AC201" s="41"/>
      <c r="AD201" s="41"/>
      <c r="AE201" s="41"/>
    </row>
    <row r="202" spans="1:31" s="14" customFormat="1" ht="28.5" customHeight="1">
      <c r="A202" s="13"/>
      <c r="B202" s="77" t="s">
        <v>242</v>
      </c>
      <c r="C202" s="77" t="s">
        <v>401</v>
      </c>
      <c r="D202" s="77" t="s">
        <v>402</v>
      </c>
      <c r="E202" s="161" t="s">
        <v>209</v>
      </c>
      <c r="F202" s="107">
        <f>G202+I202</f>
        <v>385600</v>
      </c>
      <c r="G202" s="108">
        <f>285600+100000</f>
        <v>385600</v>
      </c>
      <c r="H202" s="108">
        <f>234192+81965</f>
        <v>316157</v>
      </c>
      <c r="I202" s="108"/>
      <c r="J202" s="108"/>
      <c r="K202" s="108">
        <f>L202+O202</f>
        <v>0</v>
      </c>
      <c r="L202" s="108"/>
      <c r="M202" s="108"/>
      <c r="N202" s="108"/>
      <c r="O202" s="108"/>
      <c r="P202" s="108"/>
      <c r="Q202" s="108">
        <f t="shared" si="48"/>
        <v>385600</v>
      </c>
      <c r="R202" s="229"/>
      <c r="S202" s="41"/>
      <c r="T202" s="41"/>
      <c r="U202" s="41"/>
      <c r="V202" s="41"/>
      <c r="W202" s="41"/>
      <c r="X202" s="41"/>
      <c r="Y202" s="41"/>
      <c r="Z202" s="41"/>
      <c r="AA202" s="41"/>
      <c r="AB202" s="41"/>
      <c r="AC202" s="41"/>
      <c r="AD202" s="41"/>
      <c r="AE202" s="41"/>
    </row>
    <row r="203" spans="1:31" s="14" customFormat="1" ht="22.5" customHeight="1">
      <c r="A203" s="13"/>
      <c r="B203" s="123">
        <v>1513300</v>
      </c>
      <c r="C203" s="123">
        <v>3300</v>
      </c>
      <c r="D203" s="123">
        <v>1090</v>
      </c>
      <c r="E203" s="161" t="s">
        <v>26</v>
      </c>
      <c r="F203" s="106">
        <f>F205+F206</f>
        <v>4072100</v>
      </c>
      <c r="G203" s="106">
        <f aca="true" t="shared" si="56" ref="G203:P203">G205+G206</f>
        <v>4072100</v>
      </c>
      <c r="H203" s="106">
        <f t="shared" si="56"/>
        <v>2374100</v>
      </c>
      <c r="I203" s="106">
        <f t="shared" si="56"/>
        <v>760100</v>
      </c>
      <c r="J203" s="106">
        <f t="shared" si="56"/>
        <v>0</v>
      </c>
      <c r="K203" s="106">
        <f t="shared" si="56"/>
        <v>1469500</v>
      </c>
      <c r="L203" s="106">
        <f t="shared" si="56"/>
        <v>0</v>
      </c>
      <c r="M203" s="106">
        <f t="shared" si="56"/>
        <v>0</v>
      </c>
      <c r="N203" s="106">
        <f t="shared" si="56"/>
        <v>0</v>
      </c>
      <c r="O203" s="106">
        <f t="shared" si="56"/>
        <v>1469500</v>
      </c>
      <c r="P203" s="106">
        <f t="shared" si="56"/>
        <v>1469500</v>
      </c>
      <c r="Q203" s="106">
        <f t="shared" si="48"/>
        <v>5541600</v>
      </c>
      <c r="R203" s="229"/>
      <c r="S203" s="41"/>
      <c r="T203" s="41"/>
      <c r="U203" s="41"/>
      <c r="V203" s="41"/>
      <c r="W203" s="41"/>
      <c r="X203" s="41"/>
      <c r="Y203" s="41"/>
      <c r="Z203" s="41"/>
      <c r="AA203" s="41"/>
      <c r="AB203" s="41"/>
      <c r="AC203" s="41"/>
      <c r="AD203" s="41"/>
      <c r="AE203" s="41"/>
    </row>
    <row r="204" spans="1:31" s="14" customFormat="1" ht="15" customHeight="1">
      <c r="A204" s="13"/>
      <c r="B204" s="123"/>
      <c r="C204" s="123"/>
      <c r="D204" s="123"/>
      <c r="E204" s="29" t="s">
        <v>511</v>
      </c>
      <c r="F204" s="106">
        <f>F207</f>
        <v>0</v>
      </c>
      <c r="G204" s="106">
        <f aca="true" t="shared" si="57" ref="G204:Q204">G207</f>
        <v>0</v>
      </c>
      <c r="H204" s="106">
        <f t="shared" si="57"/>
        <v>0</v>
      </c>
      <c r="I204" s="106">
        <f t="shared" si="57"/>
        <v>0</v>
      </c>
      <c r="J204" s="106">
        <f t="shared" si="57"/>
        <v>0</v>
      </c>
      <c r="K204" s="106">
        <f t="shared" si="57"/>
        <v>600000</v>
      </c>
      <c r="L204" s="106">
        <f t="shared" si="57"/>
        <v>0</v>
      </c>
      <c r="M204" s="106">
        <f t="shared" si="57"/>
        <v>0</v>
      </c>
      <c r="N204" s="106">
        <f t="shared" si="57"/>
        <v>0</v>
      </c>
      <c r="O204" s="106">
        <f t="shared" si="57"/>
        <v>600000</v>
      </c>
      <c r="P204" s="106">
        <f t="shared" si="57"/>
        <v>600000</v>
      </c>
      <c r="Q204" s="106">
        <f t="shared" si="57"/>
        <v>600000</v>
      </c>
      <c r="R204" s="229"/>
      <c r="S204" s="41"/>
      <c r="T204" s="41"/>
      <c r="U204" s="41"/>
      <c r="V204" s="41"/>
      <c r="W204" s="41"/>
      <c r="X204" s="41"/>
      <c r="Y204" s="41"/>
      <c r="Z204" s="41"/>
      <c r="AA204" s="41"/>
      <c r="AB204" s="41"/>
      <c r="AC204" s="41"/>
      <c r="AD204" s="41"/>
      <c r="AE204" s="41"/>
    </row>
    <row r="205" spans="1:31" s="33" customFormat="1" ht="42.75" customHeight="1">
      <c r="A205" s="32"/>
      <c r="B205" s="27">
        <v>1513300</v>
      </c>
      <c r="C205" s="27">
        <v>3300</v>
      </c>
      <c r="D205" s="28" t="s">
        <v>262</v>
      </c>
      <c r="E205" s="29" t="s">
        <v>215</v>
      </c>
      <c r="F205" s="107">
        <f>G205+J205</f>
        <v>1610100</v>
      </c>
      <c r="G205" s="107">
        <f>1599700-25600+30000+6000</f>
        <v>1610100</v>
      </c>
      <c r="H205" s="107">
        <f>1030700-38500</f>
        <v>992200</v>
      </c>
      <c r="I205" s="107">
        <f>152700+25400</f>
        <v>178100</v>
      </c>
      <c r="J205" s="110"/>
      <c r="K205" s="110">
        <f>L205+O205</f>
        <v>251500</v>
      </c>
      <c r="L205" s="110"/>
      <c r="M205" s="110"/>
      <c r="N205" s="110"/>
      <c r="O205" s="107">
        <f>257500-6000</f>
        <v>251500</v>
      </c>
      <c r="P205" s="107">
        <f>257500-6000</f>
        <v>251500</v>
      </c>
      <c r="Q205" s="107">
        <f t="shared" si="48"/>
        <v>1861600</v>
      </c>
      <c r="R205" s="229"/>
      <c r="S205" s="31"/>
      <c r="T205" s="31"/>
      <c r="U205" s="31"/>
      <c r="V205" s="31"/>
      <c r="W205" s="31"/>
      <c r="X205" s="31"/>
      <c r="Y205" s="31"/>
      <c r="Z205" s="31"/>
      <c r="AA205" s="31"/>
      <c r="AB205" s="31"/>
      <c r="AC205" s="31"/>
      <c r="AD205" s="31"/>
      <c r="AE205" s="31"/>
    </row>
    <row r="206" spans="1:31" s="33" customFormat="1" ht="76.5" customHeight="1">
      <c r="A206" s="32"/>
      <c r="B206" s="27">
        <v>1513300</v>
      </c>
      <c r="C206" s="27">
        <v>3300</v>
      </c>
      <c r="D206" s="28" t="s">
        <v>262</v>
      </c>
      <c r="E206" s="29" t="s">
        <v>243</v>
      </c>
      <c r="F206" s="107">
        <f>G206+J206</f>
        <v>2462000</v>
      </c>
      <c r="G206" s="107">
        <f>2434500+27500</f>
        <v>2462000</v>
      </c>
      <c r="H206" s="107">
        <f>1432200-50300</f>
        <v>1381900</v>
      </c>
      <c r="I206" s="107">
        <f>493100+88900</f>
        <v>582000</v>
      </c>
      <c r="J206" s="110"/>
      <c r="K206" s="110">
        <f>L206+O206</f>
        <v>1218000</v>
      </c>
      <c r="L206" s="110"/>
      <c r="M206" s="110"/>
      <c r="N206" s="110"/>
      <c r="O206" s="107">
        <f>600000+600000+18000</f>
        <v>1218000</v>
      </c>
      <c r="P206" s="107">
        <f>600000+600000+18000</f>
        <v>1218000</v>
      </c>
      <c r="Q206" s="107">
        <f t="shared" si="48"/>
        <v>3680000</v>
      </c>
      <c r="R206" s="229"/>
      <c r="S206" s="31"/>
      <c r="T206" s="31"/>
      <c r="U206" s="31"/>
      <c r="V206" s="31"/>
      <c r="W206" s="31"/>
      <c r="X206" s="31"/>
      <c r="Y206" s="31"/>
      <c r="Z206" s="31"/>
      <c r="AA206" s="31"/>
      <c r="AB206" s="31"/>
      <c r="AC206" s="31"/>
      <c r="AD206" s="31"/>
      <c r="AE206" s="31"/>
    </row>
    <row r="207" spans="1:31" s="33" customFormat="1" ht="21" customHeight="1">
      <c r="A207" s="32"/>
      <c r="B207" s="27"/>
      <c r="C207" s="27"/>
      <c r="D207" s="28"/>
      <c r="E207" s="29" t="s">
        <v>511</v>
      </c>
      <c r="F207" s="107">
        <f>G207</f>
        <v>0</v>
      </c>
      <c r="G207" s="107"/>
      <c r="H207" s="107"/>
      <c r="I207" s="107"/>
      <c r="J207" s="110"/>
      <c r="K207" s="110">
        <f>L207+O207</f>
        <v>600000</v>
      </c>
      <c r="L207" s="110"/>
      <c r="M207" s="110"/>
      <c r="N207" s="110"/>
      <c r="O207" s="107">
        <v>600000</v>
      </c>
      <c r="P207" s="107">
        <v>600000</v>
      </c>
      <c r="Q207" s="107">
        <f t="shared" si="48"/>
        <v>600000</v>
      </c>
      <c r="R207" s="229"/>
      <c r="S207" s="31"/>
      <c r="T207" s="31"/>
      <c r="U207" s="31"/>
      <c r="V207" s="31"/>
      <c r="W207" s="31"/>
      <c r="X207" s="31"/>
      <c r="Y207" s="31"/>
      <c r="Z207" s="31"/>
      <c r="AA207" s="31"/>
      <c r="AB207" s="31"/>
      <c r="AC207" s="31"/>
      <c r="AD207" s="31"/>
      <c r="AE207" s="31"/>
    </row>
    <row r="208" spans="1:31" s="14" customFormat="1" ht="18.75" customHeight="1">
      <c r="A208" s="22"/>
      <c r="B208" s="20" t="s">
        <v>121</v>
      </c>
      <c r="C208" s="20" t="s">
        <v>404</v>
      </c>
      <c r="D208" s="20" t="s">
        <v>262</v>
      </c>
      <c r="E208" s="23" t="s">
        <v>15</v>
      </c>
      <c r="F208" s="106">
        <f>F209+F210+F211</f>
        <v>30716230</v>
      </c>
      <c r="G208" s="106">
        <f>G209+G210+G211</f>
        <v>30716230</v>
      </c>
      <c r="H208" s="106">
        <f aca="true" t="shared" si="58" ref="H208:Q208">H209+H210+H211</f>
        <v>0</v>
      </c>
      <c r="I208" s="106">
        <f t="shared" si="58"/>
        <v>0</v>
      </c>
      <c r="J208" s="106">
        <f t="shared" si="58"/>
        <v>0</v>
      </c>
      <c r="K208" s="106">
        <f t="shared" si="58"/>
        <v>0</v>
      </c>
      <c r="L208" s="106">
        <f t="shared" si="58"/>
        <v>0</v>
      </c>
      <c r="M208" s="106">
        <f t="shared" si="58"/>
        <v>0</v>
      </c>
      <c r="N208" s="106">
        <f t="shared" si="58"/>
        <v>0</v>
      </c>
      <c r="O208" s="106">
        <f t="shared" si="58"/>
        <v>0</v>
      </c>
      <c r="P208" s="106">
        <f t="shared" si="58"/>
        <v>0</v>
      </c>
      <c r="Q208" s="106">
        <f t="shared" si="58"/>
        <v>30716230</v>
      </c>
      <c r="R208" s="229"/>
      <c r="S208" s="41"/>
      <c r="T208" s="41"/>
      <c r="U208" s="41"/>
      <c r="V208" s="41"/>
      <c r="W208" s="41"/>
      <c r="X208" s="41"/>
      <c r="Y208" s="41"/>
      <c r="Z208" s="41"/>
      <c r="AA208" s="41"/>
      <c r="AB208" s="41"/>
      <c r="AC208" s="41"/>
      <c r="AD208" s="41"/>
      <c r="AE208" s="41"/>
    </row>
    <row r="209" spans="1:31" s="33" customFormat="1" ht="40.5" customHeight="1">
      <c r="A209" s="32"/>
      <c r="B209" s="28" t="s">
        <v>121</v>
      </c>
      <c r="C209" s="28" t="s">
        <v>404</v>
      </c>
      <c r="D209" s="28" t="s">
        <v>262</v>
      </c>
      <c r="E209" s="29" t="s">
        <v>418</v>
      </c>
      <c r="F209" s="107">
        <f>G209+J209</f>
        <v>5627526</v>
      </c>
      <c r="G209" s="107">
        <f>2263526+193500+129000+400000+569700+320310+20000+270000-15000+715865+45000+8591+139835+75000+29494+5415+5000+26500+300000+84000+41790</f>
        <v>5627526</v>
      </c>
      <c r="H209" s="107"/>
      <c r="I209" s="107"/>
      <c r="J209" s="107"/>
      <c r="K209" s="107">
        <f>L209+O209</f>
        <v>0</v>
      </c>
      <c r="L209" s="107"/>
      <c r="M209" s="107"/>
      <c r="N209" s="107"/>
      <c r="O209" s="107"/>
      <c r="P209" s="107"/>
      <c r="Q209" s="107">
        <f t="shared" si="48"/>
        <v>5627526</v>
      </c>
      <c r="R209" s="229"/>
      <c r="S209" s="31"/>
      <c r="T209" s="31"/>
      <c r="U209" s="31"/>
      <c r="V209" s="31"/>
      <c r="W209" s="31"/>
      <c r="X209" s="31"/>
      <c r="Y209" s="31"/>
      <c r="Z209" s="31"/>
      <c r="AA209" s="31"/>
      <c r="AB209" s="31"/>
      <c r="AC209" s="31"/>
      <c r="AD209" s="31"/>
      <c r="AE209" s="31"/>
    </row>
    <row r="210" spans="1:31" s="33" customFormat="1" ht="45" customHeight="1">
      <c r="A210" s="32"/>
      <c r="B210" s="28" t="s">
        <v>121</v>
      </c>
      <c r="C210" s="28" t="s">
        <v>404</v>
      </c>
      <c r="D210" s="28" t="s">
        <v>262</v>
      </c>
      <c r="E210" s="29" t="s">
        <v>429</v>
      </c>
      <c r="F210" s="107">
        <f>G210+J210</f>
        <v>24750704</v>
      </c>
      <c r="G210" s="107">
        <f>2749504+1000000+21000000+1200</f>
        <v>24750704</v>
      </c>
      <c r="H210" s="107"/>
      <c r="I210" s="107"/>
      <c r="J210" s="107"/>
      <c r="K210" s="107">
        <f>L210+O210</f>
        <v>0</v>
      </c>
      <c r="L210" s="107"/>
      <c r="M210" s="107"/>
      <c r="N210" s="107"/>
      <c r="O210" s="107"/>
      <c r="P210" s="107"/>
      <c r="Q210" s="107">
        <f t="shared" si="48"/>
        <v>24750704</v>
      </c>
      <c r="R210" s="229">
        <v>25</v>
      </c>
      <c r="S210" s="31"/>
      <c r="T210" s="31"/>
      <c r="U210" s="31"/>
      <c r="V210" s="31"/>
      <c r="W210" s="31"/>
      <c r="X210" s="31"/>
      <c r="Y210" s="31"/>
      <c r="Z210" s="31"/>
      <c r="AA210" s="31"/>
      <c r="AB210" s="31"/>
      <c r="AC210" s="31"/>
      <c r="AD210" s="31"/>
      <c r="AE210" s="31"/>
    </row>
    <row r="211" spans="1:31" s="33" customFormat="1" ht="28.5" customHeight="1">
      <c r="A211" s="32"/>
      <c r="B211" s="28" t="s">
        <v>121</v>
      </c>
      <c r="C211" s="28" t="s">
        <v>404</v>
      </c>
      <c r="D211" s="28" t="s">
        <v>262</v>
      </c>
      <c r="E211" s="29" t="s">
        <v>484</v>
      </c>
      <c r="F211" s="107">
        <f>G211+J211</f>
        <v>338000</v>
      </c>
      <c r="G211" s="107">
        <f>323000+15000</f>
        <v>338000</v>
      </c>
      <c r="H211" s="107"/>
      <c r="I211" s="107"/>
      <c r="J211" s="107"/>
      <c r="K211" s="107">
        <f>L211+O211</f>
        <v>0</v>
      </c>
      <c r="L211" s="107"/>
      <c r="M211" s="107"/>
      <c r="N211" s="107"/>
      <c r="O211" s="107"/>
      <c r="P211" s="107"/>
      <c r="Q211" s="107">
        <f t="shared" si="48"/>
        <v>338000</v>
      </c>
      <c r="R211" s="229"/>
      <c r="S211" s="31"/>
      <c r="T211" s="31"/>
      <c r="U211" s="31"/>
      <c r="V211" s="31"/>
      <c r="W211" s="31"/>
      <c r="X211" s="31"/>
      <c r="Y211" s="31"/>
      <c r="Z211" s="31"/>
      <c r="AA211" s="31"/>
      <c r="AB211" s="31"/>
      <c r="AC211" s="31"/>
      <c r="AD211" s="31"/>
      <c r="AE211" s="31"/>
    </row>
    <row r="212" spans="1:31" s="33" customFormat="1" ht="23.25" customHeight="1">
      <c r="A212" s="32"/>
      <c r="B212" s="26" t="s">
        <v>382</v>
      </c>
      <c r="C212" s="26" t="s">
        <v>343</v>
      </c>
      <c r="D212" s="26" t="s">
        <v>344</v>
      </c>
      <c r="E212" s="23" t="s">
        <v>158</v>
      </c>
      <c r="F212" s="107">
        <f>G212+J212</f>
        <v>0</v>
      </c>
      <c r="G212" s="107"/>
      <c r="H212" s="106"/>
      <c r="I212" s="106"/>
      <c r="J212" s="106"/>
      <c r="K212" s="106">
        <f>L212+O212</f>
        <v>300000</v>
      </c>
      <c r="L212" s="106"/>
      <c r="M212" s="106"/>
      <c r="N212" s="107"/>
      <c r="O212" s="106">
        <v>300000</v>
      </c>
      <c r="P212" s="106">
        <v>300000</v>
      </c>
      <c r="Q212" s="106">
        <f t="shared" si="48"/>
        <v>300000</v>
      </c>
      <c r="R212" s="229"/>
      <c r="S212" s="31"/>
      <c r="T212" s="31"/>
      <c r="U212" s="31"/>
      <c r="V212" s="31"/>
      <c r="W212" s="31"/>
      <c r="X212" s="31"/>
      <c r="Y212" s="31"/>
      <c r="Z212" s="31"/>
      <c r="AA212" s="31"/>
      <c r="AB212" s="31"/>
      <c r="AC212" s="31"/>
      <c r="AD212" s="31"/>
      <c r="AE212" s="31"/>
    </row>
    <row r="213" spans="1:31" s="33" customFormat="1" ht="57.75" customHeight="1">
      <c r="A213" s="32"/>
      <c r="B213" s="26" t="s">
        <v>549</v>
      </c>
      <c r="C213" s="26" t="s">
        <v>544</v>
      </c>
      <c r="D213" s="26" t="s">
        <v>358</v>
      </c>
      <c r="E213" s="23" t="s">
        <v>545</v>
      </c>
      <c r="F213" s="106">
        <f>G213+J213</f>
        <v>885261.53</v>
      </c>
      <c r="G213" s="106">
        <f>788200+86040.25+11021.28</f>
        <v>885261.53</v>
      </c>
      <c r="H213" s="107"/>
      <c r="I213" s="107"/>
      <c r="J213" s="107"/>
      <c r="K213" s="107"/>
      <c r="L213" s="107"/>
      <c r="M213" s="107"/>
      <c r="N213" s="107"/>
      <c r="O213" s="106"/>
      <c r="P213" s="106"/>
      <c r="Q213" s="106">
        <f t="shared" si="48"/>
        <v>885261.53</v>
      </c>
      <c r="R213" s="229"/>
      <c r="S213" s="31"/>
      <c r="T213" s="31"/>
      <c r="U213" s="31"/>
      <c r="V213" s="31"/>
      <c r="W213" s="31"/>
      <c r="X213" s="31"/>
      <c r="Y213" s="31"/>
      <c r="Z213" s="31"/>
      <c r="AA213" s="31"/>
      <c r="AB213" s="31"/>
      <c r="AC213" s="31"/>
      <c r="AD213" s="31"/>
      <c r="AE213" s="31"/>
    </row>
    <row r="214" spans="1:31" s="104" customFormat="1" ht="18" customHeight="1">
      <c r="A214" s="101"/>
      <c r="B214" s="15" t="s">
        <v>122</v>
      </c>
      <c r="C214" s="15"/>
      <c r="D214" s="15"/>
      <c r="E214" s="16" t="s">
        <v>124</v>
      </c>
      <c r="F214" s="111">
        <f>F215</f>
        <v>1864734</v>
      </c>
      <c r="G214" s="111">
        <f aca="true" t="shared" si="59" ref="G214:P214">G215</f>
        <v>1864734</v>
      </c>
      <c r="H214" s="111">
        <f t="shared" si="59"/>
        <v>1343109</v>
      </c>
      <c r="I214" s="111">
        <f t="shared" si="59"/>
        <v>35000</v>
      </c>
      <c r="J214" s="111">
        <f t="shared" si="59"/>
        <v>0</v>
      </c>
      <c r="K214" s="111">
        <f t="shared" si="59"/>
        <v>376000</v>
      </c>
      <c r="L214" s="111">
        <f t="shared" si="59"/>
        <v>0</v>
      </c>
      <c r="M214" s="111">
        <f t="shared" si="59"/>
        <v>0</v>
      </c>
      <c r="N214" s="111">
        <f t="shared" si="59"/>
        <v>0</v>
      </c>
      <c r="O214" s="111">
        <f t="shared" si="59"/>
        <v>376000</v>
      </c>
      <c r="P214" s="111">
        <f t="shared" si="59"/>
        <v>376000</v>
      </c>
      <c r="Q214" s="111">
        <f t="shared" si="48"/>
        <v>2240734</v>
      </c>
      <c r="R214" s="229"/>
      <c r="S214" s="103"/>
      <c r="T214" s="103"/>
      <c r="U214" s="103"/>
      <c r="V214" s="103"/>
      <c r="W214" s="103"/>
      <c r="X214" s="103"/>
      <c r="Y214" s="103"/>
      <c r="Z214" s="103"/>
      <c r="AA214" s="103"/>
      <c r="AB214" s="103"/>
      <c r="AC214" s="103"/>
      <c r="AD214" s="103"/>
      <c r="AE214" s="103"/>
    </row>
    <row r="215" spans="1:31" s="164" customFormat="1" ht="18" customHeight="1">
      <c r="A215" s="162"/>
      <c r="B215" s="117" t="s">
        <v>123</v>
      </c>
      <c r="C215" s="117"/>
      <c r="D215" s="117"/>
      <c r="E215" s="118" t="s">
        <v>124</v>
      </c>
      <c r="F215" s="116">
        <f>F216+F217</f>
        <v>1864734</v>
      </c>
      <c r="G215" s="116">
        <f aca="true" t="shared" si="60" ref="G215:P215">G216+G217</f>
        <v>1864734</v>
      </c>
      <c r="H215" s="116">
        <f t="shared" si="60"/>
        <v>1343109</v>
      </c>
      <c r="I215" s="116">
        <f t="shared" si="60"/>
        <v>35000</v>
      </c>
      <c r="J215" s="116">
        <f t="shared" si="60"/>
        <v>0</v>
      </c>
      <c r="K215" s="116">
        <f t="shared" si="60"/>
        <v>376000</v>
      </c>
      <c r="L215" s="116">
        <f t="shared" si="60"/>
        <v>0</v>
      </c>
      <c r="M215" s="116">
        <f t="shared" si="60"/>
        <v>0</v>
      </c>
      <c r="N215" s="116">
        <f t="shared" si="60"/>
        <v>0</v>
      </c>
      <c r="O215" s="116">
        <f t="shared" si="60"/>
        <v>376000</v>
      </c>
      <c r="P215" s="116">
        <f t="shared" si="60"/>
        <v>376000</v>
      </c>
      <c r="Q215" s="116">
        <f t="shared" si="48"/>
        <v>2240734</v>
      </c>
      <c r="R215" s="229"/>
      <c r="S215" s="163"/>
      <c r="T215" s="163"/>
      <c r="U215" s="163"/>
      <c r="V215" s="163"/>
      <c r="W215" s="163"/>
      <c r="X215" s="163"/>
      <c r="Y215" s="163"/>
      <c r="Z215" s="163"/>
      <c r="AA215" s="163"/>
      <c r="AB215" s="163"/>
      <c r="AC215" s="163"/>
      <c r="AD215" s="163"/>
      <c r="AE215" s="163"/>
    </row>
    <row r="216" spans="1:31" s="14" customFormat="1" ht="27">
      <c r="A216" s="145"/>
      <c r="B216" s="98" t="s">
        <v>125</v>
      </c>
      <c r="C216" s="98" t="s">
        <v>249</v>
      </c>
      <c r="D216" s="98" t="s">
        <v>250</v>
      </c>
      <c r="E216" s="99" t="s">
        <v>520</v>
      </c>
      <c r="F216" s="106">
        <f>G216+J216</f>
        <v>1794734</v>
      </c>
      <c r="G216" s="106">
        <f>1472800+3300-21700+108300+9432+222602</f>
        <v>1794734</v>
      </c>
      <c r="H216" s="106">
        <f>1133400+84100+125609</f>
        <v>1343109</v>
      </c>
      <c r="I216" s="106">
        <f>31700+3300</f>
        <v>35000</v>
      </c>
      <c r="J216" s="106"/>
      <c r="K216" s="106">
        <f>L216+O216</f>
        <v>376000</v>
      </c>
      <c r="L216" s="106"/>
      <c r="M216" s="106"/>
      <c r="N216" s="106"/>
      <c r="O216" s="106">
        <f>26000+350000</f>
        <v>376000</v>
      </c>
      <c r="P216" s="106">
        <f>26000+350000</f>
        <v>376000</v>
      </c>
      <c r="Q216" s="106">
        <f aca="true" t="shared" si="61" ref="Q216:Q285">F216+K216</f>
        <v>2170734</v>
      </c>
      <c r="R216" s="229"/>
      <c r="S216" s="41"/>
      <c r="T216" s="41"/>
      <c r="U216" s="41"/>
      <c r="V216" s="41"/>
      <c r="W216" s="41"/>
      <c r="X216" s="41"/>
      <c r="Y216" s="41"/>
      <c r="Z216" s="41"/>
      <c r="AA216" s="41"/>
      <c r="AB216" s="41"/>
      <c r="AC216" s="41"/>
      <c r="AD216" s="41"/>
      <c r="AE216" s="41"/>
    </row>
    <row r="217" spans="1:31" s="14" customFormat="1" ht="15">
      <c r="A217" s="13"/>
      <c r="B217" s="122" t="s">
        <v>130</v>
      </c>
      <c r="C217" s="122" t="s">
        <v>412</v>
      </c>
      <c r="D217" s="122"/>
      <c r="E217" s="161" t="s">
        <v>129</v>
      </c>
      <c r="F217" s="106">
        <f>F218</f>
        <v>70000</v>
      </c>
      <c r="G217" s="106">
        <f aca="true" t="shared" si="62" ref="G217:P217">G218</f>
        <v>70000</v>
      </c>
      <c r="H217" s="106">
        <f t="shared" si="62"/>
        <v>0</v>
      </c>
      <c r="I217" s="106">
        <f t="shared" si="62"/>
        <v>0</v>
      </c>
      <c r="J217" s="106">
        <f t="shared" si="62"/>
        <v>0</v>
      </c>
      <c r="K217" s="106">
        <f t="shared" si="62"/>
        <v>0</v>
      </c>
      <c r="L217" s="106">
        <f t="shared" si="62"/>
        <v>0</v>
      </c>
      <c r="M217" s="106">
        <f t="shared" si="62"/>
        <v>0</v>
      </c>
      <c r="N217" s="106">
        <f t="shared" si="62"/>
        <v>0</v>
      </c>
      <c r="O217" s="106">
        <f t="shared" si="62"/>
        <v>0</v>
      </c>
      <c r="P217" s="106">
        <f t="shared" si="62"/>
        <v>0</v>
      </c>
      <c r="Q217" s="106">
        <f t="shared" si="61"/>
        <v>70000</v>
      </c>
      <c r="R217" s="229"/>
      <c r="S217" s="41"/>
      <c r="T217" s="41"/>
      <c r="U217" s="41"/>
      <c r="V217" s="41"/>
      <c r="W217" s="41"/>
      <c r="X217" s="41"/>
      <c r="Y217" s="41"/>
      <c r="Z217" s="41"/>
      <c r="AA217" s="41"/>
      <c r="AB217" s="41"/>
      <c r="AC217" s="41"/>
      <c r="AD217" s="41"/>
      <c r="AE217" s="41"/>
    </row>
    <row r="218" spans="1:31" s="33" customFormat="1" ht="27">
      <c r="A218" s="32"/>
      <c r="B218" s="36" t="s">
        <v>127</v>
      </c>
      <c r="C218" s="36" t="s">
        <v>393</v>
      </c>
      <c r="D218" s="36" t="s">
        <v>389</v>
      </c>
      <c r="E218" s="29" t="s">
        <v>126</v>
      </c>
      <c r="F218" s="107">
        <f>G218+J218</f>
        <v>70000</v>
      </c>
      <c r="G218" s="107">
        <f>55000+8000+7000</f>
        <v>70000</v>
      </c>
      <c r="H218" s="107"/>
      <c r="I218" s="107"/>
      <c r="J218" s="107"/>
      <c r="K218" s="107">
        <f>L218+O218</f>
        <v>0</v>
      </c>
      <c r="L218" s="107"/>
      <c r="M218" s="107"/>
      <c r="N218" s="107"/>
      <c r="O218" s="107"/>
      <c r="P218" s="107"/>
      <c r="Q218" s="107">
        <f t="shared" si="61"/>
        <v>70000</v>
      </c>
      <c r="R218" s="229"/>
      <c r="S218" s="31"/>
      <c r="T218" s="31"/>
      <c r="U218" s="31"/>
      <c r="V218" s="31"/>
      <c r="W218" s="31"/>
      <c r="X218" s="31"/>
      <c r="Y218" s="31"/>
      <c r="Z218" s="31"/>
      <c r="AA218" s="31"/>
      <c r="AB218" s="31"/>
      <c r="AC218" s="31"/>
      <c r="AD218" s="31"/>
      <c r="AE218" s="31"/>
    </row>
    <row r="219" spans="1:31" s="104" customFormat="1" ht="27.75" customHeight="1">
      <c r="A219" s="101"/>
      <c r="B219" s="112" t="s">
        <v>131</v>
      </c>
      <c r="C219" s="112"/>
      <c r="D219" s="112"/>
      <c r="E219" s="16" t="s">
        <v>128</v>
      </c>
      <c r="F219" s="111">
        <f>F220</f>
        <v>44369553</v>
      </c>
      <c r="G219" s="111">
        <f aca="true" t="shared" si="63" ref="G219:P219">G220</f>
        <v>44369553</v>
      </c>
      <c r="H219" s="111">
        <f t="shared" si="63"/>
        <v>31875609</v>
      </c>
      <c r="I219" s="111">
        <f t="shared" si="63"/>
        <v>2235720</v>
      </c>
      <c r="J219" s="111">
        <f t="shared" si="63"/>
        <v>0</v>
      </c>
      <c r="K219" s="111">
        <f t="shared" si="63"/>
        <v>6721507</v>
      </c>
      <c r="L219" s="111">
        <f t="shared" si="63"/>
        <v>1411980</v>
      </c>
      <c r="M219" s="111">
        <f t="shared" si="63"/>
        <v>1136786</v>
      </c>
      <c r="N219" s="111">
        <f t="shared" si="63"/>
        <v>0</v>
      </c>
      <c r="O219" s="111">
        <f t="shared" si="63"/>
        <v>5309527</v>
      </c>
      <c r="P219" s="111">
        <f t="shared" si="63"/>
        <v>5304927</v>
      </c>
      <c r="Q219" s="111">
        <f t="shared" si="61"/>
        <v>51091060</v>
      </c>
      <c r="R219" s="229"/>
      <c r="S219" s="103"/>
      <c r="T219" s="103"/>
      <c r="U219" s="103"/>
      <c r="V219" s="103"/>
      <c r="W219" s="103"/>
      <c r="X219" s="103"/>
      <c r="Y219" s="103"/>
      <c r="Z219" s="103"/>
      <c r="AA219" s="103"/>
      <c r="AB219" s="103"/>
      <c r="AC219" s="103"/>
      <c r="AD219" s="103"/>
      <c r="AE219" s="103"/>
    </row>
    <row r="220" spans="1:31" s="164" customFormat="1" ht="23.25" customHeight="1">
      <c r="A220" s="162"/>
      <c r="B220" s="114" t="s">
        <v>132</v>
      </c>
      <c r="C220" s="114"/>
      <c r="D220" s="114"/>
      <c r="E220" s="118" t="s">
        <v>128</v>
      </c>
      <c r="F220" s="116">
        <f>F221+F222+F223+F224+F225+F227</f>
        <v>44369553</v>
      </c>
      <c r="G220" s="116">
        <f aca="true" t="shared" si="64" ref="G220:P220">G221+G222+G223+G224+G225+G227</f>
        <v>44369553</v>
      </c>
      <c r="H220" s="116">
        <f t="shared" si="64"/>
        <v>31875609</v>
      </c>
      <c r="I220" s="116">
        <f t="shared" si="64"/>
        <v>2235720</v>
      </c>
      <c r="J220" s="116">
        <f t="shared" si="64"/>
        <v>0</v>
      </c>
      <c r="K220" s="116">
        <f t="shared" si="64"/>
        <v>6721507</v>
      </c>
      <c r="L220" s="116">
        <f t="shared" si="64"/>
        <v>1411980</v>
      </c>
      <c r="M220" s="116">
        <f t="shared" si="64"/>
        <v>1136786</v>
      </c>
      <c r="N220" s="116">
        <f t="shared" si="64"/>
        <v>0</v>
      </c>
      <c r="O220" s="116">
        <f t="shared" si="64"/>
        <v>5309527</v>
      </c>
      <c r="P220" s="116">
        <f t="shared" si="64"/>
        <v>5304927</v>
      </c>
      <c r="Q220" s="116">
        <f t="shared" si="61"/>
        <v>51091060</v>
      </c>
      <c r="R220" s="229"/>
      <c r="S220" s="163"/>
      <c r="T220" s="163"/>
      <c r="U220" s="163"/>
      <c r="V220" s="163"/>
      <c r="W220" s="163"/>
      <c r="X220" s="163"/>
      <c r="Y220" s="163"/>
      <c r="Z220" s="163"/>
      <c r="AA220" s="163"/>
      <c r="AB220" s="163"/>
      <c r="AC220" s="163"/>
      <c r="AD220" s="163"/>
      <c r="AE220" s="163"/>
    </row>
    <row r="221" spans="1:31" s="14" customFormat="1" ht="27">
      <c r="A221" s="145"/>
      <c r="B221" s="98" t="s">
        <v>133</v>
      </c>
      <c r="C221" s="98" t="s">
        <v>249</v>
      </c>
      <c r="D221" s="98" t="s">
        <v>250</v>
      </c>
      <c r="E221" s="99" t="s">
        <v>520</v>
      </c>
      <c r="F221" s="106">
        <f>G221+J221</f>
        <v>758571</v>
      </c>
      <c r="G221" s="106">
        <f>686700+1400-10200+5996+74675</f>
        <v>758571</v>
      </c>
      <c r="H221" s="106">
        <f>504200+61209</f>
        <v>565409</v>
      </c>
      <c r="I221" s="106">
        <f>13100+1400</f>
        <v>14500</v>
      </c>
      <c r="J221" s="106"/>
      <c r="K221" s="106">
        <f>L221+O221</f>
        <v>254500</v>
      </c>
      <c r="L221" s="106"/>
      <c r="M221" s="106"/>
      <c r="N221" s="106"/>
      <c r="O221" s="106">
        <f>13000+241500</f>
        <v>254500</v>
      </c>
      <c r="P221" s="106">
        <f>13000+241500</f>
        <v>254500</v>
      </c>
      <c r="Q221" s="106">
        <f t="shared" si="61"/>
        <v>1013071</v>
      </c>
      <c r="R221" s="229"/>
      <c r="S221" s="41"/>
      <c r="T221" s="41"/>
      <c r="U221" s="41"/>
      <c r="V221" s="41"/>
      <c r="W221" s="41"/>
      <c r="X221" s="41"/>
      <c r="Y221" s="41"/>
      <c r="Z221" s="41"/>
      <c r="AA221" s="41"/>
      <c r="AB221" s="41"/>
      <c r="AC221" s="41"/>
      <c r="AD221" s="41"/>
      <c r="AE221" s="41"/>
    </row>
    <row r="222" spans="1:31" s="14" customFormat="1" ht="37.5" customHeight="1">
      <c r="A222" s="13"/>
      <c r="B222" s="122" t="s">
        <v>135</v>
      </c>
      <c r="C222" s="122" t="s">
        <v>304</v>
      </c>
      <c r="D222" s="122" t="s">
        <v>305</v>
      </c>
      <c r="E222" s="161" t="s">
        <v>134</v>
      </c>
      <c r="F222" s="106">
        <f>G222+J222</f>
        <v>1638500</v>
      </c>
      <c r="G222" s="106">
        <f>1443500+50000+5000+140000</f>
        <v>1638500</v>
      </c>
      <c r="H222" s="106">
        <v>0</v>
      </c>
      <c r="I222" s="106">
        <v>0</v>
      </c>
      <c r="J222" s="106"/>
      <c r="K222" s="106">
        <f>L222+O222</f>
        <v>0</v>
      </c>
      <c r="L222" s="106"/>
      <c r="M222" s="106"/>
      <c r="N222" s="106"/>
      <c r="O222" s="106"/>
      <c r="P222" s="106"/>
      <c r="Q222" s="106">
        <f t="shared" si="61"/>
        <v>1638500</v>
      </c>
      <c r="R222" s="229"/>
      <c r="S222" s="41"/>
      <c r="T222" s="41"/>
      <c r="U222" s="41"/>
      <c r="V222" s="41"/>
      <c r="W222" s="41"/>
      <c r="X222" s="41"/>
      <c r="Y222" s="41"/>
      <c r="Z222" s="41"/>
      <c r="AA222" s="41"/>
      <c r="AB222" s="41"/>
      <c r="AC222" s="41"/>
      <c r="AD222" s="41"/>
      <c r="AE222" s="41"/>
    </row>
    <row r="223" spans="1:31" s="14" customFormat="1" ht="21" customHeight="1">
      <c r="A223" s="13"/>
      <c r="B223" s="122" t="s">
        <v>137</v>
      </c>
      <c r="C223" s="122" t="s">
        <v>306</v>
      </c>
      <c r="D223" s="122" t="s">
        <v>307</v>
      </c>
      <c r="E223" s="161" t="s">
        <v>136</v>
      </c>
      <c r="F223" s="106">
        <f>G223+J223</f>
        <v>14701050</v>
      </c>
      <c r="G223" s="106">
        <f>14647070+50000-143240+45000+41000+18600+23120+10000+4500+5000</f>
        <v>14701050</v>
      </c>
      <c r="H223" s="106">
        <f>10542300-293100</f>
        <v>10249200</v>
      </c>
      <c r="I223" s="106">
        <f>1094170+212870</f>
        <v>1307040</v>
      </c>
      <c r="J223" s="106"/>
      <c r="K223" s="106">
        <f>L223+O223</f>
        <v>2556500</v>
      </c>
      <c r="L223" s="106">
        <v>25000</v>
      </c>
      <c r="M223" s="106">
        <v>5000</v>
      </c>
      <c r="N223" s="106"/>
      <c r="O223" s="106">
        <f>460000+600000-25000+10000+5000+1000000+5000+3000+10000+460000+3500</f>
        <v>2531500</v>
      </c>
      <c r="P223" s="106">
        <f>460000+600000-25000+10000+5000+1000000+5000+3000+10000+460000+3500</f>
        <v>2531500</v>
      </c>
      <c r="Q223" s="106">
        <f t="shared" si="61"/>
        <v>17257550</v>
      </c>
      <c r="R223" s="229"/>
      <c r="S223" s="41"/>
      <c r="T223" s="41"/>
      <c r="U223" s="41"/>
      <c r="V223" s="41"/>
      <c r="W223" s="41"/>
      <c r="X223" s="41"/>
      <c r="Y223" s="41"/>
      <c r="Z223" s="41"/>
      <c r="AA223" s="41"/>
      <c r="AB223" s="41"/>
      <c r="AC223" s="41"/>
      <c r="AD223" s="41"/>
      <c r="AE223" s="41"/>
    </row>
    <row r="224" spans="1:31" s="14" customFormat="1" ht="21" customHeight="1">
      <c r="A224" s="13"/>
      <c r="B224" s="122" t="s">
        <v>139</v>
      </c>
      <c r="C224" s="122" t="s">
        <v>308</v>
      </c>
      <c r="D224" s="122" t="s">
        <v>263</v>
      </c>
      <c r="E224" s="161" t="s">
        <v>138</v>
      </c>
      <c r="F224" s="106">
        <f>G224+J224</f>
        <v>26220008</v>
      </c>
      <c r="G224" s="106">
        <f>24382330-501250+1557573+34200+600000+10000+9000+33155+95000</f>
        <v>26220008</v>
      </c>
      <c r="H224" s="106">
        <f>19115300-535900+1229500+491800</f>
        <v>20300700</v>
      </c>
      <c r="I224" s="106">
        <f>739260+152050</f>
        <v>891310</v>
      </c>
      <c r="J224" s="106"/>
      <c r="K224" s="106">
        <f>L224+O224</f>
        <v>1799007</v>
      </c>
      <c r="L224" s="106">
        <v>1386980</v>
      </c>
      <c r="M224" s="106">
        <v>1131786</v>
      </c>
      <c r="N224" s="106"/>
      <c r="O224" s="106">
        <f>50000+4600+250000+300000+42427-250000+15000</f>
        <v>412027</v>
      </c>
      <c r="P224" s="106">
        <f>50000+250000+300000+42427-250000+15000</f>
        <v>407427</v>
      </c>
      <c r="Q224" s="106">
        <f t="shared" si="61"/>
        <v>28019015</v>
      </c>
      <c r="R224" s="229"/>
      <c r="S224" s="41"/>
      <c r="T224" s="41"/>
      <c r="U224" s="41"/>
      <c r="V224" s="41"/>
      <c r="W224" s="41"/>
      <c r="X224" s="41"/>
      <c r="Y224" s="41"/>
      <c r="Z224" s="41"/>
      <c r="AA224" s="41"/>
      <c r="AB224" s="41"/>
      <c r="AC224" s="41"/>
      <c r="AD224" s="41"/>
      <c r="AE224" s="41"/>
    </row>
    <row r="225" spans="1:31" s="14" customFormat="1" ht="21" customHeight="1">
      <c r="A225" s="13"/>
      <c r="B225" s="122" t="s">
        <v>140</v>
      </c>
      <c r="C225" s="122" t="s">
        <v>309</v>
      </c>
      <c r="D225" s="122" t="s">
        <v>310</v>
      </c>
      <c r="E225" s="161" t="s">
        <v>46</v>
      </c>
      <c r="F225" s="106">
        <f aca="true" t="shared" si="65" ref="F225:P225">F226</f>
        <v>1031424</v>
      </c>
      <c r="G225" s="106">
        <f t="shared" si="65"/>
        <v>1031424</v>
      </c>
      <c r="H225" s="106">
        <f t="shared" si="65"/>
        <v>760300</v>
      </c>
      <c r="I225" s="106">
        <f t="shared" si="65"/>
        <v>22870</v>
      </c>
      <c r="J225" s="106">
        <f t="shared" si="65"/>
        <v>0</v>
      </c>
      <c r="K225" s="106">
        <f t="shared" si="65"/>
        <v>309500</v>
      </c>
      <c r="L225" s="106">
        <f t="shared" si="65"/>
        <v>0</v>
      </c>
      <c r="M225" s="106">
        <f t="shared" si="65"/>
        <v>0</v>
      </c>
      <c r="N225" s="106">
        <f t="shared" si="65"/>
        <v>0</v>
      </c>
      <c r="O225" s="106">
        <f t="shared" si="65"/>
        <v>309500</v>
      </c>
      <c r="P225" s="106">
        <f t="shared" si="65"/>
        <v>309500</v>
      </c>
      <c r="Q225" s="106">
        <f t="shared" si="61"/>
        <v>1340924</v>
      </c>
      <c r="R225" s="229"/>
      <c r="S225" s="41"/>
      <c r="T225" s="41"/>
      <c r="U225" s="41"/>
      <c r="V225" s="41"/>
      <c r="W225" s="41"/>
      <c r="X225" s="41"/>
      <c r="Y225" s="41"/>
      <c r="Z225" s="41"/>
      <c r="AA225" s="41"/>
      <c r="AB225" s="41"/>
      <c r="AC225" s="41"/>
      <c r="AD225" s="41"/>
      <c r="AE225" s="41"/>
    </row>
    <row r="226" spans="1:31" s="33" customFormat="1" ht="30.75" customHeight="1">
      <c r="A226" s="32"/>
      <c r="B226" s="36" t="s">
        <v>140</v>
      </c>
      <c r="C226" s="36" t="s">
        <v>309</v>
      </c>
      <c r="D226" s="28" t="s">
        <v>310</v>
      </c>
      <c r="E226" s="29" t="s">
        <v>141</v>
      </c>
      <c r="F226" s="107">
        <f>G226+J226</f>
        <v>1031424</v>
      </c>
      <c r="G226" s="107">
        <f>1060300-34090+5214</f>
        <v>1031424</v>
      </c>
      <c r="H226" s="107">
        <f>789640-29340</f>
        <v>760300</v>
      </c>
      <c r="I226" s="107">
        <f>21200+1670</f>
        <v>22870</v>
      </c>
      <c r="J226" s="107"/>
      <c r="K226" s="107">
        <f>L226+O226</f>
        <v>309500</v>
      </c>
      <c r="L226" s="107"/>
      <c r="M226" s="107"/>
      <c r="N226" s="107"/>
      <c r="O226" s="107">
        <f>51000+258500</f>
        <v>309500</v>
      </c>
      <c r="P226" s="107">
        <f>51000+258500</f>
        <v>309500</v>
      </c>
      <c r="Q226" s="107">
        <f t="shared" si="61"/>
        <v>1340924</v>
      </c>
      <c r="R226" s="229"/>
      <c r="S226" s="31"/>
      <c r="T226" s="31"/>
      <c r="U226" s="31"/>
      <c r="V226" s="31"/>
      <c r="W226" s="31"/>
      <c r="X226" s="31"/>
      <c r="Y226" s="31"/>
      <c r="Z226" s="31"/>
      <c r="AA226" s="31"/>
      <c r="AB226" s="31"/>
      <c r="AC226" s="31"/>
      <c r="AD226" s="31"/>
      <c r="AE226" s="31"/>
    </row>
    <row r="227" spans="1:31" s="14" customFormat="1" ht="22.5" customHeight="1">
      <c r="A227" s="22"/>
      <c r="B227" s="26" t="s">
        <v>380</v>
      </c>
      <c r="C227" s="26" t="s">
        <v>343</v>
      </c>
      <c r="D227" s="26" t="s">
        <v>344</v>
      </c>
      <c r="E227" s="23" t="s">
        <v>158</v>
      </c>
      <c r="F227" s="106">
        <f>G227+J227</f>
        <v>20000</v>
      </c>
      <c r="G227" s="106">
        <f>5000+15000</f>
        <v>20000</v>
      </c>
      <c r="H227" s="106"/>
      <c r="I227" s="106"/>
      <c r="J227" s="106"/>
      <c r="K227" s="106">
        <f>L227+O227</f>
        <v>1802000</v>
      </c>
      <c r="L227" s="106"/>
      <c r="M227" s="106"/>
      <c r="N227" s="106"/>
      <c r="O227" s="106">
        <f>1088000+439000+275000</f>
        <v>1802000</v>
      </c>
      <c r="P227" s="106">
        <f>1088000+439000+275000</f>
        <v>1802000</v>
      </c>
      <c r="Q227" s="106">
        <f t="shared" si="61"/>
        <v>1822000</v>
      </c>
      <c r="R227" s="229"/>
      <c r="S227" s="41"/>
      <c r="T227" s="41"/>
      <c r="U227" s="41"/>
      <c r="V227" s="41"/>
      <c r="W227" s="41"/>
      <c r="X227" s="41"/>
      <c r="Y227" s="41"/>
      <c r="Z227" s="41"/>
      <c r="AA227" s="41"/>
      <c r="AB227" s="41"/>
      <c r="AC227" s="41"/>
      <c r="AD227" s="41"/>
      <c r="AE227" s="41"/>
    </row>
    <row r="228" spans="1:31" s="104" customFormat="1" ht="33" customHeight="1">
      <c r="A228" s="101"/>
      <c r="B228" s="112" t="s">
        <v>143</v>
      </c>
      <c r="C228" s="112"/>
      <c r="D228" s="112"/>
      <c r="E228" s="16" t="s">
        <v>142</v>
      </c>
      <c r="F228" s="111">
        <f>F229</f>
        <v>95420229.58</v>
      </c>
      <c r="G228" s="111">
        <f aca="true" t="shared" si="66" ref="G228:O228">G229</f>
        <v>36598673.5</v>
      </c>
      <c r="H228" s="111">
        <f t="shared" si="66"/>
        <v>4335120</v>
      </c>
      <c r="I228" s="111">
        <f t="shared" si="66"/>
        <v>18696700</v>
      </c>
      <c r="J228" s="111">
        <f t="shared" si="66"/>
        <v>58821556.08</v>
      </c>
      <c r="K228" s="111">
        <f t="shared" si="66"/>
        <v>210846813.97</v>
      </c>
      <c r="L228" s="111">
        <f t="shared" si="66"/>
        <v>1919270.18</v>
      </c>
      <c r="M228" s="111">
        <f t="shared" si="66"/>
        <v>0</v>
      </c>
      <c r="N228" s="111">
        <f t="shared" si="66"/>
        <v>0</v>
      </c>
      <c r="O228" s="111">
        <f t="shared" si="66"/>
        <v>208927543.79</v>
      </c>
      <c r="P228" s="111">
        <f>P229</f>
        <v>171411844</v>
      </c>
      <c r="Q228" s="111">
        <f t="shared" si="61"/>
        <v>306267043.55</v>
      </c>
      <c r="R228" s="229"/>
      <c r="S228" s="103"/>
      <c r="T228" s="103"/>
      <c r="U228" s="103"/>
      <c r="V228" s="103"/>
      <c r="W228" s="103"/>
      <c r="X228" s="103"/>
      <c r="Y228" s="103"/>
      <c r="Z228" s="103"/>
      <c r="AA228" s="103"/>
      <c r="AB228" s="103"/>
      <c r="AC228" s="103"/>
      <c r="AD228" s="103"/>
      <c r="AE228" s="103"/>
    </row>
    <row r="229" spans="1:31" s="164" customFormat="1" ht="36" customHeight="1">
      <c r="A229" s="162"/>
      <c r="B229" s="114" t="s">
        <v>144</v>
      </c>
      <c r="C229" s="114"/>
      <c r="D229" s="114"/>
      <c r="E229" s="118" t="s">
        <v>142</v>
      </c>
      <c r="F229" s="116">
        <f>F231+F234+F239+F241+F253+F254+F262+F257+F255+F260+F233+F252+F263+F243+F232+F264+F251+F247+F249+F256+F244+F245</f>
        <v>95420229.58</v>
      </c>
      <c r="G229" s="116">
        <f aca="true" t="shared" si="67" ref="G229:Q229">G231+G234+G239+G241+G253+G254+G262+G257+G255+G260+G233+G252+G263+G243+G232+G264+G251+G247+G249+G256+G244+G245</f>
        <v>36598673.5</v>
      </c>
      <c r="H229" s="116">
        <f t="shared" si="67"/>
        <v>4335120</v>
      </c>
      <c r="I229" s="116">
        <f t="shared" si="67"/>
        <v>18696700</v>
      </c>
      <c r="J229" s="116">
        <f t="shared" si="67"/>
        <v>58821556.08</v>
      </c>
      <c r="K229" s="116">
        <f t="shared" si="67"/>
        <v>210846813.97</v>
      </c>
      <c r="L229" s="116">
        <f t="shared" si="67"/>
        <v>1919270.18</v>
      </c>
      <c r="M229" s="116">
        <f t="shared" si="67"/>
        <v>0</v>
      </c>
      <c r="N229" s="116">
        <f t="shared" si="67"/>
        <v>0</v>
      </c>
      <c r="O229" s="116">
        <f t="shared" si="67"/>
        <v>208927543.79</v>
      </c>
      <c r="P229" s="116">
        <f t="shared" si="67"/>
        <v>171411844</v>
      </c>
      <c r="Q229" s="116">
        <f t="shared" si="67"/>
        <v>306267043.55</v>
      </c>
      <c r="R229" s="229"/>
      <c r="S229" s="163"/>
      <c r="T229" s="163"/>
      <c r="U229" s="163"/>
      <c r="V229" s="163"/>
      <c r="W229" s="163"/>
      <c r="X229" s="163"/>
      <c r="Y229" s="163"/>
      <c r="Z229" s="163"/>
      <c r="AA229" s="163"/>
      <c r="AB229" s="163"/>
      <c r="AC229" s="163"/>
      <c r="AD229" s="163"/>
      <c r="AE229" s="163"/>
    </row>
    <row r="230" spans="1:31" s="33" customFormat="1" ht="16.5" customHeight="1">
      <c r="A230" s="32"/>
      <c r="B230" s="36"/>
      <c r="C230" s="36"/>
      <c r="D230" s="36"/>
      <c r="E230" s="29" t="s">
        <v>510</v>
      </c>
      <c r="F230" s="107">
        <f aca="true" t="shared" si="68" ref="F230:K230">F235+F246+F248+F242</f>
        <v>22765578.59</v>
      </c>
      <c r="G230" s="107">
        <f t="shared" si="68"/>
        <v>0</v>
      </c>
      <c r="H230" s="107">
        <f t="shared" si="68"/>
        <v>0</v>
      </c>
      <c r="I230" s="107">
        <f t="shared" si="68"/>
        <v>0</v>
      </c>
      <c r="J230" s="107">
        <f t="shared" si="68"/>
        <v>22765578.59</v>
      </c>
      <c r="K230" s="107">
        <f t="shared" si="68"/>
        <v>30825239.790000003</v>
      </c>
      <c r="L230" s="107">
        <f aca="true" t="shared" si="69" ref="L230:Q230">L235+L246+L248+L242</f>
        <v>0</v>
      </c>
      <c r="M230" s="107">
        <f t="shared" si="69"/>
        <v>0</v>
      </c>
      <c r="N230" s="107">
        <f t="shared" si="69"/>
        <v>0</v>
      </c>
      <c r="O230" s="107">
        <f t="shared" si="69"/>
        <v>30825239.790000003</v>
      </c>
      <c r="P230" s="107">
        <f t="shared" si="69"/>
        <v>1575000</v>
      </c>
      <c r="Q230" s="107">
        <f t="shared" si="69"/>
        <v>53590818.38</v>
      </c>
      <c r="R230" s="229"/>
      <c r="S230" s="31"/>
      <c r="T230" s="31"/>
      <c r="U230" s="31"/>
      <c r="V230" s="31"/>
      <c r="W230" s="31"/>
      <c r="X230" s="31"/>
      <c r="Y230" s="31"/>
      <c r="Z230" s="31"/>
      <c r="AA230" s="31"/>
      <c r="AB230" s="31"/>
      <c r="AC230" s="31"/>
      <c r="AD230" s="31"/>
      <c r="AE230" s="31"/>
    </row>
    <row r="231" spans="1:31" s="14" customFormat="1" ht="27">
      <c r="A231" s="145"/>
      <c r="B231" s="98" t="s">
        <v>145</v>
      </c>
      <c r="C231" s="98" t="s">
        <v>249</v>
      </c>
      <c r="D231" s="98" t="s">
        <v>250</v>
      </c>
      <c r="E231" s="99" t="s">
        <v>520</v>
      </c>
      <c r="F231" s="106">
        <f>G231+J231</f>
        <v>5687476</v>
      </c>
      <c r="G231" s="106">
        <f>5141100+13000-46300+35000+20672+524004</f>
        <v>5687476</v>
      </c>
      <c r="H231" s="106">
        <f>3893800+429512</f>
        <v>4323312</v>
      </c>
      <c r="I231" s="106">
        <f>105700+13000</f>
        <v>118700</v>
      </c>
      <c r="J231" s="106"/>
      <c r="K231" s="106">
        <f>L231+O231</f>
        <v>200000</v>
      </c>
      <c r="L231" s="106"/>
      <c r="M231" s="106"/>
      <c r="N231" s="106"/>
      <c r="O231" s="106">
        <v>200000</v>
      </c>
      <c r="P231" s="106">
        <v>200000</v>
      </c>
      <c r="Q231" s="106">
        <f t="shared" si="61"/>
        <v>5887476</v>
      </c>
      <c r="R231" s="229"/>
      <c r="S231" s="41"/>
      <c r="T231" s="41"/>
      <c r="U231" s="41"/>
      <c r="V231" s="41"/>
      <c r="W231" s="41"/>
      <c r="X231" s="41"/>
      <c r="Y231" s="41"/>
      <c r="Z231" s="41"/>
      <c r="AA231" s="41"/>
      <c r="AB231" s="41"/>
      <c r="AC231" s="41"/>
      <c r="AD231" s="41"/>
      <c r="AE231" s="41"/>
    </row>
    <row r="232" spans="1:31" s="14" customFormat="1" ht="19.5" customHeight="1">
      <c r="A232" s="13"/>
      <c r="B232" s="77" t="s">
        <v>420</v>
      </c>
      <c r="C232" s="77" t="s">
        <v>401</v>
      </c>
      <c r="D232" s="77" t="s">
        <v>402</v>
      </c>
      <c r="E232" s="161" t="s">
        <v>209</v>
      </c>
      <c r="F232" s="106">
        <f>G232+J232</f>
        <v>564400</v>
      </c>
      <c r="G232" s="106">
        <f>364400+150000+50000</f>
        <v>564400</v>
      </c>
      <c r="H232" s="106">
        <v>11808</v>
      </c>
      <c r="I232" s="106"/>
      <c r="J232" s="106"/>
      <c r="K232" s="106"/>
      <c r="L232" s="106"/>
      <c r="M232" s="106"/>
      <c r="N232" s="106"/>
      <c r="O232" s="106"/>
      <c r="P232" s="106"/>
      <c r="Q232" s="106">
        <f t="shared" si="61"/>
        <v>564400</v>
      </c>
      <c r="R232" s="229"/>
      <c r="S232" s="41"/>
      <c r="T232" s="41"/>
      <c r="U232" s="41"/>
      <c r="V232" s="41"/>
      <c r="W232" s="41"/>
      <c r="X232" s="41"/>
      <c r="Y232" s="41"/>
      <c r="Z232" s="41"/>
      <c r="AA232" s="41"/>
      <c r="AB232" s="41"/>
      <c r="AC232" s="41"/>
      <c r="AD232" s="41"/>
      <c r="AE232" s="41"/>
    </row>
    <row r="233" spans="1:31" s="14" customFormat="1" ht="27">
      <c r="A233" s="13"/>
      <c r="B233" s="122" t="s">
        <v>211</v>
      </c>
      <c r="C233" s="122" t="s">
        <v>292</v>
      </c>
      <c r="D233" s="122" t="s">
        <v>293</v>
      </c>
      <c r="E233" s="161" t="s">
        <v>212</v>
      </c>
      <c r="F233" s="106">
        <f>G233+J233</f>
        <v>1572000</v>
      </c>
      <c r="G233" s="106">
        <f>1500000+72000</f>
        <v>1572000</v>
      </c>
      <c r="H233" s="106"/>
      <c r="I233" s="106"/>
      <c r="J233" s="106"/>
      <c r="K233" s="106">
        <f>L233+O233</f>
        <v>0</v>
      </c>
      <c r="L233" s="106"/>
      <c r="M233" s="106"/>
      <c r="N233" s="106"/>
      <c r="O233" s="106"/>
      <c r="P233" s="106"/>
      <c r="Q233" s="106">
        <f t="shared" si="61"/>
        <v>1572000</v>
      </c>
      <c r="R233" s="229"/>
      <c r="S233" s="41"/>
      <c r="T233" s="41"/>
      <c r="U233" s="41"/>
      <c r="V233" s="41"/>
      <c r="W233" s="41"/>
      <c r="X233" s="41"/>
      <c r="Y233" s="41"/>
      <c r="Z233" s="41"/>
      <c r="AA233" s="41"/>
      <c r="AB233" s="41"/>
      <c r="AC233" s="41"/>
      <c r="AD233" s="41"/>
      <c r="AE233" s="41"/>
    </row>
    <row r="234" spans="1:31" s="14" customFormat="1" ht="32.25" customHeight="1">
      <c r="A234" s="13"/>
      <c r="B234" s="122" t="s">
        <v>147</v>
      </c>
      <c r="C234" s="122" t="s">
        <v>294</v>
      </c>
      <c r="D234" s="122"/>
      <c r="E234" s="161" t="s">
        <v>146</v>
      </c>
      <c r="F234" s="106">
        <f>F236+F238</f>
        <v>480000</v>
      </c>
      <c r="G234" s="106">
        <f aca="true" t="shared" si="70" ref="G234:O234">G236+G238</f>
        <v>480000</v>
      </c>
      <c r="H234" s="106">
        <f t="shared" si="70"/>
        <v>0</v>
      </c>
      <c r="I234" s="106">
        <f t="shared" si="70"/>
        <v>0</v>
      </c>
      <c r="J234" s="106">
        <f t="shared" si="70"/>
        <v>0</v>
      </c>
      <c r="K234" s="106">
        <f t="shared" si="70"/>
        <v>66631327</v>
      </c>
      <c r="L234" s="106">
        <f t="shared" si="70"/>
        <v>0</v>
      </c>
      <c r="M234" s="106">
        <f t="shared" si="70"/>
        <v>0</v>
      </c>
      <c r="N234" s="106">
        <f t="shared" si="70"/>
        <v>0</v>
      </c>
      <c r="O234" s="106">
        <f t="shared" si="70"/>
        <v>66631327</v>
      </c>
      <c r="P234" s="106">
        <f>P236+P238</f>
        <v>66431327</v>
      </c>
      <c r="Q234" s="106">
        <f t="shared" si="61"/>
        <v>67111327</v>
      </c>
      <c r="R234" s="229"/>
      <c r="S234" s="41"/>
      <c r="T234" s="41"/>
      <c r="U234" s="41"/>
      <c r="V234" s="41"/>
      <c r="W234" s="41"/>
      <c r="X234" s="41"/>
      <c r="Y234" s="41"/>
      <c r="Z234" s="41"/>
      <c r="AA234" s="41"/>
      <c r="AB234" s="41"/>
      <c r="AC234" s="41"/>
      <c r="AD234" s="41"/>
      <c r="AE234" s="41"/>
    </row>
    <row r="235" spans="1:31" s="14" customFormat="1" ht="23.25" customHeight="1">
      <c r="A235" s="13"/>
      <c r="B235" s="122"/>
      <c r="C235" s="122"/>
      <c r="D235" s="122"/>
      <c r="E235" s="161" t="s">
        <v>510</v>
      </c>
      <c r="F235" s="106">
        <f>F237</f>
        <v>0</v>
      </c>
      <c r="G235" s="106">
        <f aca="true" t="shared" si="71" ref="G235:Q235">G237</f>
        <v>0</v>
      </c>
      <c r="H235" s="106">
        <f t="shared" si="71"/>
        <v>0</v>
      </c>
      <c r="I235" s="106">
        <f t="shared" si="71"/>
        <v>0</v>
      </c>
      <c r="J235" s="106">
        <f t="shared" si="71"/>
        <v>0</v>
      </c>
      <c r="K235" s="106">
        <f t="shared" si="71"/>
        <v>350000</v>
      </c>
      <c r="L235" s="106">
        <f t="shared" si="71"/>
        <v>0</v>
      </c>
      <c r="M235" s="106">
        <f t="shared" si="71"/>
        <v>0</v>
      </c>
      <c r="N235" s="106">
        <f t="shared" si="71"/>
        <v>0</v>
      </c>
      <c r="O235" s="106">
        <f t="shared" si="71"/>
        <v>350000</v>
      </c>
      <c r="P235" s="106">
        <f t="shared" si="71"/>
        <v>150000</v>
      </c>
      <c r="Q235" s="106">
        <f t="shared" si="71"/>
        <v>350000</v>
      </c>
      <c r="R235" s="229"/>
      <c r="S235" s="41"/>
      <c r="T235" s="41"/>
      <c r="U235" s="41"/>
      <c r="V235" s="41"/>
      <c r="W235" s="41"/>
      <c r="X235" s="41"/>
      <c r="Y235" s="41"/>
      <c r="Z235" s="41"/>
      <c r="AA235" s="41"/>
      <c r="AB235" s="41"/>
      <c r="AC235" s="41"/>
      <c r="AD235" s="41"/>
      <c r="AE235" s="41"/>
    </row>
    <row r="236" spans="1:31" s="33" customFormat="1" ht="18.75" customHeight="1">
      <c r="A236" s="32"/>
      <c r="B236" s="36" t="s">
        <v>149</v>
      </c>
      <c r="C236" s="36" t="s">
        <v>295</v>
      </c>
      <c r="D236" s="36" t="s">
        <v>293</v>
      </c>
      <c r="E236" s="29" t="s">
        <v>148</v>
      </c>
      <c r="F236" s="107">
        <f>G236+J236</f>
        <v>400000</v>
      </c>
      <c r="G236" s="107">
        <f>480000-80000</f>
        <v>400000</v>
      </c>
      <c r="H236" s="107"/>
      <c r="I236" s="107"/>
      <c r="J236" s="107"/>
      <c r="K236" s="107">
        <f>L236+O236</f>
        <v>49476527</v>
      </c>
      <c r="L236" s="107"/>
      <c r="M236" s="107"/>
      <c r="N236" s="107"/>
      <c r="O236" s="107">
        <f>45000000+219600+70917+37441-10000000+1500000-327958+18960000-737000+84427-7000000+5000+4500+13000+88600+150000+6000+1000000+127000+75000+200000</f>
        <v>49476527</v>
      </c>
      <c r="P236" s="107">
        <f>45000000+327958-10000000+1500000-327958+18960000-737000+84427-7000000+5000+4500+13000+88600+150000+6000+1000000+127000+75000+200000-200000</f>
        <v>49276527</v>
      </c>
      <c r="Q236" s="107">
        <f t="shared" si="61"/>
        <v>49876527</v>
      </c>
      <c r="R236" s="229"/>
      <c r="S236" s="31"/>
      <c r="T236" s="31"/>
      <c r="U236" s="31"/>
      <c r="V236" s="31"/>
      <c r="W236" s="31"/>
      <c r="X236" s="31"/>
      <c r="Y236" s="31"/>
      <c r="Z236" s="31"/>
      <c r="AA236" s="31"/>
      <c r="AB236" s="31"/>
      <c r="AC236" s="31"/>
      <c r="AD236" s="31"/>
      <c r="AE236" s="31"/>
    </row>
    <row r="237" spans="1:31" s="33" customFormat="1" ht="19.5" customHeight="1">
      <c r="A237" s="32"/>
      <c r="B237" s="36"/>
      <c r="C237" s="36"/>
      <c r="D237" s="36"/>
      <c r="E237" s="29" t="s">
        <v>510</v>
      </c>
      <c r="F237" s="107">
        <f>G237+J237</f>
        <v>0</v>
      </c>
      <c r="G237" s="107"/>
      <c r="H237" s="107"/>
      <c r="I237" s="107"/>
      <c r="J237" s="107"/>
      <c r="K237" s="107">
        <f>L237+O237</f>
        <v>350000</v>
      </c>
      <c r="L237" s="107"/>
      <c r="M237" s="107"/>
      <c r="N237" s="107"/>
      <c r="O237" s="107">
        <f>150000+200000</f>
        <v>350000</v>
      </c>
      <c r="P237" s="107">
        <f>150000+200000-200000</f>
        <v>150000</v>
      </c>
      <c r="Q237" s="107">
        <f t="shared" si="61"/>
        <v>350000</v>
      </c>
      <c r="R237" s="229"/>
      <c r="S237" s="31"/>
      <c r="T237" s="31"/>
      <c r="U237" s="31"/>
      <c r="V237" s="31"/>
      <c r="W237" s="31"/>
      <c r="X237" s="31"/>
      <c r="Y237" s="31"/>
      <c r="Z237" s="31"/>
      <c r="AA237" s="31"/>
      <c r="AB237" s="31"/>
      <c r="AC237" s="31"/>
      <c r="AD237" s="31"/>
      <c r="AE237" s="31"/>
    </row>
    <row r="238" spans="1:31" s="33" customFormat="1" ht="39" customHeight="1">
      <c r="A238" s="32"/>
      <c r="B238" s="36" t="s">
        <v>151</v>
      </c>
      <c r="C238" s="36" t="s">
        <v>296</v>
      </c>
      <c r="D238" s="36" t="s">
        <v>293</v>
      </c>
      <c r="E238" s="29" t="s">
        <v>150</v>
      </c>
      <c r="F238" s="107">
        <f>G238+J238</f>
        <v>80000</v>
      </c>
      <c r="G238" s="107">
        <v>80000</v>
      </c>
      <c r="H238" s="107"/>
      <c r="I238" s="107"/>
      <c r="J238" s="107"/>
      <c r="K238" s="107">
        <f>L238+O238</f>
        <v>17154800</v>
      </c>
      <c r="L238" s="107"/>
      <c r="M238" s="107"/>
      <c r="N238" s="107"/>
      <c r="O238" s="107">
        <f>5000000+10000000+500000+1000000+1000000+28600-1000000+16200+610000</f>
        <v>17154800</v>
      </c>
      <c r="P238" s="107">
        <f>5000000+10000000+500000+1000000+1000000+28600-1000000+16200+610000</f>
        <v>17154800</v>
      </c>
      <c r="Q238" s="107">
        <f t="shared" si="61"/>
        <v>17234800</v>
      </c>
      <c r="R238" s="229"/>
      <c r="S238" s="31"/>
      <c r="T238" s="31"/>
      <c r="U238" s="31"/>
      <c r="V238" s="31"/>
      <c r="W238" s="31"/>
      <c r="X238" s="31"/>
      <c r="Y238" s="31"/>
      <c r="Z238" s="31"/>
      <c r="AA238" s="31"/>
      <c r="AB238" s="31"/>
      <c r="AC238" s="31"/>
      <c r="AD238" s="31"/>
      <c r="AE238" s="31"/>
    </row>
    <row r="239" spans="1:31" s="14" customFormat="1" ht="15">
      <c r="A239" s="22"/>
      <c r="B239" s="26" t="s">
        <v>154</v>
      </c>
      <c r="C239" s="26" t="s">
        <v>297</v>
      </c>
      <c r="D239" s="26"/>
      <c r="E239" s="23" t="s">
        <v>153</v>
      </c>
      <c r="F239" s="106">
        <f>F240</f>
        <v>5214597.49</v>
      </c>
      <c r="G239" s="106">
        <f aca="true" t="shared" si="72" ref="G239:P239">G240</f>
        <v>0</v>
      </c>
      <c r="H239" s="106">
        <f t="shared" si="72"/>
        <v>0</v>
      </c>
      <c r="I239" s="106">
        <f t="shared" si="72"/>
        <v>0</v>
      </c>
      <c r="J239" s="106">
        <f t="shared" si="72"/>
        <v>5214597.49</v>
      </c>
      <c r="K239" s="106">
        <f t="shared" si="72"/>
        <v>0</v>
      </c>
      <c r="L239" s="106">
        <f t="shared" si="72"/>
        <v>0</v>
      </c>
      <c r="M239" s="106">
        <f t="shared" si="72"/>
        <v>0</v>
      </c>
      <c r="N239" s="106">
        <f t="shared" si="72"/>
        <v>0</v>
      </c>
      <c r="O239" s="106">
        <f t="shared" si="72"/>
        <v>0</v>
      </c>
      <c r="P239" s="106">
        <f t="shared" si="72"/>
        <v>0</v>
      </c>
      <c r="Q239" s="106">
        <f t="shared" si="61"/>
        <v>5214597.49</v>
      </c>
      <c r="R239" s="229"/>
      <c r="S239" s="41"/>
      <c r="T239" s="41"/>
      <c r="U239" s="41"/>
      <c r="V239" s="41"/>
      <c r="W239" s="41"/>
      <c r="X239" s="41"/>
      <c r="Y239" s="41"/>
      <c r="Z239" s="41"/>
      <c r="AA239" s="41"/>
      <c r="AB239" s="41"/>
      <c r="AC239" s="41"/>
      <c r="AD239" s="41"/>
      <c r="AE239" s="41"/>
    </row>
    <row r="240" spans="1:31" s="33" customFormat="1" ht="36.75" customHeight="1">
      <c r="A240" s="32"/>
      <c r="B240" s="36" t="s">
        <v>155</v>
      </c>
      <c r="C240" s="36" t="s">
        <v>298</v>
      </c>
      <c r="D240" s="36" t="s">
        <v>299</v>
      </c>
      <c r="E240" s="29" t="s">
        <v>152</v>
      </c>
      <c r="F240" s="107">
        <f aca="true" t="shared" si="73" ref="F240:F262">G240+J240</f>
        <v>5214597.49</v>
      </c>
      <c r="G240" s="107"/>
      <c r="H240" s="107"/>
      <c r="I240" s="107"/>
      <c r="J240" s="107">
        <f>3151000+266000+1600000+177597.49+20000</f>
        <v>5214597.49</v>
      </c>
      <c r="K240" s="107">
        <f aca="true" t="shared" si="74" ref="K240:K259">L240+O240</f>
        <v>0</v>
      </c>
      <c r="L240" s="107"/>
      <c r="M240" s="107"/>
      <c r="N240" s="107"/>
      <c r="O240" s="107"/>
      <c r="P240" s="107"/>
      <c r="Q240" s="107">
        <f t="shared" si="61"/>
        <v>5214597.49</v>
      </c>
      <c r="R240" s="229"/>
      <c r="S240" s="31"/>
      <c r="T240" s="31"/>
      <c r="U240" s="31"/>
      <c r="V240" s="31"/>
      <c r="W240" s="31"/>
      <c r="X240" s="31"/>
      <c r="Y240" s="31"/>
      <c r="Z240" s="31"/>
      <c r="AA240" s="31"/>
      <c r="AB240" s="31"/>
      <c r="AC240" s="31"/>
      <c r="AD240" s="31"/>
      <c r="AE240" s="31"/>
    </row>
    <row r="241" spans="1:31" s="14" customFormat="1" ht="21.75" customHeight="1">
      <c r="A241" s="22"/>
      <c r="B241" s="26" t="s">
        <v>156</v>
      </c>
      <c r="C241" s="26" t="s">
        <v>300</v>
      </c>
      <c r="D241" s="26" t="s">
        <v>299</v>
      </c>
      <c r="E241" s="23" t="s">
        <v>56</v>
      </c>
      <c r="F241" s="106">
        <f>G241+J241</f>
        <v>52274297.019999996</v>
      </c>
      <c r="G241" s="106">
        <f>17329456+15356600-1267658-102200+199810-7400000-305510-1258381-26000+30000+60000+3500+40000+300000+50000+300000+25000-591331.98-30000-358801-31006-40000+91388-30000+46500+52000+48000+61000</f>
        <v>22552366.02</v>
      </c>
      <c r="H241" s="106"/>
      <c r="I241" s="106">
        <f>11364900+7156600+3500</f>
        <v>18525000</v>
      </c>
      <c r="J241" s="106">
        <f>23585944+5106907+102200-500000+31000+360000+57880+20000-50000+351000+30000+200000-28800+30000+20000+200000+40800+150000+15000</f>
        <v>29721931</v>
      </c>
      <c r="K241" s="106">
        <f>L241+O241</f>
        <v>57146481</v>
      </c>
      <c r="L241" s="106"/>
      <c r="M241" s="106"/>
      <c r="N241" s="106"/>
      <c r="O241" s="106">
        <f>27612000+6000000-12000000+1612717-219600-70917+12000000+150000+327958-244003+12522000+7400000-356390+100000-1000000+1600000+500000+30000-428650-152925-31000+230000-300000-190373-43000-165200-184570+43000+150000-142900-20000-91388-26500-115600+500000-22100-100250+44250+80000-3000-556288-48000+1475000+1493500-211290</f>
        <v>57146481</v>
      </c>
      <c r="P241" s="106">
        <f>27612000+6000000-12000000+1322200+12000000+150000+327958-244003+12522000+7400000-356390+100000-1000000+1600000+500000+30000-428650-152925-31000+230000-300000-190373-43000-165200-184570+43000+150000-142900-20000-91388-26500-115600+500000-22100-100250+44250+80000-3000-556288-48000+1475000+43500-211290-1475000</f>
        <v>54221481</v>
      </c>
      <c r="Q241" s="106">
        <f>F241+K241</f>
        <v>109420778.02</v>
      </c>
      <c r="R241" s="229"/>
      <c r="S241" s="41"/>
      <c r="T241" s="41"/>
      <c r="U241" s="41"/>
      <c r="V241" s="41"/>
      <c r="W241" s="41"/>
      <c r="X241" s="41"/>
      <c r="Y241" s="41"/>
      <c r="Z241" s="41"/>
      <c r="AA241" s="41"/>
      <c r="AB241" s="41"/>
      <c r="AC241" s="41"/>
      <c r="AD241" s="41"/>
      <c r="AE241" s="41"/>
    </row>
    <row r="242" spans="1:31" s="14" customFormat="1" ht="21.75" customHeight="1">
      <c r="A242" s="22"/>
      <c r="B242" s="26"/>
      <c r="C242" s="26"/>
      <c r="D242" s="26"/>
      <c r="E242" s="161" t="s">
        <v>510</v>
      </c>
      <c r="F242" s="106">
        <f>G242+J242</f>
        <v>0</v>
      </c>
      <c r="G242" s="106"/>
      <c r="H242" s="106"/>
      <c r="I242" s="106"/>
      <c r="J242" s="106"/>
      <c r="K242" s="106">
        <f>L242+O242</f>
        <v>2925000</v>
      </c>
      <c r="L242" s="106"/>
      <c r="M242" s="106"/>
      <c r="N242" s="106"/>
      <c r="O242" s="106">
        <f>1475000+1450000</f>
        <v>2925000</v>
      </c>
      <c r="P242" s="106">
        <f>1475000-1475000</f>
        <v>0</v>
      </c>
      <c r="Q242" s="106">
        <f>F242+K242</f>
        <v>2925000</v>
      </c>
      <c r="R242" s="229"/>
      <c r="S242" s="41"/>
      <c r="T242" s="41"/>
      <c r="U242" s="41"/>
      <c r="V242" s="41"/>
      <c r="W242" s="41"/>
      <c r="X242" s="41"/>
      <c r="Y242" s="41"/>
      <c r="Z242" s="41"/>
      <c r="AA242" s="41"/>
      <c r="AB242" s="41"/>
      <c r="AC242" s="41"/>
      <c r="AD242" s="41"/>
      <c r="AE242" s="41"/>
    </row>
    <row r="243" spans="1:31" s="14" customFormat="1" ht="36.75" customHeight="1">
      <c r="A243" s="13"/>
      <c r="B243" s="122" t="s">
        <v>422</v>
      </c>
      <c r="C243" s="122" t="s">
        <v>301</v>
      </c>
      <c r="D243" s="122" t="s">
        <v>299</v>
      </c>
      <c r="E243" s="161" t="s">
        <v>222</v>
      </c>
      <c r="F243" s="106">
        <f t="shared" si="73"/>
        <v>0</v>
      </c>
      <c r="G243" s="106"/>
      <c r="H243" s="106"/>
      <c r="I243" s="106"/>
      <c r="J243" s="106"/>
      <c r="K243" s="106">
        <f t="shared" si="74"/>
        <v>700000</v>
      </c>
      <c r="L243" s="106"/>
      <c r="M243" s="106"/>
      <c r="N243" s="106"/>
      <c r="O243" s="106">
        <f>1000000-60800-89200-150000</f>
        <v>700000</v>
      </c>
      <c r="P243" s="106">
        <f>1000000-60800-89200-150000</f>
        <v>700000</v>
      </c>
      <c r="Q243" s="106">
        <f t="shared" si="61"/>
        <v>700000</v>
      </c>
      <c r="R243" s="229"/>
      <c r="S243" s="41"/>
      <c r="T243" s="41"/>
      <c r="U243" s="41"/>
      <c r="V243" s="41"/>
      <c r="W243" s="41"/>
      <c r="X243" s="41"/>
      <c r="Y243" s="41"/>
      <c r="Z243" s="41"/>
      <c r="AA243" s="41"/>
      <c r="AB243" s="41"/>
      <c r="AC243" s="41"/>
      <c r="AD243" s="41"/>
      <c r="AE243" s="41"/>
    </row>
    <row r="244" spans="1:31" s="14" customFormat="1" ht="60" customHeight="1">
      <c r="A244" s="13"/>
      <c r="B244" s="122" t="s">
        <v>554</v>
      </c>
      <c r="C244" s="122" t="s">
        <v>552</v>
      </c>
      <c r="D244" s="122" t="s">
        <v>299</v>
      </c>
      <c r="E244" s="161" t="s">
        <v>551</v>
      </c>
      <c r="F244" s="106">
        <f>G244+J244</f>
        <v>275949</v>
      </c>
      <c r="G244" s="106"/>
      <c r="H244" s="106"/>
      <c r="I244" s="106"/>
      <c r="J244" s="106">
        <f>168566+28800+36000+42583</f>
        <v>275949</v>
      </c>
      <c r="K244" s="106">
        <f t="shared" si="74"/>
        <v>0</v>
      </c>
      <c r="L244" s="106"/>
      <c r="M244" s="106"/>
      <c r="N244" s="106"/>
      <c r="O244" s="106"/>
      <c r="P244" s="106"/>
      <c r="Q244" s="106">
        <f t="shared" si="61"/>
        <v>275949</v>
      </c>
      <c r="R244" s="229"/>
      <c r="S244" s="41"/>
      <c r="T244" s="41"/>
      <c r="U244" s="41"/>
      <c r="V244" s="41"/>
      <c r="W244" s="41"/>
      <c r="X244" s="41"/>
      <c r="Y244" s="41"/>
      <c r="Z244" s="41"/>
      <c r="AA244" s="41"/>
      <c r="AB244" s="41"/>
      <c r="AC244" s="41"/>
      <c r="AD244" s="41"/>
      <c r="AE244" s="41"/>
    </row>
    <row r="245" spans="1:31" s="14" customFormat="1" ht="192" customHeight="1">
      <c r="A245" s="13"/>
      <c r="B245" s="122" t="s">
        <v>563</v>
      </c>
      <c r="C245" s="122" t="s">
        <v>564</v>
      </c>
      <c r="D245" s="122" t="s">
        <v>565</v>
      </c>
      <c r="E245" s="161" t="s">
        <v>566</v>
      </c>
      <c r="F245" s="106">
        <f>G245+J245</f>
        <v>22765578.59</v>
      </c>
      <c r="G245" s="106"/>
      <c r="H245" s="106"/>
      <c r="I245" s="106"/>
      <c r="J245" s="106">
        <f>23863473.35-1097894.76</f>
        <v>22765578.59</v>
      </c>
      <c r="K245" s="106">
        <f t="shared" si="74"/>
        <v>26125239.790000003</v>
      </c>
      <c r="L245" s="106"/>
      <c r="M245" s="106"/>
      <c r="N245" s="106"/>
      <c r="O245" s="106">
        <f>25027345.03+1097894.76</f>
        <v>26125239.790000003</v>
      </c>
      <c r="P245" s="106"/>
      <c r="Q245" s="106">
        <f t="shared" si="61"/>
        <v>48890818.38</v>
      </c>
      <c r="R245" s="229">
        <v>26</v>
      </c>
      <c r="S245" s="41"/>
      <c r="T245" s="41"/>
      <c r="U245" s="41"/>
      <c r="V245" s="41"/>
      <c r="W245" s="41"/>
      <c r="X245" s="41"/>
      <c r="Y245" s="41"/>
      <c r="Z245" s="41"/>
      <c r="AA245" s="41"/>
      <c r="AB245" s="41"/>
      <c r="AC245" s="41"/>
      <c r="AD245" s="41"/>
      <c r="AE245" s="41"/>
    </row>
    <row r="246" spans="1:31" s="14" customFormat="1" ht="15" customHeight="1">
      <c r="A246" s="13"/>
      <c r="B246" s="122"/>
      <c r="C246" s="122"/>
      <c r="D246" s="122"/>
      <c r="E246" s="161" t="s">
        <v>510</v>
      </c>
      <c r="F246" s="106">
        <f>G246+J246</f>
        <v>22765578.59</v>
      </c>
      <c r="G246" s="106"/>
      <c r="H246" s="106"/>
      <c r="I246" s="106"/>
      <c r="J246" s="106">
        <f>23863473.35-1097894.76</f>
        <v>22765578.59</v>
      </c>
      <c r="K246" s="106">
        <f t="shared" si="74"/>
        <v>26125239.790000003</v>
      </c>
      <c r="L246" s="106"/>
      <c r="M246" s="106"/>
      <c r="N246" s="106"/>
      <c r="O246" s="106">
        <f>25027345.03+1097894.76</f>
        <v>26125239.790000003</v>
      </c>
      <c r="P246" s="106"/>
      <c r="Q246" s="106">
        <f t="shared" si="61"/>
        <v>48890818.38</v>
      </c>
      <c r="R246" s="229"/>
      <c r="S246" s="41"/>
      <c r="T246" s="41"/>
      <c r="U246" s="41"/>
      <c r="V246" s="41"/>
      <c r="W246" s="41"/>
      <c r="X246" s="41"/>
      <c r="Y246" s="41"/>
      <c r="Z246" s="41"/>
      <c r="AA246" s="41"/>
      <c r="AB246" s="41"/>
      <c r="AC246" s="41"/>
      <c r="AD246" s="41"/>
      <c r="AE246" s="41"/>
    </row>
    <row r="247" spans="1:31" s="14" customFormat="1" ht="30" customHeight="1">
      <c r="A247" s="13"/>
      <c r="B247" s="122" t="s">
        <v>436</v>
      </c>
      <c r="C247" s="122" t="s">
        <v>325</v>
      </c>
      <c r="D247" s="122" t="s">
        <v>326</v>
      </c>
      <c r="E247" s="161" t="s">
        <v>167</v>
      </c>
      <c r="F247" s="106">
        <f t="shared" si="73"/>
        <v>0</v>
      </c>
      <c r="G247" s="106"/>
      <c r="H247" s="106"/>
      <c r="I247" s="106"/>
      <c r="J247" s="106"/>
      <c r="K247" s="106">
        <f t="shared" si="74"/>
        <v>12771716</v>
      </c>
      <c r="L247" s="106"/>
      <c r="M247" s="106"/>
      <c r="N247" s="106"/>
      <c r="O247" s="106">
        <f>12774508+500000+737000+1000000+600000-43000-150000+1467750-1087159-1900000-300000-37800-80000-100000+103000-42583-60000-610000</f>
        <v>12771716</v>
      </c>
      <c r="P247" s="106">
        <f>12774508+500000+737000+1000000+600000-43000-150000+1467750-1087159-1900000-300000-37800-80000-100000+103000-42583-60000-610000</f>
        <v>12771716</v>
      </c>
      <c r="Q247" s="106">
        <f>F247+K247</f>
        <v>12771716</v>
      </c>
      <c r="R247" s="229"/>
      <c r="S247" s="41"/>
      <c r="T247" s="41"/>
      <c r="U247" s="41"/>
      <c r="V247" s="41"/>
      <c r="W247" s="41"/>
      <c r="X247" s="41"/>
      <c r="Y247" s="41"/>
      <c r="Z247" s="41"/>
      <c r="AA247" s="41"/>
      <c r="AB247" s="41"/>
      <c r="AC247" s="41"/>
      <c r="AD247" s="41"/>
      <c r="AE247" s="41"/>
    </row>
    <row r="248" spans="1:31" s="14" customFormat="1" ht="19.5" customHeight="1">
      <c r="A248" s="13"/>
      <c r="B248" s="122"/>
      <c r="C248" s="122"/>
      <c r="D248" s="122"/>
      <c r="E248" s="161" t="s">
        <v>510</v>
      </c>
      <c r="F248" s="106">
        <f t="shared" si="73"/>
        <v>0</v>
      </c>
      <c r="G248" s="106"/>
      <c r="H248" s="106"/>
      <c r="I248" s="106"/>
      <c r="J248" s="106"/>
      <c r="K248" s="106">
        <f t="shared" si="74"/>
        <v>1425000</v>
      </c>
      <c r="L248" s="106"/>
      <c r="M248" s="106"/>
      <c r="N248" s="106"/>
      <c r="O248" s="106">
        <v>1425000</v>
      </c>
      <c r="P248" s="106">
        <v>1425000</v>
      </c>
      <c r="Q248" s="106">
        <f>F248+K248</f>
        <v>1425000</v>
      </c>
      <c r="R248" s="229"/>
      <c r="S248" s="41"/>
      <c r="T248" s="41"/>
      <c r="U248" s="41"/>
      <c r="V248" s="41"/>
      <c r="W248" s="41"/>
      <c r="X248" s="41"/>
      <c r="Y248" s="41"/>
      <c r="Z248" s="41"/>
      <c r="AA248" s="41"/>
      <c r="AB248" s="41"/>
      <c r="AC248" s="41"/>
      <c r="AD248" s="41"/>
      <c r="AE248" s="41"/>
    </row>
    <row r="249" spans="1:31" s="14" customFormat="1" ht="24" customHeight="1">
      <c r="A249" s="13"/>
      <c r="B249" s="122" t="s">
        <v>524</v>
      </c>
      <c r="C249" s="122" t="s">
        <v>327</v>
      </c>
      <c r="D249" s="122"/>
      <c r="E249" s="9" t="s">
        <v>233</v>
      </c>
      <c r="F249" s="106">
        <f>F250</f>
        <v>0</v>
      </c>
      <c r="G249" s="106">
        <f aca="true" t="shared" si="75" ref="G249:Q249">G250</f>
        <v>0</v>
      </c>
      <c r="H249" s="106">
        <f t="shared" si="75"/>
        <v>0</v>
      </c>
      <c r="I249" s="106">
        <f t="shared" si="75"/>
        <v>0</v>
      </c>
      <c r="J249" s="106">
        <f t="shared" si="75"/>
        <v>0</v>
      </c>
      <c r="K249" s="106">
        <f t="shared" si="75"/>
        <v>2535000</v>
      </c>
      <c r="L249" s="106">
        <f t="shared" si="75"/>
        <v>0</v>
      </c>
      <c r="M249" s="106">
        <f t="shared" si="75"/>
        <v>0</v>
      </c>
      <c r="N249" s="106">
        <f t="shared" si="75"/>
        <v>0</v>
      </c>
      <c r="O249" s="106">
        <f t="shared" si="75"/>
        <v>2535000</v>
      </c>
      <c r="P249" s="106">
        <f t="shared" si="75"/>
        <v>2535000</v>
      </c>
      <c r="Q249" s="106">
        <f t="shared" si="75"/>
        <v>2535000</v>
      </c>
      <c r="R249" s="229"/>
      <c r="S249" s="41"/>
      <c r="T249" s="41"/>
      <c r="U249" s="41"/>
      <c r="V249" s="41"/>
      <c r="W249" s="41"/>
      <c r="X249" s="41"/>
      <c r="Y249" s="41"/>
      <c r="Z249" s="41"/>
      <c r="AA249" s="41"/>
      <c r="AB249" s="41"/>
      <c r="AC249" s="41"/>
      <c r="AD249" s="41"/>
      <c r="AE249" s="41"/>
    </row>
    <row r="250" spans="1:31" s="14" customFormat="1" ht="39" customHeight="1">
      <c r="A250" s="13"/>
      <c r="B250" s="36" t="s">
        <v>525</v>
      </c>
      <c r="C250" s="36" t="s">
        <v>328</v>
      </c>
      <c r="D250" s="36" t="s">
        <v>310</v>
      </c>
      <c r="E250" s="29" t="s">
        <v>526</v>
      </c>
      <c r="F250" s="106">
        <f t="shared" si="73"/>
        <v>0</v>
      </c>
      <c r="G250" s="106"/>
      <c r="H250" s="106"/>
      <c r="I250" s="106"/>
      <c r="J250" s="106"/>
      <c r="K250" s="107">
        <f t="shared" si="74"/>
        <v>2535000</v>
      </c>
      <c r="L250" s="106"/>
      <c r="M250" s="106"/>
      <c r="N250" s="106"/>
      <c r="O250" s="106">
        <v>2535000</v>
      </c>
      <c r="P250" s="106">
        <v>2535000</v>
      </c>
      <c r="Q250" s="106">
        <f t="shared" si="61"/>
        <v>2535000</v>
      </c>
      <c r="R250" s="229"/>
      <c r="S250" s="41"/>
      <c r="T250" s="41"/>
      <c r="U250" s="41"/>
      <c r="V250" s="41"/>
      <c r="W250" s="41"/>
      <c r="X250" s="41"/>
      <c r="Y250" s="41"/>
      <c r="Z250" s="41"/>
      <c r="AA250" s="41"/>
      <c r="AB250" s="41"/>
      <c r="AC250" s="41"/>
      <c r="AD250" s="41"/>
      <c r="AE250" s="41"/>
    </row>
    <row r="251" spans="1:31" s="14" customFormat="1" ht="15">
      <c r="A251" s="13"/>
      <c r="B251" s="122" t="s">
        <v>432</v>
      </c>
      <c r="C251" s="122" t="s">
        <v>434</v>
      </c>
      <c r="D251" s="122" t="s">
        <v>433</v>
      </c>
      <c r="E251" s="161" t="s">
        <v>435</v>
      </c>
      <c r="F251" s="106">
        <f t="shared" si="73"/>
        <v>643500</v>
      </c>
      <c r="G251" s="106"/>
      <c r="H251" s="106"/>
      <c r="I251" s="106"/>
      <c r="J251" s="106">
        <f>185000+465000-25000-13808-3976+42784-6500</f>
        <v>643500</v>
      </c>
      <c r="K251" s="106">
        <f t="shared" si="74"/>
        <v>87216</v>
      </c>
      <c r="L251" s="106"/>
      <c r="M251" s="106"/>
      <c r="N251" s="106"/>
      <c r="O251" s="106">
        <f>130000-42784</f>
        <v>87216</v>
      </c>
      <c r="P251" s="106">
        <f>130000-42784</f>
        <v>87216</v>
      </c>
      <c r="Q251" s="106">
        <f t="shared" si="61"/>
        <v>730716</v>
      </c>
      <c r="R251" s="229"/>
      <c r="S251" s="41"/>
      <c r="T251" s="41"/>
      <c r="U251" s="41"/>
      <c r="V251" s="41"/>
      <c r="W251" s="41"/>
      <c r="X251" s="41"/>
      <c r="Y251" s="41"/>
      <c r="Z251" s="41"/>
      <c r="AA251" s="41"/>
      <c r="AB251" s="41"/>
      <c r="AC251" s="41"/>
      <c r="AD251" s="41"/>
      <c r="AE251" s="41"/>
    </row>
    <row r="252" spans="1:31" s="33" customFormat="1" ht="24.75" customHeight="1">
      <c r="A252" s="32"/>
      <c r="B252" s="26" t="s">
        <v>213</v>
      </c>
      <c r="C252" s="26" t="s">
        <v>413</v>
      </c>
      <c r="D252" s="26" t="s">
        <v>330</v>
      </c>
      <c r="E252" s="23" t="s">
        <v>157</v>
      </c>
      <c r="F252" s="106">
        <f t="shared" si="73"/>
        <v>1598808</v>
      </c>
      <c r="G252" s="106">
        <f>1500000+70000+13808+11024+3976</f>
        <v>1598808</v>
      </c>
      <c r="H252" s="107"/>
      <c r="I252" s="107"/>
      <c r="J252" s="106"/>
      <c r="K252" s="107"/>
      <c r="L252" s="107"/>
      <c r="M252" s="107"/>
      <c r="N252" s="107"/>
      <c r="O252" s="107"/>
      <c r="P252" s="107"/>
      <c r="Q252" s="106">
        <f t="shared" si="61"/>
        <v>1598808</v>
      </c>
      <c r="R252" s="229"/>
      <c r="S252" s="31"/>
      <c r="T252" s="31"/>
      <c r="U252" s="31"/>
      <c r="V252" s="31"/>
      <c r="W252" s="31"/>
      <c r="X252" s="31"/>
      <c r="Y252" s="31"/>
      <c r="Z252" s="31"/>
      <c r="AA252" s="31"/>
      <c r="AB252" s="31"/>
      <c r="AC252" s="31"/>
      <c r="AD252" s="31"/>
      <c r="AE252" s="31"/>
    </row>
    <row r="253" spans="1:31" s="14" customFormat="1" ht="24.75" customHeight="1">
      <c r="A253" s="22"/>
      <c r="B253" s="26" t="s">
        <v>159</v>
      </c>
      <c r="C253" s="26" t="s">
        <v>343</v>
      </c>
      <c r="D253" s="26" t="s">
        <v>344</v>
      </c>
      <c r="E253" s="23" t="s">
        <v>158</v>
      </c>
      <c r="F253" s="106">
        <f t="shared" si="73"/>
        <v>1300000</v>
      </c>
      <c r="G253" s="106">
        <f>800000+300000</f>
        <v>1100000</v>
      </c>
      <c r="H253" s="106"/>
      <c r="I253" s="106"/>
      <c r="J253" s="106">
        <v>200000</v>
      </c>
      <c r="K253" s="106">
        <f t="shared" si="74"/>
        <v>0</v>
      </c>
      <c r="L253" s="106"/>
      <c r="M253" s="106"/>
      <c r="N253" s="106"/>
      <c r="O253" s="106"/>
      <c r="P253" s="106"/>
      <c r="Q253" s="106">
        <f t="shared" si="61"/>
        <v>1300000</v>
      </c>
      <c r="R253" s="229"/>
      <c r="S253" s="41"/>
      <c r="T253" s="41"/>
      <c r="U253" s="41"/>
      <c r="V253" s="41"/>
      <c r="W253" s="41"/>
      <c r="X253" s="41"/>
      <c r="Y253" s="41"/>
      <c r="Z253" s="41"/>
      <c r="AA253" s="41"/>
      <c r="AB253" s="41"/>
      <c r="AC253" s="41"/>
      <c r="AD253" s="41"/>
      <c r="AE253" s="41"/>
    </row>
    <row r="254" spans="1:31" s="14" customFormat="1" ht="34.5" customHeight="1">
      <c r="A254" s="13"/>
      <c r="B254" s="122" t="s">
        <v>160</v>
      </c>
      <c r="C254" s="122" t="s">
        <v>347</v>
      </c>
      <c r="D254" s="122" t="s">
        <v>326</v>
      </c>
      <c r="E254" s="161" t="s">
        <v>60</v>
      </c>
      <c r="F254" s="106">
        <f t="shared" si="73"/>
        <v>0</v>
      </c>
      <c r="G254" s="106"/>
      <c r="H254" s="106"/>
      <c r="I254" s="106"/>
      <c r="J254" s="106"/>
      <c r="K254" s="106">
        <f t="shared" si="74"/>
        <v>26780700</v>
      </c>
      <c r="L254" s="106"/>
      <c r="M254" s="106"/>
      <c r="N254" s="106"/>
      <c r="O254" s="106">
        <f>18610900+3000000-1149000-1000000+2520800+913000+3000000+482000+43000+300000+60000</f>
        <v>26780700</v>
      </c>
      <c r="P254" s="106">
        <f>18610900+3000000-1149000-1000000+2520800+913000+3000000+482000+43000+300000+60000</f>
        <v>26780700</v>
      </c>
      <c r="Q254" s="106">
        <f t="shared" si="61"/>
        <v>26780700</v>
      </c>
      <c r="R254" s="229"/>
      <c r="S254" s="41"/>
      <c r="T254" s="41"/>
      <c r="U254" s="41"/>
      <c r="V254" s="41"/>
      <c r="W254" s="41"/>
      <c r="X254" s="41"/>
      <c r="Y254" s="41"/>
      <c r="Z254" s="41"/>
      <c r="AA254" s="41"/>
      <c r="AB254" s="41"/>
      <c r="AC254" s="41"/>
      <c r="AD254" s="41"/>
      <c r="AE254" s="41"/>
    </row>
    <row r="255" spans="1:31" s="14" customFormat="1" ht="24.75" customHeight="1">
      <c r="A255" s="13"/>
      <c r="B255" s="148" t="s">
        <v>194</v>
      </c>
      <c r="C255" s="148" t="s">
        <v>351</v>
      </c>
      <c r="D255" s="148" t="s">
        <v>352</v>
      </c>
      <c r="E255" s="161" t="s">
        <v>23</v>
      </c>
      <c r="F255" s="106">
        <f t="shared" si="73"/>
        <v>199733</v>
      </c>
      <c r="G255" s="106">
        <v>199733</v>
      </c>
      <c r="H255" s="106"/>
      <c r="I255" s="106"/>
      <c r="J255" s="106"/>
      <c r="K255" s="106">
        <f t="shared" si="74"/>
        <v>0</v>
      </c>
      <c r="L255" s="106"/>
      <c r="M255" s="106"/>
      <c r="N255" s="106"/>
      <c r="O255" s="106"/>
      <c r="P255" s="106"/>
      <c r="Q255" s="106">
        <f t="shared" si="61"/>
        <v>199733</v>
      </c>
      <c r="R255" s="229"/>
      <c r="S255" s="41"/>
      <c r="T255" s="41"/>
      <c r="U255" s="41"/>
      <c r="V255" s="41"/>
      <c r="W255" s="41"/>
      <c r="X255" s="41"/>
      <c r="Y255" s="41"/>
      <c r="Z255" s="41"/>
      <c r="AA255" s="41"/>
      <c r="AB255" s="41"/>
      <c r="AC255" s="41"/>
      <c r="AD255" s="41"/>
      <c r="AE255" s="41"/>
    </row>
    <row r="256" spans="1:31" s="14" customFormat="1" ht="33" customHeight="1">
      <c r="A256" s="13"/>
      <c r="B256" s="148" t="s">
        <v>550</v>
      </c>
      <c r="C256" s="148" t="s">
        <v>544</v>
      </c>
      <c r="D256" s="148" t="s">
        <v>358</v>
      </c>
      <c r="E256" s="180" t="s">
        <v>545</v>
      </c>
      <c r="F256" s="106">
        <f t="shared" si="73"/>
        <v>0</v>
      </c>
      <c r="G256" s="106"/>
      <c r="H256" s="106"/>
      <c r="I256" s="106"/>
      <c r="J256" s="106"/>
      <c r="K256" s="106">
        <f t="shared" si="74"/>
        <v>5462904</v>
      </c>
      <c r="L256" s="106"/>
      <c r="M256" s="106"/>
      <c r="N256" s="106"/>
      <c r="O256" s="106">
        <v>5462904</v>
      </c>
      <c r="P256" s="106">
        <v>5462904</v>
      </c>
      <c r="Q256" s="106">
        <f t="shared" si="61"/>
        <v>5462904</v>
      </c>
      <c r="R256" s="229"/>
      <c r="S256" s="41"/>
      <c r="T256" s="41"/>
      <c r="U256" s="41"/>
      <c r="V256" s="41"/>
      <c r="W256" s="41"/>
      <c r="X256" s="41"/>
      <c r="Y256" s="41"/>
      <c r="Z256" s="41"/>
      <c r="AA256" s="41"/>
      <c r="AB256" s="41"/>
      <c r="AC256" s="41"/>
      <c r="AD256" s="41"/>
      <c r="AE256" s="41"/>
    </row>
    <row r="257" spans="1:31" s="14" customFormat="1" ht="24.75" customHeight="1">
      <c r="A257" s="13"/>
      <c r="B257" s="76" t="s">
        <v>162</v>
      </c>
      <c r="C257" s="76" t="s">
        <v>375</v>
      </c>
      <c r="D257" s="76" t="s">
        <v>249</v>
      </c>
      <c r="E257" s="161" t="s">
        <v>16</v>
      </c>
      <c r="F257" s="106">
        <f>F258+F259</f>
        <v>2085390.48</v>
      </c>
      <c r="G257" s="106">
        <f aca="true" t="shared" si="76" ref="G257:P257">G258+G259</f>
        <v>2085390.48</v>
      </c>
      <c r="H257" s="106">
        <f t="shared" si="76"/>
        <v>0</v>
      </c>
      <c r="I257" s="106">
        <f t="shared" si="76"/>
        <v>53000</v>
      </c>
      <c r="J257" s="106">
        <f t="shared" si="76"/>
        <v>0</v>
      </c>
      <c r="K257" s="106">
        <f t="shared" si="74"/>
        <v>0</v>
      </c>
      <c r="L257" s="106">
        <f t="shared" si="76"/>
        <v>0</v>
      </c>
      <c r="M257" s="106">
        <f t="shared" si="76"/>
        <v>0</v>
      </c>
      <c r="N257" s="106">
        <f t="shared" si="76"/>
        <v>0</v>
      </c>
      <c r="O257" s="106">
        <f t="shared" si="76"/>
        <v>0</v>
      </c>
      <c r="P257" s="106">
        <f t="shared" si="76"/>
        <v>0</v>
      </c>
      <c r="Q257" s="106">
        <f t="shared" si="61"/>
        <v>2085390.48</v>
      </c>
      <c r="R257" s="229"/>
      <c r="S257" s="41"/>
      <c r="T257" s="41"/>
      <c r="U257" s="41"/>
      <c r="V257" s="41"/>
      <c r="W257" s="41"/>
      <c r="X257" s="41"/>
      <c r="Y257" s="41"/>
      <c r="Z257" s="41"/>
      <c r="AA257" s="41"/>
      <c r="AB257" s="41"/>
      <c r="AC257" s="41"/>
      <c r="AD257" s="41"/>
      <c r="AE257" s="41"/>
    </row>
    <row r="258" spans="1:31" s="14" customFormat="1" ht="59.25" customHeight="1">
      <c r="A258" s="13"/>
      <c r="B258" s="45" t="s">
        <v>162</v>
      </c>
      <c r="C258" s="45" t="s">
        <v>375</v>
      </c>
      <c r="D258" s="28" t="s">
        <v>249</v>
      </c>
      <c r="E258" s="37" t="s">
        <v>206</v>
      </c>
      <c r="F258" s="107">
        <f>G258+J258</f>
        <v>285000</v>
      </c>
      <c r="G258" s="107">
        <v>285000</v>
      </c>
      <c r="H258" s="107"/>
      <c r="I258" s="107"/>
      <c r="J258" s="107"/>
      <c r="K258" s="106">
        <f t="shared" si="74"/>
        <v>0</v>
      </c>
      <c r="L258" s="107"/>
      <c r="M258" s="107"/>
      <c r="N258" s="107"/>
      <c r="O258" s="107"/>
      <c r="P258" s="107"/>
      <c r="Q258" s="107">
        <f t="shared" si="61"/>
        <v>285000</v>
      </c>
      <c r="R258" s="229"/>
      <c r="S258" s="41"/>
      <c r="T258" s="41"/>
      <c r="U258" s="41"/>
      <c r="V258" s="41"/>
      <c r="W258" s="41"/>
      <c r="X258" s="41"/>
      <c r="Y258" s="41"/>
      <c r="Z258" s="41"/>
      <c r="AA258" s="41"/>
      <c r="AB258" s="41"/>
      <c r="AC258" s="41"/>
      <c r="AD258" s="41"/>
      <c r="AE258" s="41"/>
    </row>
    <row r="259" spans="1:31" s="14" customFormat="1" ht="55.5" customHeight="1">
      <c r="A259" s="13"/>
      <c r="B259" s="45" t="s">
        <v>162</v>
      </c>
      <c r="C259" s="45" t="s">
        <v>375</v>
      </c>
      <c r="D259" s="28" t="s">
        <v>249</v>
      </c>
      <c r="E259" s="34" t="s">
        <v>538</v>
      </c>
      <c r="F259" s="107">
        <f>G259+J259</f>
        <v>1800390.48</v>
      </c>
      <c r="G259" s="107">
        <f>1622200+110000+25190.48+29000+50000-36000</f>
        <v>1800390.48</v>
      </c>
      <c r="H259" s="107"/>
      <c r="I259" s="106">
        <v>53000</v>
      </c>
      <c r="J259" s="107"/>
      <c r="K259" s="106">
        <f t="shared" si="74"/>
        <v>0</v>
      </c>
      <c r="L259" s="107"/>
      <c r="M259" s="107"/>
      <c r="N259" s="107"/>
      <c r="O259" s="107"/>
      <c r="P259" s="107"/>
      <c r="Q259" s="107">
        <f t="shared" si="61"/>
        <v>1800390.48</v>
      </c>
      <c r="R259" s="229"/>
      <c r="S259" s="41"/>
      <c r="T259" s="41"/>
      <c r="U259" s="41"/>
      <c r="V259" s="41"/>
      <c r="W259" s="41"/>
      <c r="X259" s="41"/>
      <c r="Y259" s="41"/>
      <c r="Z259" s="41"/>
      <c r="AA259" s="41"/>
      <c r="AB259" s="41"/>
      <c r="AC259" s="41"/>
      <c r="AD259" s="41"/>
      <c r="AE259" s="41"/>
    </row>
    <row r="260" spans="1:31" s="14" customFormat="1" ht="15">
      <c r="A260" s="13"/>
      <c r="B260" s="123">
        <v>4118800</v>
      </c>
      <c r="C260" s="123">
        <v>8800</v>
      </c>
      <c r="D260" s="122" t="s">
        <v>249</v>
      </c>
      <c r="E260" s="177" t="s">
        <v>30</v>
      </c>
      <c r="F260" s="106">
        <f>F261</f>
        <v>758500</v>
      </c>
      <c r="G260" s="106">
        <f aca="true" t="shared" si="77" ref="G260:Q260">G261</f>
        <v>758500</v>
      </c>
      <c r="H260" s="106">
        <f t="shared" si="77"/>
        <v>0</v>
      </c>
      <c r="I260" s="106">
        <f t="shared" si="77"/>
        <v>0</v>
      </c>
      <c r="J260" s="106">
        <f t="shared" si="77"/>
        <v>0</v>
      </c>
      <c r="K260" s="106">
        <f t="shared" si="77"/>
        <v>2221500</v>
      </c>
      <c r="L260" s="106">
        <f t="shared" si="77"/>
        <v>0</v>
      </c>
      <c r="M260" s="106">
        <f t="shared" si="77"/>
        <v>0</v>
      </c>
      <c r="N260" s="106">
        <f t="shared" si="77"/>
        <v>0</v>
      </c>
      <c r="O260" s="106">
        <f t="shared" si="77"/>
        <v>2221500</v>
      </c>
      <c r="P260" s="106">
        <f t="shared" si="77"/>
        <v>2221500</v>
      </c>
      <c r="Q260" s="106">
        <f t="shared" si="77"/>
        <v>2980000</v>
      </c>
      <c r="R260" s="229"/>
      <c r="S260" s="41"/>
      <c r="T260" s="41"/>
      <c r="U260" s="41"/>
      <c r="V260" s="41"/>
      <c r="W260" s="41"/>
      <c r="X260" s="41"/>
      <c r="Y260" s="41"/>
      <c r="Z260" s="41"/>
      <c r="AA260" s="41"/>
      <c r="AB260" s="41"/>
      <c r="AC260" s="41"/>
      <c r="AD260" s="41"/>
      <c r="AE260" s="41"/>
    </row>
    <row r="261" spans="1:31" s="14" customFormat="1" ht="41.25" customHeight="1">
      <c r="A261" s="13"/>
      <c r="B261" s="171">
        <v>4118800</v>
      </c>
      <c r="C261" s="171">
        <v>8800</v>
      </c>
      <c r="D261" s="45" t="s">
        <v>249</v>
      </c>
      <c r="E261" s="37" t="s">
        <v>560</v>
      </c>
      <c r="F261" s="110">
        <f>G261+J261</f>
        <v>758500</v>
      </c>
      <c r="G261" s="106">
        <f>250000+508500</f>
        <v>758500</v>
      </c>
      <c r="H261" s="106"/>
      <c r="I261" s="106"/>
      <c r="J261" s="106"/>
      <c r="K261" s="106">
        <f>L261+O261</f>
        <v>2221500</v>
      </c>
      <c r="L261" s="106"/>
      <c r="M261" s="106"/>
      <c r="N261" s="106"/>
      <c r="O261" s="106">
        <f>1730000-508500+1000000</f>
        <v>2221500</v>
      </c>
      <c r="P261" s="106">
        <f>1730000-508500+1000000</f>
        <v>2221500</v>
      </c>
      <c r="Q261" s="106">
        <f t="shared" si="61"/>
        <v>2980000</v>
      </c>
      <c r="R261" s="229"/>
      <c r="S261" s="41"/>
      <c r="T261" s="41"/>
      <c r="U261" s="41"/>
      <c r="V261" s="41"/>
      <c r="W261" s="41"/>
      <c r="X261" s="41"/>
      <c r="Y261" s="41"/>
      <c r="Z261" s="41"/>
      <c r="AA261" s="41"/>
      <c r="AB261" s="41"/>
      <c r="AC261" s="41"/>
      <c r="AD261" s="41"/>
      <c r="AE261" s="41"/>
    </row>
    <row r="262" spans="1:31" s="14" customFormat="1" ht="15">
      <c r="A262" s="13"/>
      <c r="B262" s="122" t="s">
        <v>161</v>
      </c>
      <c r="C262" s="122" t="s">
        <v>363</v>
      </c>
      <c r="D262" s="122" t="s">
        <v>364</v>
      </c>
      <c r="E262" s="161" t="s">
        <v>28</v>
      </c>
      <c r="F262" s="106">
        <f t="shared" si="73"/>
        <v>0</v>
      </c>
      <c r="G262" s="106">
        <f>220000-220000</f>
        <v>0</v>
      </c>
      <c r="H262" s="106"/>
      <c r="I262" s="106"/>
      <c r="J262" s="106"/>
      <c r="K262" s="106">
        <f>L262+O262</f>
        <v>4985460</v>
      </c>
      <c r="L262" s="106">
        <f>160000+620000+500000</f>
        <v>1280000</v>
      </c>
      <c r="M262" s="106"/>
      <c r="N262" s="106"/>
      <c r="O262" s="106">
        <f>880000-620000+3445460</f>
        <v>3705460</v>
      </c>
      <c r="P262" s="106">
        <f>868800-868800</f>
        <v>0</v>
      </c>
      <c r="Q262" s="106">
        <f t="shared" si="61"/>
        <v>4985460</v>
      </c>
      <c r="R262" s="229"/>
      <c r="S262" s="41"/>
      <c r="T262" s="41"/>
      <c r="U262" s="41"/>
      <c r="V262" s="41"/>
      <c r="W262" s="41"/>
      <c r="X262" s="41"/>
      <c r="Y262" s="41"/>
      <c r="Z262" s="41"/>
      <c r="AA262" s="41"/>
      <c r="AB262" s="41"/>
      <c r="AC262" s="41"/>
      <c r="AD262" s="41"/>
      <c r="AE262" s="41"/>
    </row>
    <row r="263" spans="1:31" s="14" customFormat="1" ht="20.25" customHeight="1">
      <c r="A263" s="13"/>
      <c r="B263" s="122" t="s">
        <v>218</v>
      </c>
      <c r="C263" s="122" t="s">
        <v>369</v>
      </c>
      <c r="D263" s="122" t="s">
        <v>352</v>
      </c>
      <c r="E263" s="161" t="s">
        <v>23</v>
      </c>
      <c r="F263" s="106"/>
      <c r="G263" s="106"/>
      <c r="H263" s="106"/>
      <c r="I263" s="106"/>
      <c r="J263" s="106"/>
      <c r="K263" s="106">
        <f>L263+O263</f>
        <v>448267</v>
      </c>
      <c r="L263" s="106">
        <f>220267+88000+80000</f>
        <v>388267</v>
      </c>
      <c r="M263" s="106"/>
      <c r="N263" s="106"/>
      <c r="O263" s="106">
        <f>88000-88000+60000</f>
        <v>60000</v>
      </c>
      <c r="P263" s="106"/>
      <c r="Q263" s="106">
        <f t="shared" si="61"/>
        <v>448267</v>
      </c>
      <c r="R263" s="229"/>
      <c r="S263" s="41"/>
      <c r="T263" s="41"/>
      <c r="U263" s="41"/>
      <c r="V263" s="41"/>
      <c r="W263" s="41"/>
      <c r="X263" s="41"/>
      <c r="Y263" s="41"/>
      <c r="Z263" s="41"/>
      <c r="AA263" s="41"/>
      <c r="AB263" s="41"/>
      <c r="AC263" s="41"/>
      <c r="AD263" s="41"/>
      <c r="AE263" s="41"/>
    </row>
    <row r="264" spans="1:31" s="14" customFormat="1" ht="68.25" customHeight="1">
      <c r="A264" s="13"/>
      <c r="B264" s="76" t="s">
        <v>508</v>
      </c>
      <c r="C264" s="76" t="s">
        <v>370</v>
      </c>
      <c r="D264" s="76" t="s">
        <v>371</v>
      </c>
      <c r="E264" s="161" t="s">
        <v>21</v>
      </c>
      <c r="F264" s="106">
        <f>G264+J264</f>
        <v>0</v>
      </c>
      <c r="G264" s="106"/>
      <c r="H264" s="106"/>
      <c r="I264" s="106"/>
      <c r="J264" s="106"/>
      <c r="K264" s="106">
        <f>L264+O264</f>
        <v>4751003.18</v>
      </c>
      <c r="L264" s="106">
        <f>4580000-4500000+171003.18</f>
        <v>251003.18</v>
      </c>
      <c r="M264" s="106"/>
      <c r="N264" s="106"/>
      <c r="O264" s="106">
        <f>4500000</f>
        <v>4500000</v>
      </c>
      <c r="P264" s="106"/>
      <c r="Q264" s="106">
        <f t="shared" si="61"/>
        <v>4751003.18</v>
      </c>
      <c r="R264" s="229"/>
      <c r="S264" s="41"/>
      <c r="T264" s="41"/>
      <c r="U264" s="41"/>
      <c r="V264" s="41"/>
      <c r="W264" s="41"/>
      <c r="X264" s="41"/>
      <c r="Y264" s="41"/>
      <c r="Z264" s="41"/>
      <c r="AA264" s="41"/>
      <c r="AB264" s="41"/>
      <c r="AC264" s="41"/>
      <c r="AD264" s="41"/>
      <c r="AE264" s="41"/>
    </row>
    <row r="265" spans="1:31" s="104" customFormat="1" ht="33" customHeight="1">
      <c r="A265" s="101"/>
      <c r="B265" s="112" t="s">
        <v>166</v>
      </c>
      <c r="C265" s="112"/>
      <c r="D265" s="112"/>
      <c r="E265" s="16" t="s">
        <v>227</v>
      </c>
      <c r="F265" s="111">
        <f>F266</f>
        <v>10577794.67</v>
      </c>
      <c r="G265" s="111">
        <f aca="true" t="shared" si="78" ref="G265:P265">G266</f>
        <v>9577794.67</v>
      </c>
      <c r="H265" s="111">
        <f t="shared" si="78"/>
        <v>6314745</v>
      </c>
      <c r="I265" s="111">
        <f t="shared" si="78"/>
        <v>255000</v>
      </c>
      <c r="J265" s="111">
        <f t="shared" si="78"/>
        <v>1000000</v>
      </c>
      <c r="K265" s="111">
        <f t="shared" si="78"/>
        <v>164343.33000000002</v>
      </c>
      <c r="L265" s="111">
        <f t="shared" si="78"/>
        <v>14343.33</v>
      </c>
      <c r="M265" s="111">
        <f t="shared" si="78"/>
        <v>0</v>
      </c>
      <c r="N265" s="111">
        <f t="shared" si="78"/>
        <v>0</v>
      </c>
      <c r="O265" s="111">
        <f t="shared" si="78"/>
        <v>150000</v>
      </c>
      <c r="P265" s="111">
        <f t="shared" si="78"/>
        <v>150000</v>
      </c>
      <c r="Q265" s="111">
        <f t="shared" si="61"/>
        <v>10742138</v>
      </c>
      <c r="R265" s="229"/>
      <c r="S265" s="103"/>
      <c r="T265" s="103"/>
      <c r="U265" s="103"/>
      <c r="V265" s="103"/>
      <c r="W265" s="103"/>
      <c r="X265" s="103"/>
      <c r="Y265" s="103"/>
      <c r="Z265" s="103"/>
      <c r="AA265" s="103"/>
      <c r="AB265" s="103"/>
      <c r="AC265" s="103"/>
      <c r="AD265" s="103"/>
      <c r="AE265" s="103"/>
    </row>
    <row r="266" spans="1:31" s="104" customFormat="1" ht="31.5" customHeight="1">
      <c r="A266" s="101"/>
      <c r="B266" s="114" t="s">
        <v>165</v>
      </c>
      <c r="C266" s="114"/>
      <c r="D266" s="114"/>
      <c r="E266" s="118" t="s">
        <v>227</v>
      </c>
      <c r="F266" s="116">
        <f>F267+F270+F268+F269</f>
        <v>10577794.67</v>
      </c>
      <c r="G266" s="116">
        <f aca="true" t="shared" si="79" ref="G266:P266">G267+G270+G268+G269</f>
        <v>9577794.67</v>
      </c>
      <c r="H266" s="116">
        <f t="shared" si="79"/>
        <v>6314745</v>
      </c>
      <c r="I266" s="116">
        <f t="shared" si="79"/>
        <v>255000</v>
      </c>
      <c r="J266" s="116">
        <f t="shared" si="79"/>
        <v>1000000</v>
      </c>
      <c r="K266" s="116">
        <f t="shared" si="79"/>
        <v>164343.33000000002</v>
      </c>
      <c r="L266" s="116">
        <f t="shared" si="79"/>
        <v>14343.33</v>
      </c>
      <c r="M266" s="116">
        <f t="shared" si="79"/>
        <v>0</v>
      </c>
      <c r="N266" s="116">
        <f t="shared" si="79"/>
        <v>0</v>
      </c>
      <c r="O266" s="116">
        <f t="shared" si="79"/>
        <v>150000</v>
      </c>
      <c r="P266" s="116">
        <f t="shared" si="79"/>
        <v>150000</v>
      </c>
      <c r="Q266" s="116">
        <f t="shared" si="61"/>
        <v>10742138</v>
      </c>
      <c r="R266" s="229"/>
      <c r="S266" s="103"/>
      <c r="T266" s="103"/>
      <c r="U266" s="103"/>
      <c r="V266" s="103"/>
      <c r="W266" s="103"/>
      <c r="X266" s="103"/>
      <c r="Y266" s="103"/>
      <c r="Z266" s="103"/>
      <c r="AA266" s="103"/>
      <c r="AB266" s="103"/>
      <c r="AC266" s="103"/>
      <c r="AD266" s="103"/>
      <c r="AE266" s="103"/>
    </row>
    <row r="267" spans="1:31" s="14" customFormat="1" ht="27">
      <c r="A267" s="22"/>
      <c r="B267" s="26" t="s">
        <v>164</v>
      </c>
      <c r="C267" s="26" t="s">
        <v>249</v>
      </c>
      <c r="D267" s="26" t="s">
        <v>250</v>
      </c>
      <c r="E267" s="23" t="s">
        <v>520</v>
      </c>
      <c r="F267" s="106">
        <f>G267+J267</f>
        <v>8491838</v>
      </c>
      <c r="G267" s="106">
        <f>6853500+30100-81000+1513+9887+663646+80000+870192+64000</f>
        <v>8491838</v>
      </c>
      <c r="H267" s="106">
        <f>5057500+543972+713273</f>
        <v>6314745</v>
      </c>
      <c r="I267" s="106">
        <f>224900+30100</f>
        <v>255000</v>
      </c>
      <c r="J267" s="106"/>
      <c r="K267" s="106">
        <f>L267+O267</f>
        <v>100000</v>
      </c>
      <c r="L267" s="106"/>
      <c r="M267" s="106"/>
      <c r="N267" s="106"/>
      <c r="O267" s="106">
        <v>100000</v>
      </c>
      <c r="P267" s="106">
        <v>100000</v>
      </c>
      <c r="Q267" s="106">
        <f t="shared" si="61"/>
        <v>8591838</v>
      </c>
      <c r="R267" s="229"/>
      <c r="S267" s="41"/>
      <c r="T267" s="41"/>
      <c r="U267" s="41"/>
      <c r="V267" s="41"/>
      <c r="W267" s="41"/>
      <c r="X267" s="41"/>
      <c r="Y267" s="41"/>
      <c r="Z267" s="41"/>
      <c r="AA267" s="41"/>
      <c r="AB267" s="41"/>
      <c r="AC267" s="41"/>
      <c r="AD267" s="41"/>
      <c r="AE267" s="41"/>
    </row>
    <row r="268" spans="1:31" s="14" customFormat="1" ht="25.5" customHeight="1">
      <c r="A268" s="13"/>
      <c r="B268" s="122" t="s">
        <v>168</v>
      </c>
      <c r="C268" s="122" t="s">
        <v>413</v>
      </c>
      <c r="D268" s="122" t="s">
        <v>330</v>
      </c>
      <c r="E268" s="161" t="s">
        <v>157</v>
      </c>
      <c r="F268" s="106">
        <f>G268+J268</f>
        <v>228956.66999999998</v>
      </c>
      <c r="G268" s="106">
        <f>28000+296656.67+3300+45000-80000-64000</f>
        <v>228956.66999999998</v>
      </c>
      <c r="H268" s="106"/>
      <c r="I268" s="106"/>
      <c r="J268" s="106"/>
      <c r="K268" s="106">
        <f>L268+O268</f>
        <v>64343.33</v>
      </c>
      <c r="L268" s="106">
        <v>14343.33</v>
      </c>
      <c r="M268" s="106"/>
      <c r="N268" s="106"/>
      <c r="O268" s="106">
        <f>50000</f>
        <v>50000</v>
      </c>
      <c r="P268" s="106">
        <f>50000</f>
        <v>50000</v>
      </c>
      <c r="Q268" s="106">
        <f>F268+K268</f>
        <v>293300</v>
      </c>
      <c r="R268" s="229"/>
      <c r="S268" s="41"/>
      <c r="T268" s="41"/>
      <c r="U268" s="41"/>
      <c r="V268" s="41"/>
      <c r="W268" s="41"/>
      <c r="X268" s="41"/>
      <c r="Y268" s="41"/>
      <c r="Z268" s="41"/>
      <c r="AA268" s="41"/>
      <c r="AB268" s="41"/>
      <c r="AC268" s="41"/>
      <c r="AD268" s="41"/>
      <c r="AE268" s="41"/>
    </row>
    <row r="269" spans="1:31" s="14" customFormat="1" ht="15">
      <c r="A269" s="13"/>
      <c r="B269" s="76" t="s">
        <v>421</v>
      </c>
      <c r="C269" s="76" t="s">
        <v>345</v>
      </c>
      <c r="D269" s="76" t="s">
        <v>346</v>
      </c>
      <c r="E269" s="161" t="s">
        <v>58</v>
      </c>
      <c r="F269" s="106">
        <f>G269+J269</f>
        <v>1227000</v>
      </c>
      <c r="G269" s="106">
        <f>227000</f>
        <v>227000</v>
      </c>
      <c r="H269" s="106"/>
      <c r="I269" s="106"/>
      <c r="J269" s="106">
        <v>1000000</v>
      </c>
      <c r="K269" s="106"/>
      <c r="L269" s="106"/>
      <c r="M269" s="106"/>
      <c r="N269" s="106"/>
      <c r="O269" s="106"/>
      <c r="P269" s="106"/>
      <c r="Q269" s="106">
        <f t="shared" si="61"/>
        <v>1227000</v>
      </c>
      <c r="R269" s="229"/>
      <c r="S269" s="41"/>
      <c r="T269" s="41"/>
      <c r="U269" s="41"/>
      <c r="V269" s="41"/>
      <c r="W269" s="41"/>
      <c r="X269" s="41"/>
      <c r="Y269" s="41"/>
      <c r="Z269" s="41"/>
      <c r="AA269" s="41"/>
      <c r="AB269" s="41"/>
      <c r="AC269" s="41"/>
      <c r="AD269" s="41"/>
      <c r="AE269" s="41"/>
    </row>
    <row r="270" spans="1:31" s="14" customFormat="1" ht="30" customHeight="1">
      <c r="A270" s="13"/>
      <c r="B270" s="76" t="s">
        <v>169</v>
      </c>
      <c r="C270" s="76" t="s">
        <v>375</v>
      </c>
      <c r="D270" s="76" t="s">
        <v>371</v>
      </c>
      <c r="E270" s="161" t="s">
        <v>16</v>
      </c>
      <c r="F270" s="106">
        <f>F271</f>
        <v>630000</v>
      </c>
      <c r="G270" s="106">
        <f aca="true" t="shared" si="80" ref="G270:P270">G271</f>
        <v>630000</v>
      </c>
      <c r="H270" s="106">
        <f t="shared" si="80"/>
        <v>0</v>
      </c>
      <c r="I270" s="106">
        <f t="shared" si="80"/>
        <v>0</v>
      </c>
      <c r="J270" s="106">
        <f t="shared" si="80"/>
        <v>0</v>
      </c>
      <c r="K270" s="106">
        <f t="shared" si="80"/>
        <v>0</v>
      </c>
      <c r="L270" s="106">
        <f t="shared" si="80"/>
        <v>0</v>
      </c>
      <c r="M270" s="106">
        <f t="shared" si="80"/>
        <v>0</v>
      </c>
      <c r="N270" s="106">
        <f t="shared" si="80"/>
        <v>0</v>
      </c>
      <c r="O270" s="106">
        <f t="shared" si="80"/>
        <v>0</v>
      </c>
      <c r="P270" s="106">
        <f t="shared" si="80"/>
        <v>0</v>
      </c>
      <c r="Q270" s="106">
        <f t="shared" si="61"/>
        <v>630000</v>
      </c>
      <c r="R270" s="229"/>
      <c r="S270" s="41"/>
      <c r="T270" s="41"/>
      <c r="U270" s="41"/>
      <c r="V270" s="41"/>
      <c r="W270" s="41"/>
      <c r="X270" s="41"/>
      <c r="Y270" s="41"/>
      <c r="Z270" s="41"/>
      <c r="AA270" s="41"/>
      <c r="AB270" s="41"/>
      <c r="AC270" s="41"/>
      <c r="AD270" s="41"/>
      <c r="AE270" s="41"/>
    </row>
    <row r="271" spans="1:31" s="33" customFormat="1" ht="82.5" customHeight="1">
      <c r="A271" s="32"/>
      <c r="B271" s="45" t="s">
        <v>169</v>
      </c>
      <c r="C271" s="45" t="s">
        <v>375</v>
      </c>
      <c r="D271" s="28" t="s">
        <v>371</v>
      </c>
      <c r="E271" s="29" t="s">
        <v>539</v>
      </c>
      <c r="F271" s="107">
        <f>G271+J271</f>
        <v>630000</v>
      </c>
      <c r="G271" s="107">
        <f>430000+200000</f>
        <v>630000</v>
      </c>
      <c r="H271" s="107"/>
      <c r="I271" s="107"/>
      <c r="J271" s="107"/>
      <c r="K271" s="107"/>
      <c r="L271" s="107"/>
      <c r="M271" s="107"/>
      <c r="N271" s="107"/>
      <c r="O271" s="107"/>
      <c r="P271" s="107"/>
      <c r="Q271" s="107">
        <f t="shared" si="61"/>
        <v>630000</v>
      </c>
      <c r="R271" s="229">
        <v>27</v>
      </c>
      <c r="S271" s="31"/>
      <c r="T271" s="31"/>
      <c r="U271" s="31"/>
      <c r="V271" s="31"/>
      <c r="W271" s="31"/>
      <c r="X271" s="31"/>
      <c r="Y271" s="31"/>
      <c r="Z271" s="31"/>
      <c r="AA271" s="31"/>
      <c r="AB271" s="31"/>
      <c r="AC271" s="31"/>
      <c r="AD271" s="31"/>
      <c r="AE271" s="31"/>
    </row>
    <row r="272" spans="1:31" s="164" customFormat="1" ht="35.25" customHeight="1">
      <c r="A272" s="162"/>
      <c r="B272" s="102">
        <v>4600000</v>
      </c>
      <c r="C272" s="102"/>
      <c r="D272" s="102"/>
      <c r="E272" s="16" t="s">
        <v>244</v>
      </c>
      <c r="F272" s="111">
        <f>F273</f>
        <v>1498178</v>
      </c>
      <c r="G272" s="111">
        <f aca="true" t="shared" si="81" ref="G272:P273">G273</f>
        <v>1498178</v>
      </c>
      <c r="H272" s="111">
        <f t="shared" si="81"/>
        <v>1112070</v>
      </c>
      <c r="I272" s="111">
        <f t="shared" si="81"/>
        <v>37200</v>
      </c>
      <c r="J272" s="111">
        <f t="shared" si="81"/>
        <v>0</v>
      </c>
      <c r="K272" s="111">
        <f t="shared" si="81"/>
        <v>12000</v>
      </c>
      <c r="L272" s="111">
        <f t="shared" si="81"/>
        <v>0</v>
      </c>
      <c r="M272" s="111">
        <f t="shared" si="81"/>
        <v>0</v>
      </c>
      <c r="N272" s="111">
        <f t="shared" si="81"/>
        <v>0</v>
      </c>
      <c r="O272" s="111">
        <f t="shared" si="81"/>
        <v>12000</v>
      </c>
      <c r="P272" s="111">
        <f t="shared" si="81"/>
        <v>12000</v>
      </c>
      <c r="Q272" s="111">
        <f t="shared" si="61"/>
        <v>1510178</v>
      </c>
      <c r="R272" s="229"/>
      <c r="S272" s="163"/>
      <c r="T272" s="163"/>
      <c r="U272" s="163"/>
      <c r="V272" s="163"/>
      <c r="W272" s="163"/>
      <c r="X272" s="163"/>
      <c r="Y272" s="163"/>
      <c r="Z272" s="163"/>
      <c r="AA272" s="163"/>
      <c r="AB272" s="163"/>
      <c r="AC272" s="163"/>
      <c r="AD272" s="163"/>
      <c r="AE272" s="163"/>
    </row>
    <row r="273" spans="1:31" s="164" customFormat="1" ht="36.75" customHeight="1">
      <c r="A273" s="162"/>
      <c r="B273" s="119">
        <v>4610000</v>
      </c>
      <c r="C273" s="119"/>
      <c r="D273" s="119"/>
      <c r="E273" s="118" t="s">
        <v>244</v>
      </c>
      <c r="F273" s="116">
        <f>F274</f>
        <v>1498178</v>
      </c>
      <c r="G273" s="116">
        <f t="shared" si="81"/>
        <v>1498178</v>
      </c>
      <c r="H273" s="116">
        <f t="shared" si="81"/>
        <v>1112070</v>
      </c>
      <c r="I273" s="116">
        <f t="shared" si="81"/>
        <v>37200</v>
      </c>
      <c r="J273" s="116">
        <f t="shared" si="81"/>
        <v>0</v>
      </c>
      <c r="K273" s="116">
        <f t="shared" si="81"/>
        <v>12000</v>
      </c>
      <c r="L273" s="116">
        <f t="shared" si="81"/>
        <v>0</v>
      </c>
      <c r="M273" s="116">
        <f t="shared" si="81"/>
        <v>0</v>
      </c>
      <c r="N273" s="116">
        <f t="shared" si="81"/>
        <v>0</v>
      </c>
      <c r="O273" s="116">
        <f t="shared" si="81"/>
        <v>12000</v>
      </c>
      <c r="P273" s="116">
        <f t="shared" si="81"/>
        <v>12000</v>
      </c>
      <c r="Q273" s="116">
        <f t="shared" si="61"/>
        <v>1510178</v>
      </c>
      <c r="R273" s="229"/>
      <c r="S273" s="163"/>
      <c r="T273" s="163"/>
      <c r="U273" s="163"/>
      <c r="V273" s="163"/>
      <c r="W273" s="163"/>
      <c r="X273" s="163"/>
      <c r="Y273" s="163"/>
      <c r="Z273" s="163"/>
      <c r="AA273" s="163"/>
      <c r="AB273" s="163"/>
      <c r="AC273" s="163"/>
      <c r="AD273" s="163"/>
      <c r="AE273" s="163"/>
    </row>
    <row r="274" spans="1:31" s="14" customFormat="1" ht="27">
      <c r="A274" s="13"/>
      <c r="B274" s="122" t="s">
        <v>241</v>
      </c>
      <c r="C274" s="122" t="s">
        <v>249</v>
      </c>
      <c r="D274" s="122" t="s">
        <v>250</v>
      </c>
      <c r="E274" s="161" t="s">
        <v>520</v>
      </c>
      <c r="F274" s="106">
        <f>G274+J274</f>
        <v>1498178</v>
      </c>
      <c r="G274" s="106">
        <f>1164500+600-14500+20000+318018+9560</f>
        <v>1498178</v>
      </c>
      <c r="H274" s="106">
        <f>851400+260670</f>
        <v>1112070</v>
      </c>
      <c r="I274" s="106">
        <f>36600+600</f>
        <v>37200</v>
      </c>
      <c r="J274" s="106"/>
      <c r="K274" s="106">
        <f>L274+O274</f>
        <v>12000</v>
      </c>
      <c r="L274" s="106"/>
      <c r="M274" s="106"/>
      <c r="N274" s="106"/>
      <c r="O274" s="106">
        <v>12000</v>
      </c>
      <c r="P274" s="106">
        <v>12000</v>
      </c>
      <c r="Q274" s="106">
        <f t="shared" si="61"/>
        <v>1510178</v>
      </c>
      <c r="R274" s="229"/>
      <c r="S274" s="41"/>
      <c r="T274" s="41"/>
      <c r="U274" s="41"/>
      <c r="V274" s="41"/>
      <c r="W274" s="41"/>
      <c r="X274" s="41"/>
      <c r="Y274" s="41"/>
      <c r="Z274" s="41"/>
      <c r="AA274" s="41"/>
      <c r="AB274" s="41"/>
      <c r="AC274" s="41"/>
      <c r="AD274" s="41"/>
      <c r="AE274" s="41"/>
    </row>
    <row r="275" spans="1:31" s="104" customFormat="1" ht="39.75" customHeight="1">
      <c r="A275" s="101"/>
      <c r="B275" s="112" t="s">
        <v>171</v>
      </c>
      <c r="C275" s="112"/>
      <c r="D275" s="112"/>
      <c r="E275" s="16" t="s">
        <v>170</v>
      </c>
      <c r="F275" s="111">
        <f>F276</f>
        <v>80471900</v>
      </c>
      <c r="G275" s="111">
        <f aca="true" t="shared" si="82" ref="G275:P275">G276</f>
        <v>80471900</v>
      </c>
      <c r="H275" s="111">
        <f t="shared" si="82"/>
        <v>0</v>
      </c>
      <c r="I275" s="111">
        <f t="shared" si="82"/>
        <v>0</v>
      </c>
      <c r="J275" s="111">
        <f t="shared" si="82"/>
        <v>0</v>
      </c>
      <c r="K275" s="111">
        <f t="shared" si="82"/>
        <v>296451111.0900001</v>
      </c>
      <c r="L275" s="111">
        <f t="shared" si="82"/>
        <v>3819310.46</v>
      </c>
      <c r="M275" s="111">
        <f t="shared" si="82"/>
        <v>2060972</v>
      </c>
      <c r="N275" s="111">
        <f t="shared" si="82"/>
        <v>85300</v>
      </c>
      <c r="O275" s="111">
        <f t="shared" si="82"/>
        <v>292631800.63000005</v>
      </c>
      <c r="P275" s="111">
        <f t="shared" si="82"/>
        <v>286109999</v>
      </c>
      <c r="Q275" s="111">
        <f t="shared" si="61"/>
        <v>376923011.0900001</v>
      </c>
      <c r="R275" s="229"/>
      <c r="S275" s="103"/>
      <c r="T275" s="103"/>
      <c r="U275" s="103"/>
      <c r="V275" s="103"/>
      <c r="W275" s="103"/>
      <c r="X275" s="103"/>
      <c r="Y275" s="103"/>
      <c r="Z275" s="103"/>
      <c r="AA275" s="103"/>
      <c r="AB275" s="103"/>
      <c r="AC275" s="103"/>
      <c r="AD275" s="103"/>
      <c r="AE275" s="103"/>
    </row>
    <row r="276" spans="1:31" s="164" customFormat="1" ht="35.25" customHeight="1">
      <c r="A276" s="162"/>
      <c r="B276" s="114" t="s">
        <v>172</v>
      </c>
      <c r="C276" s="114"/>
      <c r="D276" s="114"/>
      <c r="E276" s="118" t="s">
        <v>170</v>
      </c>
      <c r="F276" s="116">
        <f>F278+F279+F281+F288+F290+F287+F291+F283+F286+F285+F292</f>
        <v>80471900</v>
      </c>
      <c r="G276" s="116">
        <f aca="true" t="shared" si="83" ref="G276:Q276">G278+G279+G281+G288+G290+G287+G291+G283+G286+G285+G292</f>
        <v>80471900</v>
      </c>
      <c r="H276" s="116">
        <f t="shared" si="83"/>
        <v>0</v>
      </c>
      <c r="I276" s="116">
        <f t="shared" si="83"/>
        <v>0</v>
      </c>
      <c r="J276" s="116">
        <f t="shared" si="83"/>
        <v>0</v>
      </c>
      <c r="K276" s="116">
        <f t="shared" si="83"/>
        <v>296451111.0900001</v>
      </c>
      <c r="L276" s="116">
        <f t="shared" si="83"/>
        <v>3819310.46</v>
      </c>
      <c r="M276" s="116">
        <f t="shared" si="83"/>
        <v>2060972</v>
      </c>
      <c r="N276" s="116">
        <f t="shared" si="83"/>
        <v>85300</v>
      </c>
      <c r="O276" s="116">
        <f t="shared" si="83"/>
        <v>292631800.63000005</v>
      </c>
      <c r="P276" s="116">
        <f t="shared" si="83"/>
        <v>286109999</v>
      </c>
      <c r="Q276" s="116">
        <f t="shared" si="83"/>
        <v>376923011.09000003</v>
      </c>
      <c r="R276" s="229"/>
      <c r="S276" s="163"/>
      <c r="T276" s="163"/>
      <c r="U276" s="163"/>
      <c r="V276" s="163"/>
      <c r="W276" s="163"/>
      <c r="X276" s="163"/>
      <c r="Y276" s="163"/>
      <c r="Z276" s="163"/>
      <c r="AA276" s="163"/>
      <c r="AB276" s="163"/>
      <c r="AC276" s="163"/>
      <c r="AD276" s="163"/>
      <c r="AE276" s="163"/>
    </row>
    <row r="277" spans="1:31" s="164" customFormat="1" ht="15.75" customHeight="1">
      <c r="A277" s="162"/>
      <c r="B277" s="114"/>
      <c r="C277" s="114"/>
      <c r="D277" s="114"/>
      <c r="E277" s="29" t="s">
        <v>510</v>
      </c>
      <c r="F277" s="116">
        <f>F282+F280</f>
        <v>0</v>
      </c>
      <c r="G277" s="116">
        <f aca="true" t="shared" si="84" ref="G277:Q277">G282+G280</f>
        <v>0</v>
      </c>
      <c r="H277" s="116">
        <f t="shared" si="84"/>
        <v>0</v>
      </c>
      <c r="I277" s="116">
        <f t="shared" si="84"/>
        <v>0</v>
      </c>
      <c r="J277" s="116">
        <f t="shared" si="84"/>
        <v>0</v>
      </c>
      <c r="K277" s="116">
        <f t="shared" si="84"/>
        <v>3914000</v>
      </c>
      <c r="L277" s="116">
        <f t="shared" si="84"/>
        <v>0</v>
      </c>
      <c r="M277" s="116">
        <f t="shared" si="84"/>
        <v>0</v>
      </c>
      <c r="N277" s="116">
        <f t="shared" si="84"/>
        <v>0</v>
      </c>
      <c r="O277" s="116">
        <f t="shared" si="84"/>
        <v>3914000</v>
      </c>
      <c r="P277" s="116">
        <f t="shared" si="84"/>
        <v>3414000</v>
      </c>
      <c r="Q277" s="116">
        <f t="shared" si="84"/>
        <v>3914000</v>
      </c>
      <c r="R277" s="229"/>
      <c r="S277" s="163"/>
      <c r="T277" s="163"/>
      <c r="U277" s="163"/>
      <c r="V277" s="163"/>
      <c r="W277" s="163"/>
      <c r="X277" s="163"/>
      <c r="Y277" s="163"/>
      <c r="Z277" s="163"/>
      <c r="AA277" s="163"/>
      <c r="AB277" s="163"/>
      <c r="AC277" s="163"/>
      <c r="AD277" s="163"/>
      <c r="AE277" s="163"/>
    </row>
    <row r="278" spans="1:31" s="14" customFormat="1" ht="27">
      <c r="A278" s="145"/>
      <c r="B278" s="98" t="s">
        <v>173</v>
      </c>
      <c r="C278" s="98" t="s">
        <v>249</v>
      </c>
      <c r="D278" s="98" t="s">
        <v>250</v>
      </c>
      <c r="E278" s="99" t="s">
        <v>520</v>
      </c>
      <c r="F278" s="106">
        <f>G278+J278</f>
        <v>0</v>
      </c>
      <c r="G278" s="106"/>
      <c r="H278" s="106"/>
      <c r="I278" s="106"/>
      <c r="J278" s="106"/>
      <c r="K278" s="106">
        <f>L278+O278</f>
        <v>4047000</v>
      </c>
      <c r="L278" s="106">
        <v>3766500</v>
      </c>
      <c r="M278" s="106">
        <f>1911000+149972</f>
        <v>2060972</v>
      </c>
      <c r="N278" s="106">
        <f>72300+13000</f>
        <v>85300</v>
      </c>
      <c r="O278" s="106">
        <v>280500</v>
      </c>
      <c r="P278" s="106"/>
      <c r="Q278" s="106">
        <f t="shared" si="61"/>
        <v>4047000</v>
      </c>
      <c r="R278" s="229"/>
      <c r="S278" s="41"/>
      <c r="T278" s="41"/>
      <c r="U278" s="41"/>
      <c r="V278" s="41"/>
      <c r="W278" s="41"/>
      <c r="X278" s="41"/>
      <c r="Y278" s="41"/>
      <c r="Z278" s="41"/>
      <c r="AA278" s="41"/>
      <c r="AB278" s="41"/>
      <c r="AC278" s="41"/>
      <c r="AD278" s="41"/>
      <c r="AE278" s="41"/>
    </row>
    <row r="279" spans="1:31" s="14" customFormat="1" ht="24.75" customHeight="1">
      <c r="A279" s="13"/>
      <c r="B279" s="122" t="s">
        <v>174</v>
      </c>
      <c r="C279" s="122" t="s">
        <v>300</v>
      </c>
      <c r="D279" s="122" t="s">
        <v>299</v>
      </c>
      <c r="E279" s="161" t="s">
        <v>17</v>
      </c>
      <c r="F279" s="106">
        <f>G279+J279</f>
        <v>80387000</v>
      </c>
      <c r="G279" s="106">
        <f>45168000-15000000+5000000+2070000+32930000-1000000-60000+11279000</f>
        <v>80387000</v>
      </c>
      <c r="H279" s="106"/>
      <c r="I279" s="106"/>
      <c r="J279" s="106"/>
      <c r="K279" s="106">
        <f>L279+O279</f>
        <v>123191598</v>
      </c>
      <c r="L279" s="106"/>
      <c r="M279" s="106"/>
      <c r="N279" s="106"/>
      <c r="O279" s="106">
        <f>62165698+12000000-12000000+19609036.18+21390963.82-2000000-5000000+5500000+9000000+20000+5900+4650000+200000+1900000+5500000+250000+43500+1450000-1493500</f>
        <v>123191598</v>
      </c>
      <c r="P279" s="106">
        <f>62165698+12000000-12000000+19609036.18+21390963.82-2000000-5000000+5500000+9000000+20000+5900+4650000+200000+1900000+5500000+250000+43500+1450000-43500-1450000</f>
        <v>123191598</v>
      </c>
      <c r="Q279" s="106">
        <f t="shared" si="61"/>
        <v>203578598</v>
      </c>
      <c r="R279" s="229"/>
      <c r="S279" s="41"/>
      <c r="T279" s="41"/>
      <c r="U279" s="41"/>
      <c r="V279" s="41"/>
      <c r="W279" s="41"/>
      <c r="X279" s="41"/>
      <c r="Y279" s="41"/>
      <c r="Z279" s="41"/>
      <c r="AA279" s="41"/>
      <c r="AB279" s="41"/>
      <c r="AC279" s="41"/>
      <c r="AD279" s="41"/>
      <c r="AE279" s="41"/>
    </row>
    <row r="280" spans="1:31" s="14" customFormat="1" ht="24.75" customHeight="1">
      <c r="A280" s="13"/>
      <c r="B280" s="122"/>
      <c r="C280" s="122"/>
      <c r="D280" s="122"/>
      <c r="E280" s="161" t="s">
        <v>510</v>
      </c>
      <c r="F280" s="106">
        <f>G280+J280</f>
        <v>0</v>
      </c>
      <c r="G280" s="106"/>
      <c r="H280" s="106"/>
      <c r="I280" s="106"/>
      <c r="J280" s="106"/>
      <c r="K280" s="106">
        <f>L280+O280</f>
        <v>0</v>
      </c>
      <c r="L280" s="106"/>
      <c r="M280" s="106"/>
      <c r="N280" s="106"/>
      <c r="O280" s="106">
        <f>1450000-1450000</f>
        <v>0</v>
      </c>
      <c r="P280" s="106">
        <f>1450000-1450000</f>
        <v>0</v>
      </c>
      <c r="Q280" s="106">
        <f t="shared" si="61"/>
        <v>0</v>
      </c>
      <c r="R280" s="229"/>
      <c r="S280" s="41"/>
      <c r="T280" s="41"/>
      <c r="U280" s="41"/>
      <c r="V280" s="41"/>
      <c r="W280" s="41"/>
      <c r="X280" s="41"/>
      <c r="Y280" s="41"/>
      <c r="Z280" s="41"/>
      <c r="AA280" s="41"/>
      <c r="AB280" s="41"/>
      <c r="AC280" s="41"/>
      <c r="AD280" s="41"/>
      <c r="AE280" s="41"/>
    </row>
    <row r="281" spans="1:31" s="14" customFormat="1" ht="15">
      <c r="A281" s="13"/>
      <c r="B281" s="122" t="s">
        <v>175</v>
      </c>
      <c r="C281" s="122" t="s">
        <v>325</v>
      </c>
      <c r="D281" s="122" t="s">
        <v>326</v>
      </c>
      <c r="E281" s="161" t="s">
        <v>167</v>
      </c>
      <c r="F281" s="106">
        <f>G281+J281</f>
        <v>0</v>
      </c>
      <c r="G281" s="106"/>
      <c r="H281" s="106"/>
      <c r="I281" s="106"/>
      <c r="J281" s="106"/>
      <c r="K281" s="106">
        <f>L281+O281</f>
        <v>117136301</v>
      </c>
      <c r="L281" s="106"/>
      <c r="M281" s="106"/>
      <c r="N281" s="106"/>
      <c r="O281" s="106">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f>
        <v>117136301</v>
      </c>
      <c r="P281" s="106">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+59000-500000</f>
        <v>116636301</v>
      </c>
      <c r="Q281" s="106">
        <f t="shared" si="61"/>
        <v>117136301</v>
      </c>
      <c r="R281" s="229"/>
      <c r="S281" s="41"/>
      <c r="T281" s="41"/>
      <c r="U281" s="41"/>
      <c r="V281" s="41"/>
      <c r="W281" s="41"/>
      <c r="X281" s="41"/>
      <c r="Y281" s="41"/>
      <c r="Z281" s="41"/>
      <c r="AA281" s="41"/>
      <c r="AB281" s="41"/>
      <c r="AC281" s="41"/>
      <c r="AD281" s="41"/>
      <c r="AE281" s="41"/>
    </row>
    <row r="282" spans="1:31" s="14" customFormat="1" ht="15">
      <c r="A282" s="13"/>
      <c r="B282" s="122"/>
      <c r="C282" s="122"/>
      <c r="D282" s="122"/>
      <c r="E282" s="161" t="s">
        <v>510</v>
      </c>
      <c r="F282" s="106">
        <f>G282+J282</f>
        <v>0</v>
      </c>
      <c r="G282" s="106"/>
      <c r="H282" s="106"/>
      <c r="I282" s="106"/>
      <c r="J282" s="106"/>
      <c r="K282" s="106">
        <f>L282+O282</f>
        <v>3914000</v>
      </c>
      <c r="L282" s="106"/>
      <c r="M282" s="106"/>
      <c r="N282" s="106"/>
      <c r="O282" s="106">
        <f>4839000-1425000+500000</f>
        <v>3914000</v>
      </c>
      <c r="P282" s="106">
        <f>4839000-1425000+500000-500000</f>
        <v>3414000</v>
      </c>
      <c r="Q282" s="106">
        <f t="shared" si="61"/>
        <v>3914000</v>
      </c>
      <c r="R282" s="229"/>
      <c r="S282" s="41"/>
      <c r="T282" s="41"/>
      <c r="U282" s="41"/>
      <c r="V282" s="41"/>
      <c r="W282" s="41"/>
      <c r="X282" s="41"/>
      <c r="Y282" s="41"/>
      <c r="Z282" s="41"/>
      <c r="AA282" s="41"/>
      <c r="AB282" s="41"/>
      <c r="AC282" s="41"/>
      <c r="AD282" s="41"/>
      <c r="AE282" s="41"/>
    </row>
    <row r="283" spans="1:31" s="14" customFormat="1" ht="24.75" customHeight="1">
      <c r="A283" s="22"/>
      <c r="B283" s="26" t="s">
        <v>232</v>
      </c>
      <c r="C283" s="26" t="s">
        <v>327</v>
      </c>
      <c r="D283" s="26"/>
      <c r="E283" s="23" t="s">
        <v>233</v>
      </c>
      <c r="F283" s="106">
        <f>F284</f>
        <v>0</v>
      </c>
      <c r="G283" s="106">
        <f aca="true" t="shared" si="85" ref="G283:P283">G284</f>
        <v>0</v>
      </c>
      <c r="H283" s="106">
        <f t="shared" si="85"/>
        <v>0</v>
      </c>
      <c r="I283" s="106">
        <f t="shared" si="85"/>
        <v>0</v>
      </c>
      <c r="J283" s="106">
        <f t="shared" si="85"/>
        <v>0</v>
      </c>
      <c r="K283" s="106">
        <f>K284</f>
        <v>908100</v>
      </c>
      <c r="L283" s="106">
        <f t="shared" si="85"/>
        <v>0</v>
      </c>
      <c r="M283" s="106">
        <f t="shared" si="85"/>
        <v>0</v>
      </c>
      <c r="N283" s="106">
        <f t="shared" si="85"/>
        <v>0</v>
      </c>
      <c r="O283" s="106">
        <f t="shared" si="85"/>
        <v>908100</v>
      </c>
      <c r="P283" s="106">
        <f t="shared" si="85"/>
        <v>908100</v>
      </c>
      <c r="Q283" s="106">
        <f t="shared" si="61"/>
        <v>908100</v>
      </c>
      <c r="R283" s="229"/>
      <c r="S283" s="41"/>
      <c r="T283" s="41"/>
      <c r="U283" s="41"/>
      <c r="V283" s="41"/>
      <c r="W283" s="41"/>
      <c r="X283" s="41"/>
      <c r="Y283" s="41"/>
      <c r="Z283" s="41"/>
      <c r="AA283" s="41"/>
      <c r="AB283" s="41"/>
      <c r="AC283" s="41"/>
      <c r="AD283" s="41"/>
      <c r="AE283" s="41"/>
    </row>
    <row r="284" spans="1:31" s="33" customFormat="1" ht="34.5" customHeight="1">
      <c r="A284" s="32"/>
      <c r="B284" s="36" t="s">
        <v>234</v>
      </c>
      <c r="C284" s="36" t="s">
        <v>328</v>
      </c>
      <c r="D284" s="36" t="s">
        <v>310</v>
      </c>
      <c r="E284" s="29" t="s">
        <v>237</v>
      </c>
      <c r="F284" s="107">
        <f>G284+J284</f>
        <v>0</v>
      </c>
      <c r="G284" s="107"/>
      <c r="H284" s="107"/>
      <c r="I284" s="107"/>
      <c r="J284" s="107"/>
      <c r="K284" s="107">
        <f>L284+O284</f>
        <v>908100</v>
      </c>
      <c r="L284" s="107"/>
      <c r="M284" s="107"/>
      <c r="N284" s="107"/>
      <c r="O284" s="107">
        <f>108100+100000+500000-100000+300000</f>
        <v>908100</v>
      </c>
      <c r="P284" s="107">
        <f>108100+100000+500000-100000+300000</f>
        <v>908100</v>
      </c>
      <c r="Q284" s="107">
        <f t="shared" si="61"/>
        <v>908100</v>
      </c>
      <c r="R284" s="229"/>
      <c r="S284" s="31"/>
      <c r="T284" s="31"/>
      <c r="U284" s="31"/>
      <c r="V284" s="31"/>
      <c r="W284" s="31"/>
      <c r="X284" s="31"/>
      <c r="Y284" s="31"/>
      <c r="Z284" s="31"/>
      <c r="AA284" s="31"/>
      <c r="AB284" s="31"/>
      <c r="AC284" s="31"/>
      <c r="AD284" s="31"/>
      <c r="AE284" s="31"/>
    </row>
    <row r="285" spans="1:31" s="14" customFormat="1" ht="34.5" customHeight="1">
      <c r="A285" s="22"/>
      <c r="B285" s="26" t="s">
        <v>533</v>
      </c>
      <c r="C285" s="26" t="s">
        <v>534</v>
      </c>
      <c r="D285" s="26" t="s">
        <v>536</v>
      </c>
      <c r="E285" s="23" t="s">
        <v>535</v>
      </c>
      <c r="F285" s="106"/>
      <c r="G285" s="106"/>
      <c r="H285" s="106"/>
      <c r="I285" s="106"/>
      <c r="J285" s="106"/>
      <c r="K285" s="107">
        <f>L285+O285</f>
        <v>69811.6</v>
      </c>
      <c r="L285" s="106"/>
      <c r="M285" s="106"/>
      <c r="N285" s="106"/>
      <c r="O285" s="106">
        <v>69811.6</v>
      </c>
      <c r="P285" s="106"/>
      <c r="Q285" s="107">
        <f t="shared" si="61"/>
        <v>69811.6</v>
      </c>
      <c r="R285" s="229"/>
      <c r="S285" s="41"/>
      <c r="T285" s="41"/>
      <c r="U285" s="41"/>
      <c r="V285" s="41"/>
      <c r="W285" s="41"/>
      <c r="X285" s="41"/>
      <c r="Y285" s="41"/>
      <c r="Z285" s="41"/>
      <c r="AA285" s="41"/>
      <c r="AB285" s="41"/>
      <c r="AC285" s="41"/>
      <c r="AD285" s="41"/>
      <c r="AE285" s="41"/>
    </row>
    <row r="286" spans="1:31" s="14" customFormat="1" ht="24.75" customHeight="1">
      <c r="A286" s="13"/>
      <c r="B286" s="122" t="s">
        <v>431</v>
      </c>
      <c r="C286" s="122" t="s">
        <v>343</v>
      </c>
      <c r="D286" s="122" t="s">
        <v>344</v>
      </c>
      <c r="E286" s="161" t="s">
        <v>158</v>
      </c>
      <c r="F286" s="106">
        <f>G286+J286</f>
        <v>0</v>
      </c>
      <c r="G286" s="106"/>
      <c r="H286" s="106"/>
      <c r="I286" s="106"/>
      <c r="J286" s="107"/>
      <c r="K286" s="107">
        <f>L286+O286</f>
        <v>16524000</v>
      </c>
      <c r="L286" s="106"/>
      <c r="M286" s="106"/>
      <c r="N286" s="106"/>
      <c r="O286" s="106">
        <v>16524000</v>
      </c>
      <c r="P286" s="106">
        <v>16524000</v>
      </c>
      <c r="Q286" s="106">
        <f aca="true" t="shared" si="86" ref="Q286:Q320">F286+K286</f>
        <v>16524000</v>
      </c>
      <c r="R286" s="229"/>
      <c r="S286" s="41"/>
      <c r="T286" s="41"/>
      <c r="U286" s="41"/>
      <c r="V286" s="41"/>
      <c r="W286" s="41"/>
      <c r="X286" s="41"/>
      <c r="Y286" s="41"/>
      <c r="Z286" s="41"/>
      <c r="AA286" s="41"/>
      <c r="AB286" s="41"/>
      <c r="AC286" s="41"/>
      <c r="AD286" s="41"/>
      <c r="AE286" s="41"/>
    </row>
    <row r="287" spans="1:31" s="14" customFormat="1" ht="15">
      <c r="A287" s="13"/>
      <c r="B287" s="76" t="s">
        <v>221</v>
      </c>
      <c r="C287" s="76" t="s">
        <v>347</v>
      </c>
      <c r="D287" s="76" t="s">
        <v>326</v>
      </c>
      <c r="E287" s="161" t="s">
        <v>60</v>
      </c>
      <c r="F287" s="106">
        <f>G287+J287</f>
        <v>0</v>
      </c>
      <c r="G287" s="106"/>
      <c r="H287" s="106"/>
      <c r="I287" s="106"/>
      <c r="J287" s="106"/>
      <c r="K287" s="106">
        <f>L287+O287</f>
        <v>28850000</v>
      </c>
      <c r="L287" s="106"/>
      <c r="M287" s="106"/>
      <c r="N287" s="106"/>
      <c r="O287" s="106">
        <f>13700000+2000000+9850000+1473000+1827000</f>
        <v>28850000</v>
      </c>
      <c r="P287" s="106">
        <f>13700000+2000000+9850000+1473000+1827000</f>
        <v>28850000</v>
      </c>
      <c r="Q287" s="106">
        <f t="shared" si="86"/>
        <v>28850000</v>
      </c>
      <c r="R287" s="229"/>
      <c r="S287" s="41"/>
      <c r="T287" s="41"/>
      <c r="U287" s="41"/>
      <c r="V287" s="41"/>
      <c r="W287" s="41"/>
      <c r="X287" s="41"/>
      <c r="Y287" s="41"/>
      <c r="Z287" s="41"/>
      <c r="AA287" s="41"/>
      <c r="AB287" s="41"/>
      <c r="AC287" s="41"/>
      <c r="AD287" s="41"/>
      <c r="AE287" s="41"/>
    </row>
    <row r="288" spans="1:31" s="14" customFormat="1" ht="27">
      <c r="A288" s="13"/>
      <c r="B288" s="77" t="s">
        <v>188</v>
      </c>
      <c r="C288" s="77" t="s">
        <v>376</v>
      </c>
      <c r="D288" s="77"/>
      <c r="E288" s="161" t="s">
        <v>178</v>
      </c>
      <c r="F288" s="106">
        <f>F289</f>
        <v>84900</v>
      </c>
      <c r="G288" s="106">
        <f aca="true" t="shared" si="87" ref="G288:Q288">G289</f>
        <v>84900</v>
      </c>
      <c r="H288" s="106">
        <f t="shared" si="87"/>
        <v>0</v>
      </c>
      <c r="I288" s="106">
        <f t="shared" si="87"/>
        <v>0</v>
      </c>
      <c r="J288" s="106">
        <f t="shared" si="87"/>
        <v>0</v>
      </c>
      <c r="K288" s="106">
        <f t="shared" si="87"/>
        <v>52810.46</v>
      </c>
      <c r="L288" s="106">
        <f t="shared" si="87"/>
        <v>52810.46</v>
      </c>
      <c r="M288" s="106">
        <f t="shared" si="87"/>
        <v>0</v>
      </c>
      <c r="N288" s="106">
        <f t="shared" si="87"/>
        <v>0</v>
      </c>
      <c r="O288" s="106">
        <f t="shared" si="87"/>
        <v>0</v>
      </c>
      <c r="P288" s="106">
        <f t="shared" si="87"/>
        <v>0</v>
      </c>
      <c r="Q288" s="106">
        <f t="shared" si="87"/>
        <v>137710.46</v>
      </c>
      <c r="R288" s="229"/>
      <c r="S288" s="41"/>
      <c r="T288" s="41"/>
      <c r="U288" s="41"/>
      <c r="V288" s="41"/>
      <c r="W288" s="41"/>
      <c r="X288" s="41"/>
      <c r="Y288" s="41"/>
      <c r="Z288" s="41"/>
      <c r="AA288" s="41"/>
      <c r="AB288" s="41"/>
      <c r="AC288" s="41"/>
      <c r="AD288" s="41"/>
      <c r="AE288" s="41"/>
    </row>
    <row r="289" spans="1:31" s="14" customFormat="1" ht="66.75" customHeight="1">
      <c r="A289" s="13"/>
      <c r="B289" s="36" t="s">
        <v>177</v>
      </c>
      <c r="C289" s="36" t="s">
        <v>377</v>
      </c>
      <c r="D289" s="36" t="s">
        <v>259</v>
      </c>
      <c r="E289" s="29" t="s">
        <v>176</v>
      </c>
      <c r="F289" s="107">
        <f>G289+J289</f>
        <v>84900</v>
      </c>
      <c r="G289" s="107">
        <v>84900</v>
      </c>
      <c r="H289" s="107"/>
      <c r="I289" s="107"/>
      <c r="J289" s="107"/>
      <c r="K289" s="107">
        <f>L289+O289</f>
        <v>52810.46</v>
      </c>
      <c r="L289" s="107">
        <f>32488+20322.46</f>
        <v>52810.46</v>
      </c>
      <c r="M289" s="107"/>
      <c r="N289" s="107"/>
      <c r="O289" s="107"/>
      <c r="P289" s="107"/>
      <c r="Q289" s="107">
        <f t="shared" si="86"/>
        <v>137710.46</v>
      </c>
      <c r="R289" s="229"/>
      <c r="S289" s="41"/>
      <c r="T289" s="41"/>
      <c r="U289" s="41"/>
      <c r="V289" s="41"/>
      <c r="W289" s="41"/>
      <c r="X289" s="41"/>
      <c r="Y289" s="41"/>
      <c r="Z289" s="41"/>
      <c r="AA289" s="41"/>
      <c r="AB289" s="41"/>
      <c r="AC289" s="41"/>
      <c r="AD289" s="41"/>
      <c r="AE289" s="41"/>
    </row>
    <row r="290" spans="1:31" s="14" customFormat="1" ht="35.25" customHeight="1">
      <c r="A290" s="13"/>
      <c r="B290" s="122" t="s">
        <v>195</v>
      </c>
      <c r="C290" s="122" t="s">
        <v>363</v>
      </c>
      <c r="D290" s="122" t="s">
        <v>364</v>
      </c>
      <c r="E290" s="161" t="s">
        <v>28</v>
      </c>
      <c r="F290" s="106"/>
      <c r="G290" s="106"/>
      <c r="H290" s="106"/>
      <c r="I290" s="106"/>
      <c r="J290" s="106"/>
      <c r="K290" s="106">
        <f>L290+O290</f>
        <v>1230670</v>
      </c>
      <c r="L290" s="106"/>
      <c r="M290" s="106"/>
      <c r="N290" s="106"/>
      <c r="O290" s="106">
        <v>1230670</v>
      </c>
      <c r="P290" s="106"/>
      <c r="Q290" s="106">
        <f t="shared" si="86"/>
        <v>1230670</v>
      </c>
      <c r="R290" s="229"/>
      <c r="S290" s="41"/>
      <c r="T290" s="41"/>
      <c r="U290" s="41"/>
      <c r="V290" s="41"/>
      <c r="W290" s="41"/>
      <c r="X290" s="41"/>
      <c r="Y290" s="41"/>
      <c r="Z290" s="41"/>
      <c r="AA290" s="41"/>
      <c r="AB290" s="41"/>
      <c r="AC290" s="41"/>
      <c r="AD290" s="41"/>
      <c r="AE290" s="41"/>
    </row>
    <row r="291" spans="1:31" s="14" customFormat="1" ht="37.5" customHeight="1">
      <c r="A291" s="13"/>
      <c r="B291" s="122" t="s">
        <v>225</v>
      </c>
      <c r="C291" s="122" t="s">
        <v>365</v>
      </c>
      <c r="D291" s="122" t="s">
        <v>366</v>
      </c>
      <c r="E291" s="161" t="s">
        <v>224</v>
      </c>
      <c r="F291" s="106"/>
      <c r="G291" s="106"/>
      <c r="H291" s="106"/>
      <c r="I291" s="106"/>
      <c r="J291" s="106"/>
      <c r="K291" s="106">
        <f>L291+O291</f>
        <v>3182607.91</v>
      </c>
      <c r="L291" s="106"/>
      <c r="M291" s="106"/>
      <c r="N291" s="106"/>
      <c r="O291" s="106">
        <f>715000+2188520+279087.91</f>
        <v>3182607.91</v>
      </c>
      <c r="P291" s="106"/>
      <c r="Q291" s="106">
        <f t="shared" si="86"/>
        <v>3182607.91</v>
      </c>
      <c r="R291" s="229"/>
      <c r="S291" s="41"/>
      <c r="T291" s="41"/>
      <c r="U291" s="41"/>
      <c r="V291" s="41"/>
      <c r="W291" s="41"/>
      <c r="X291" s="41"/>
      <c r="Y291" s="41"/>
      <c r="Z291" s="41"/>
      <c r="AA291" s="41"/>
      <c r="AB291" s="41"/>
      <c r="AC291" s="41"/>
      <c r="AD291" s="41"/>
      <c r="AE291" s="41"/>
    </row>
    <row r="292" spans="1:31" s="14" customFormat="1" ht="63.75" customHeight="1">
      <c r="A292" s="13"/>
      <c r="B292" s="122" t="s">
        <v>537</v>
      </c>
      <c r="C292" s="122" t="s">
        <v>370</v>
      </c>
      <c r="D292" s="122" t="s">
        <v>371</v>
      </c>
      <c r="E292" s="161" t="s">
        <v>21</v>
      </c>
      <c r="F292" s="106"/>
      <c r="G292" s="106"/>
      <c r="H292" s="106"/>
      <c r="I292" s="106"/>
      <c r="J292" s="106"/>
      <c r="K292" s="106">
        <f>L292+O292</f>
        <v>1258212.12</v>
      </c>
      <c r="L292" s="106"/>
      <c r="M292" s="106"/>
      <c r="N292" s="106"/>
      <c r="O292" s="106">
        <v>1258212.12</v>
      </c>
      <c r="P292" s="106"/>
      <c r="Q292" s="106">
        <f>F292+K292</f>
        <v>1258212.12</v>
      </c>
      <c r="R292" s="229"/>
      <c r="S292" s="41"/>
      <c r="T292" s="41"/>
      <c r="U292" s="41"/>
      <c r="V292" s="41"/>
      <c r="W292" s="41"/>
      <c r="X292" s="41"/>
      <c r="Y292" s="41"/>
      <c r="Z292" s="41"/>
      <c r="AA292" s="41"/>
      <c r="AB292" s="41"/>
      <c r="AC292" s="41"/>
      <c r="AD292" s="41"/>
      <c r="AE292" s="41"/>
    </row>
    <row r="293" spans="1:31" s="164" customFormat="1" ht="31.5" customHeight="1">
      <c r="A293" s="162"/>
      <c r="B293" s="102">
        <v>4800000</v>
      </c>
      <c r="C293" s="102"/>
      <c r="D293" s="102"/>
      <c r="E293" s="16" t="s">
        <v>523</v>
      </c>
      <c r="F293" s="111">
        <f>F294</f>
        <v>269681</v>
      </c>
      <c r="G293" s="111">
        <f aca="true" t="shared" si="88" ref="G293:Q294">G294</f>
        <v>269681</v>
      </c>
      <c r="H293" s="111">
        <f t="shared" si="88"/>
        <v>214872</v>
      </c>
      <c r="I293" s="111">
        <f t="shared" si="88"/>
        <v>0</v>
      </c>
      <c r="J293" s="111">
        <f t="shared" si="88"/>
        <v>0</v>
      </c>
      <c r="K293" s="111">
        <f t="shared" si="88"/>
        <v>0</v>
      </c>
      <c r="L293" s="111">
        <f t="shared" si="88"/>
        <v>0</v>
      </c>
      <c r="M293" s="111">
        <f t="shared" si="88"/>
        <v>0</v>
      </c>
      <c r="N293" s="111">
        <f t="shared" si="88"/>
        <v>0</v>
      </c>
      <c r="O293" s="111">
        <f t="shared" si="88"/>
        <v>0</v>
      </c>
      <c r="P293" s="111">
        <f t="shared" si="88"/>
        <v>0</v>
      </c>
      <c r="Q293" s="111">
        <f>F293+K293</f>
        <v>269681</v>
      </c>
      <c r="R293" s="229"/>
      <c r="S293" s="163"/>
      <c r="T293" s="163"/>
      <c r="U293" s="163"/>
      <c r="V293" s="163"/>
      <c r="W293" s="163"/>
      <c r="X293" s="163"/>
      <c r="Y293" s="163"/>
      <c r="Z293" s="163"/>
      <c r="AA293" s="163"/>
      <c r="AB293" s="163"/>
      <c r="AC293" s="163"/>
      <c r="AD293" s="163"/>
      <c r="AE293" s="163"/>
    </row>
    <row r="294" spans="1:31" s="164" customFormat="1" ht="36.75" customHeight="1">
      <c r="A294" s="162"/>
      <c r="B294" s="119">
        <v>4810000</v>
      </c>
      <c r="C294" s="119"/>
      <c r="D294" s="119"/>
      <c r="E294" s="118" t="s">
        <v>523</v>
      </c>
      <c r="F294" s="116">
        <f>F295</f>
        <v>269681</v>
      </c>
      <c r="G294" s="116">
        <f t="shared" si="88"/>
        <v>269681</v>
      </c>
      <c r="H294" s="116">
        <f t="shared" si="88"/>
        <v>214872</v>
      </c>
      <c r="I294" s="116">
        <f t="shared" si="88"/>
        <v>0</v>
      </c>
      <c r="J294" s="116">
        <f t="shared" si="88"/>
        <v>0</v>
      </c>
      <c r="K294" s="116">
        <f t="shared" si="88"/>
        <v>0</v>
      </c>
      <c r="L294" s="116">
        <f t="shared" si="88"/>
        <v>0</v>
      </c>
      <c r="M294" s="116">
        <f t="shared" si="88"/>
        <v>0</v>
      </c>
      <c r="N294" s="116">
        <f t="shared" si="88"/>
        <v>0</v>
      </c>
      <c r="O294" s="116">
        <f t="shared" si="88"/>
        <v>0</v>
      </c>
      <c r="P294" s="116">
        <f t="shared" si="88"/>
        <v>0</v>
      </c>
      <c r="Q294" s="116">
        <f t="shared" si="88"/>
        <v>269681</v>
      </c>
      <c r="R294" s="229"/>
      <c r="S294" s="163"/>
      <c r="T294" s="163"/>
      <c r="U294" s="163"/>
      <c r="V294" s="163"/>
      <c r="W294" s="163"/>
      <c r="X294" s="163"/>
      <c r="Y294" s="163"/>
      <c r="Z294" s="163"/>
      <c r="AA294" s="163"/>
      <c r="AB294" s="163"/>
      <c r="AC294" s="163"/>
      <c r="AD294" s="163"/>
      <c r="AE294" s="163"/>
    </row>
    <row r="295" spans="1:31" s="14" customFormat="1" ht="27">
      <c r="A295" s="145"/>
      <c r="B295" s="98" t="s">
        <v>179</v>
      </c>
      <c r="C295" s="98" t="s">
        <v>249</v>
      </c>
      <c r="D295" s="98" t="s">
        <v>250</v>
      </c>
      <c r="E295" s="99" t="s">
        <v>520</v>
      </c>
      <c r="F295" s="106">
        <f>G295+J295</f>
        <v>269681</v>
      </c>
      <c r="G295" s="106">
        <f>199728+1103+68850</f>
        <v>269681</v>
      </c>
      <c r="H295" s="106">
        <f>156372+58500</f>
        <v>214872</v>
      </c>
      <c r="I295" s="106"/>
      <c r="J295" s="106"/>
      <c r="K295" s="106">
        <f>L295+O295</f>
        <v>0</v>
      </c>
      <c r="L295" s="106"/>
      <c r="M295" s="106"/>
      <c r="N295" s="106"/>
      <c r="O295" s="106"/>
      <c r="P295" s="106"/>
      <c r="Q295" s="106">
        <f>F295+K295</f>
        <v>269681</v>
      </c>
      <c r="R295" s="229"/>
      <c r="S295" s="41"/>
      <c r="T295" s="41"/>
      <c r="U295" s="41"/>
      <c r="V295" s="41"/>
      <c r="W295" s="41"/>
      <c r="X295" s="41"/>
      <c r="Y295" s="41"/>
      <c r="Z295" s="41"/>
      <c r="AA295" s="41"/>
      <c r="AB295" s="41"/>
      <c r="AC295" s="41"/>
      <c r="AD295" s="41"/>
      <c r="AE295" s="41"/>
    </row>
    <row r="296" spans="1:31" s="164" customFormat="1" ht="35.25" customHeight="1">
      <c r="A296" s="162"/>
      <c r="B296" s="102">
        <v>4800000</v>
      </c>
      <c r="C296" s="102"/>
      <c r="D296" s="102"/>
      <c r="E296" s="16" t="s">
        <v>228</v>
      </c>
      <c r="F296" s="111">
        <f>F297</f>
        <v>4028915</v>
      </c>
      <c r="G296" s="111">
        <f aca="true" t="shared" si="89" ref="G296:P296">G297</f>
        <v>4028915</v>
      </c>
      <c r="H296" s="111">
        <f t="shared" si="89"/>
        <v>2832291</v>
      </c>
      <c r="I296" s="111">
        <f t="shared" si="89"/>
        <v>70500</v>
      </c>
      <c r="J296" s="111">
        <f t="shared" si="89"/>
        <v>0</v>
      </c>
      <c r="K296" s="111">
        <f t="shared" si="89"/>
        <v>2232113</v>
      </c>
      <c r="L296" s="111">
        <f t="shared" si="89"/>
        <v>559330</v>
      </c>
      <c r="M296" s="111">
        <f t="shared" si="89"/>
        <v>0</v>
      </c>
      <c r="N296" s="111">
        <f t="shared" si="89"/>
        <v>0</v>
      </c>
      <c r="O296" s="111">
        <f t="shared" si="89"/>
        <v>1672783</v>
      </c>
      <c r="P296" s="111">
        <f t="shared" si="89"/>
        <v>147683</v>
      </c>
      <c r="Q296" s="111">
        <f t="shared" si="86"/>
        <v>6261028</v>
      </c>
      <c r="R296" s="229"/>
      <c r="S296" s="163"/>
      <c r="T296" s="163"/>
      <c r="U296" s="163"/>
      <c r="V296" s="163"/>
      <c r="W296" s="163"/>
      <c r="X296" s="163"/>
      <c r="Y296" s="163"/>
      <c r="Z296" s="163"/>
      <c r="AA296" s="163"/>
      <c r="AB296" s="163"/>
      <c r="AC296" s="163"/>
      <c r="AD296" s="163"/>
      <c r="AE296" s="163"/>
    </row>
    <row r="297" spans="1:31" s="164" customFormat="1" ht="39.75" customHeight="1">
      <c r="A297" s="162"/>
      <c r="B297" s="119">
        <v>4810000</v>
      </c>
      <c r="C297" s="119"/>
      <c r="D297" s="119"/>
      <c r="E297" s="118" t="s">
        <v>228</v>
      </c>
      <c r="F297" s="116">
        <f>F298+F300+F304+F299+F302</f>
        <v>4028915</v>
      </c>
      <c r="G297" s="116">
        <f aca="true" t="shared" si="90" ref="G297:Q297">G298+G300+G304+G299+G302</f>
        <v>4028915</v>
      </c>
      <c r="H297" s="116">
        <f t="shared" si="90"/>
        <v>2832291</v>
      </c>
      <c r="I297" s="116">
        <f t="shared" si="90"/>
        <v>70500</v>
      </c>
      <c r="J297" s="116">
        <f t="shared" si="90"/>
        <v>0</v>
      </c>
      <c r="K297" s="116">
        <f t="shared" si="90"/>
        <v>2232113</v>
      </c>
      <c r="L297" s="116">
        <f t="shared" si="90"/>
        <v>559330</v>
      </c>
      <c r="M297" s="116">
        <f t="shared" si="90"/>
        <v>0</v>
      </c>
      <c r="N297" s="116">
        <f t="shared" si="90"/>
        <v>0</v>
      </c>
      <c r="O297" s="116">
        <f t="shared" si="90"/>
        <v>1672783</v>
      </c>
      <c r="P297" s="116">
        <f t="shared" si="90"/>
        <v>147683</v>
      </c>
      <c r="Q297" s="116">
        <f t="shared" si="90"/>
        <v>6261028</v>
      </c>
      <c r="R297" s="229"/>
      <c r="S297" s="163"/>
      <c r="T297" s="163"/>
      <c r="U297" s="163"/>
      <c r="V297" s="163"/>
      <c r="W297" s="163"/>
      <c r="X297" s="163"/>
      <c r="Y297" s="163"/>
      <c r="Z297" s="163"/>
      <c r="AA297" s="163"/>
      <c r="AB297" s="163"/>
      <c r="AC297" s="163"/>
      <c r="AD297" s="163"/>
      <c r="AE297" s="163"/>
    </row>
    <row r="298" spans="1:31" s="14" customFormat="1" ht="27">
      <c r="A298" s="145"/>
      <c r="B298" s="98" t="s">
        <v>179</v>
      </c>
      <c r="C298" s="98" t="s">
        <v>249</v>
      </c>
      <c r="D298" s="98" t="s">
        <v>250</v>
      </c>
      <c r="E298" s="99" t="s">
        <v>520</v>
      </c>
      <c r="F298" s="106">
        <f>G298+J298</f>
        <v>3788915</v>
      </c>
      <c r="G298" s="106">
        <f>2857700+1300-18700+634700+6975+306940</f>
        <v>3788915</v>
      </c>
      <c r="H298" s="106">
        <f>2081800+498900+251591</f>
        <v>2832291</v>
      </c>
      <c r="I298" s="106">
        <f>69200+1300</f>
        <v>70500</v>
      </c>
      <c r="J298" s="106"/>
      <c r="K298" s="106">
        <f>L298+O298</f>
        <v>95000</v>
      </c>
      <c r="L298" s="106"/>
      <c r="M298" s="106"/>
      <c r="N298" s="106"/>
      <c r="O298" s="106">
        <f>45000+50000</f>
        <v>95000</v>
      </c>
      <c r="P298" s="106">
        <f>45000+50000</f>
        <v>95000</v>
      </c>
      <c r="Q298" s="106">
        <f t="shared" si="86"/>
        <v>3883915</v>
      </c>
      <c r="R298" s="229"/>
      <c r="S298" s="41"/>
      <c r="T298" s="41"/>
      <c r="U298" s="41"/>
      <c r="V298" s="41"/>
      <c r="W298" s="41"/>
      <c r="X298" s="41"/>
      <c r="Y298" s="41"/>
      <c r="Z298" s="41"/>
      <c r="AA298" s="41"/>
      <c r="AB298" s="41"/>
      <c r="AC298" s="41"/>
      <c r="AD298" s="41"/>
      <c r="AE298" s="41"/>
    </row>
    <row r="299" spans="1:31" s="14" customFormat="1" ht="33" customHeight="1">
      <c r="A299" s="13"/>
      <c r="B299" s="76" t="s">
        <v>527</v>
      </c>
      <c r="C299" s="76" t="s">
        <v>347</v>
      </c>
      <c r="D299" s="76" t="s">
        <v>326</v>
      </c>
      <c r="E299" s="161" t="s">
        <v>60</v>
      </c>
      <c r="F299" s="106">
        <f>G299+J299</f>
        <v>0</v>
      </c>
      <c r="G299" s="106"/>
      <c r="H299" s="106"/>
      <c r="I299" s="106"/>
      <c r="J299" s="106"/>
      <c r="K299" s="106">
        <f>L299+O299</f>
        <v>17173</v>
      </c>
      <c r="L299" s="106"/>
      <c r="M299" s="106"/>
      <c r="N299" s="106"/>
      <c r="O299" s="106">
        <v>17173</v>
      </c>
      <c r="P299" s="106">
        <v>17173</v>
      </c>
      <c r="Q299" s="106">
        <f t="shared" si="86"/>
        <v>17173</v>
      </c>
      <c r="R299" s="229"/>
      <c r="S299" s="41"/>
      <c r="T299" s="41"/>
      <c r="U299" s="41"/>
      <c r="V299" s="41"/>
      <c r="W299" s="41"/>
      <c r="X299" s="41"/>
      <c r="Y299" s="41"/>
      <c r="Z299" s="41"/>
      <c r="AA299" s="41"/>
      <c r="AB299" s="41"/>
      <c r="AC299" s="41"/>
      <c r="AD299" s="41"/>
      <c r="AE299" s="41"/>
    </row>
    <row r="300" spans="1:31" s="14" customFormat="1" ht="22.5" customHeight="1">
      <c r="A300" s="13"/>
      <c r="B300" s="77" t="s">
        <v>515</v>
      </c>
      <c r="C300" s="77" t="s">
        <v>375</v>
      </c>
      <c r="D300" s="77" t="s">
        <v>371</v>
      </c>
      <c r="E300" s="161" t="s">
        <v>16</v>
      </c>
      <c r="F300" s="106">
        <f>F301</f>
        <v>240000</v>
      </c>
      <c r="G300" s="106">
        <f aca="true" t="shared" si="91" ref="G300:Q300">G301</f>
        <v>240000</v>
      </c>
      <c r="H300" s="106">
        <f t="shared" si="91"/>
        <v>0</v>
      </c>
      <c r="I300" s="106">
        <f t="shared" si="91"/>
        <v>0</v>
      </c>
      <c r="J300" s="106">
        <f t="shared" si="91"/>
        <v>0</v>
      </c>
      <c r="K300" s="106">
        <f t="shared" si="91"/>
        <v>0</v>
      </c>
      <c r="L300" s="106">
        <f t="shared" si="91"/>
        <v>0</v>
      </c>
      <c r="M300" s="106">
        <f t="shared" si="91"/>
        <v>0</v>
      </c>
      <c r="N300" s="106">
        <f t="shared" si="91"/>
        <v>0</v>
      </c>
      <c r="O300" s="106">
        <f t="shared" si="91"/>
        <v>0</v>
      </c>
      <c r="P300" s="106">
        <f t="shared" si="91"/>
        <v>0</v>
      </c>
      <c r="Q300" s="106">
        <f t="shared" si="91"/>
        <v>240000</v>
      </c>
      <c r="R300" s="238">
        <v>28</v>
      </c>
      <c r="S300" s="41"/>
      <c r="T300" s="41"/>
      <c r="U300" s="41"/>
      <c r="V300" s="41"/>
      <c r="W300" s="41"/>
      <c r="X300" s="41"/>
      <c r="Y300" s="41"/>
      <c r="Z300" s="41"/>
      <c r="AA300" s="41"/>
      <c r="AB300" s="41"/>
      <c r="AC300" s="41"/>
      <c r="AD300" s="41"/>
      <c r="AE300" s="41"/>
    </row>
    <row r="301" spans="1:31" s="33" customFormat="1" ht="45.75" customHeight="1">
      <c r="A301" s="32"/>
      <c r="B301" s="28" t="s">
        <v>515</v>
      </c>
      <c r="C301" s="28" t="s">
        <v>375</v>
      </c>
      <c r="D301" s="28" t="s">
        <v>371</v>
      </c>
      <c r="E301" s="34" t="s">
        <v>163</v>
      </c>
      <c r="F301" s="107">
        <f>G301+J301</f>
        <v>240000</v>
      </c>
      <c r="G301" s="107">
        <v>240000</v>
      </c>
      <c r="H301" s="107"/>
      <c r="I301" s="107"/>
      <c r="J301" s="107"/>
      <c r="K301" s="106">
        <f>L301+O301</f>
        <v>0</v>
      </c>
      <c r="L301" s="107"/>
      <c r="M301" s="107"/>
      <c r="N301" s="107"/>
      <c r="O301" s="107"/>
      <c r="P301" s="107"/>
      <c r="Q301" s="107">
        <f t="shared" si="86"/>
        <v>240000</v>
      </c>
      <c r="R301" s="238"/>
      <c r="S301" s="31"/>
      <c r="T301" s="31"/>
      <c r="U301" s="31"/>
      <c r="V301" s="31"/>
      <c r="W301" s="31"/>
      <c r="X301" s="31"/>
      <c r="Y301" s="31"/>
      <c r="Z301" s="31"/>
      <c r="AA301" s="31"/>
      <c r="AB301" s="31"/>
      <c r="AC301" s="31"/>
      <c r="AD301" s="31"/>
      <c r="AE301" s="31"/>
    </row>
    <row r="302" spans="1:31" s="14" customFormat="1" ht="25.5" customHeight="1">
      <c r="A302" s="13"/>
      <c r="B302" s="76" t="s">
        <v>578</v>
      </c>
      <c r="C302" s="76" t="s">
        <v>379</v>
      </c>
      <c r="D302" s="76" t="s">
        <v>249</v>
      </c>
      <c r="E302" s="161" t="s">
        <v>30</v>
      </c>
      <c r="F302" s="106">
        <f>F303</f>
        <v>0</v>
      </c>
      <c r="G302" s="106">
        <f aca="true" t="shared" si="92" ref="G302:Q302">G303</f>
        <v>0</v>
      </c>
      <c r="H302" s="106">
        <f t="shared" si="92"/>
        <v>0</v>
      </c>
      <c r="I302" s="106">
        <f t="shared" si="92"/>
        <v>0</v>
      </c>
      <c r="J302" s="106">
        <f t="shared" si="92"/>
        <v>0</v>
      </c>
      <c r="K302" s="106">
        <f t="shared" si="92"/>
        <v>35510</v>
      </c>
      <c r="L302" s="106">
        <f t="shared" si="92"/>
        <v>0</v>
      </c>
      <c r="M302" s="106">
        <f t="shared" si="92"/>
        <v>0</v>
      </c>
      <c r="N302" s="106">
        <f t="shared" si="92"/>
        <v>0</v>
      </c>
      <c r="O302" s="106">
        <f t="shared" si="92"/>
        <v>35510</v>
      </c>
      <c r="P302" s="106">
        <f t="shared" si="92"/>
        <v>35510</v>
      </c>
      <c r="Q302" s="106">
        <f t="shared" si="92"/>
        <v>35510</v>
      </c>
      <c r="R302" s="238"/>
      <c r="S302" s="41"/>
      <c r="T302" s="41"/>
      <c r="U302" s="41"/>
      <c r="V302" s="41"/>
      <c r="W302" s="41"/>
      <c r="X302" s="41"/>
      <c r="Y302" s="41"/>
      <c r="Z302" s="41"/>
      <c r="AA302" s="41"/>
      <c r="AB302" s="41"/>
      <c r="AC302" s="41"/>
      <c r="AD302" s="41"/>
      <c r="AE302" s="41"/>
    </row>
    <row r="303" spans="1:31" s="33" customFormat="1" ht="26.25" customHeight="1">
      <c r="A303" s="32"/>
      <c r="B303" s="45" t="s">
        <v>578</v>
      </c>
      <c r="C303" s="45" t="s">
        <v>379</v>
      </c>
      <c r="D303" s="45" t="s">
        <v>249</v>
      </c>
      <c r="E303" s="34" t="s">
        <v>588</v>
      </c>
      <c r="F303" s="107">
        <f>G303+J303</f>
        <v>0</v>
      </c>
      <c r="G303" s="107"/>
      <c r="H303" s="107"/>
      <c r="I303" s="107"/>
      <c r="J303" s="107"/>
      <c r="K303" s="107">
        <f>L303+O303</f>
        <v>35510</v>
      </c>
      <c r="L303" s="107"/>
      <c r="M303" s="107"/>
      <c r="N303" s="107"/>
      <c r="O303" s="107">
        <v>35510</v>
      </c>
      <c r="P303" s="107">
        <v>35510</v>
      </c>
      <c r="Q303" s="107">
        <f>F303+K303</f>
        <v>35510</v>
      </c>
      <c r="R303" s="238"/>
      <c r="S303" s="31"/>
      <c r="T303" s="31"/>
      <c r="U303" s="31"/>
      <c r="V303" s="31"/>
      <c r="W303" s="31"/>
      <c r="X303" s="31"/>
      <c r="Y303" s="31"/>
      <c r="Z303" s="31"/>
      <c r="AA303" s="31"/>
      <c r="AB303" s="31"/>
      <c r="AC303" s="31"/>
      <c r="AD303" s="31"/>
      <c r="AE303" s="31"/>
    </row>
    <row r="304" spans="1:31" s="33" customFormat="1" ht="61.5" customHeight="1">
      <c r="A304" s="32"/>
      <c r="B304" s="21" t="s">
        <v>180</v>
      </c>
      <c r="C304" s="21" t="s">
        <v>370</v>
      </c>
      <c r="D304" s="21" t="s">
        <v>371</v>
      </c>
      <c r="E304" s="23" t="s">
        <v>21</v>
      </c>
      <c r="F304" s="107">
        <f>G304+J304</f>
        <v>0</v>
      </c>
      <c r="G304" s="107"/>
      <c r="H304" s="107"/>
      <c r="I304" s="107"/>
      <c r="J304" s="107"/>
      <c r="K304" s="107">
        <f>L304+O304</f>
        <v>2084430</v>
      </c>
      <c r="L304" s="107">
        <f>712922-170092+16500</f>
        <v>559330</v>
      </c>
      <c r="M304" s="107"/>
      <c r="N304" s="107"/>
      <c r="O304" s="107">
        <f>1223008+170092+132000</f>
        <v>1525100</v>
      </c>
      <c r="P304" s="107"/>
      <c r="Q304" s="107">
        <f t="shared" si="86"/>
        <v>2084430</v>
      </c>
      <c r="R304" s="238"/>
      <c r="S304" s="31"/>
      <c r="T304" s="31"/>
      <c r="U304" s="31"/>
      <c r="V304" s="31"/>
      <c r="W304" s="31"/>
      <c r="X304" s="31"/>
      <c r="Y304" s="31"/>
      <c r="Z304" s="31"/>
      <c r="AA304" s="31"/>
      <c r="AB304" s="31"/>
      <c r="AC304" s="31"/>
      <c r="AD304" s="31"/>
      <c r="AE304" s="31"/>
    </row>
    <row r="305" spans="1:31" s="104" customFormat="1" ht="33" customHeight="1">
      <c r="A305" s="101"/>
      <c r="B305" s="102">
        <v>5000000</v>
      </c>
      <c r="C305" s="102"/>
      <c r="D305" s="102"/>
      <c r="E305" s="16" t="s">
        <v>181</v>
      </c>
      <c r="F305" s="111">
        <f>F306</f>
        <v>3161245</v>
      </c>
      <c r="G305" s="111">
        <f aca="true" t="shared" si="93" ref="G305:P305">G306</f>
        <v>3161245</v>
      </c>
      <c r="H305" s="111">
        <f t="shared" si="93"/>
        <v>2011276</v>
      </c>
      <c r="I305" s="111">
        <f t="shared" si="93"/>
        <v>89000</v>
      </c>
      <c r="J305" s="111">
        <f t="shared" si="93"/>
        <v>0</v>
      </c>
      <c r="K305" s="111">
        <f t="shared" si="93"/>
        <v>21000</v>
      </c>
      <c r="L305" s="111">
        <f t="shared" si="93"/>
        <v>0</v>
      </c>
      <c r="M305" s="111">
        <f t="shared" si="93"/>
        <v>0</v>
      </c>
      <c r="N305" s="111">
        <f t="shared" si="93"/>
        <v>0</v>
      </c>
      <c r="O305" s="111">
        <f t="shared" si="93"/>
        <v>21000</v>
      </c>
      <c r="P305" s="111">
        <f t="shared" si="93"/>
        <v>21000</v>
      </c>
      <c r="Q305" s="111">
        <f t="shared" si="86"/>
        <v>3182245</v>
      </c>
      <c r="R305" s="238"/>
      <c r="S305" s="103"/>
      <c r="T305" s="103"/>
      <c r="U305" s="103"/>
      <c r="V305" s="103"/>
      <c r="W305" s="103"/>
      <c r="X305" s="103"/>
      <c r="Y305" s="103"/>
      <c r="Z305" s="103"/>
      <c r="AA305" s="103"/>
      <c r="AB305" s="103"/>
      <c r="AC305" s="103"/>
      <c r="AD305" s="103"/>
      <c r="AE305" s="103"/>
    </row>
    <row r="306" spans="1:31" s="167" customFormat="1" ht="34.5" customHeight="1">
      <c r="A306" s="165"/>
      <c r="B306" s="119">
        <v>5010000</v>
      </c>
      <c r="C306" s="119"/>
      <c r="D306" s="119"/>
      <c r="E306" s="118" t="s">
        <v>181</v>
      </c>
      <c r="F306" s="116">
        <f>F307+F308</f>
        <v>3161245</v>
      </c>
      <c r="G306" s="116">
        <f aca="true" t="shared" si="94" ref="G306:Q306">G307+G308</f>
        <v>3161245</v>
      </c>
      <c r="H306" s="116">
        <f t="shared" si="94"/>
        <v>2011276</v>
      </c>
      <c r="I306" s="116">
        <f t="shared" si="94"/>
        <v>89000</v>
      </c>
      <c r="J306" s="116">
        <f t="shared" si="94"/>
        <v>0</v>
      </c>
      <c r="K306" s="116">
        <f t="shared" si="94"/>
        <v>21000</v>
      </c>
      <c r="L306" s="116">
        <f t="shared" si="94"/>
        <v>0</v>
      </c>
      <c r="M306" s="116">
        <f t="shared" si="94"/>
        <v>0</v>
      </c>
      <c r="N306" s="116">
        <f t="shared" si="94"/>
        <v>0</v>
      </c>
      <c r="O306" s="116">
        <f t="shared" si="94"/>
        <v>21000</v>
      </c>
      <c r="P306" s="116">
        <f t="shared" si="94"/>
        <v>21000</v>
      </c>
      <c r="Q306" s="116">
        <f t="shared" si="94"/>
        <v>3182245</v>
      </c>
      <c r="R306" s="238"/>
      <c r="S306" s="166"/>
      <c r="T306" s="166"/>
      <c r="U306" s="166"/>
      <c r="V306" s="166"/>
      <c r="W306" s="166"/>
      <c r="X306" s="166"/>
      <c r="Y306" s="166"/>
      <c r="Z306" s="166"/>
      <c r="AA306" s="166"/>
      <c r="AB306" s="166"/>
      <c r="AC306" s="166"/>
      <c r="AD306" s="166"/>
      <c r="AE306" s="166"/>
    </row>
    <row r="307" spans="1:31" s="14" customFormat="1" ht="27">
      <c r="A307" s="145"/>
      <c r="B307" s="98" t="s">
        <v>182</v>
      </c>
      <c r="C307" s="98" t="s">
        <v>249</v>
      </c>
      <c r="D307" s="98" t="s">
        <v>250</v>
      </c>
      <c r="E307" s="99" t="s">
        <v>520</v>
      </c>
      <c r="F307" s="106">
        <f>G307+J307</f>
        <v>2630888</v>
      </c>
      <c r="G307" s="106">
        <f>2403400+12100-31900+3683+243605</f>
        <v>2630888</v>
      </c>
      <c r="H307" s="106">
        <f>1811600+199676</f>
        <v>2011276</v>
      </c>
      <c r="I307" s="106">
        <f>76900+12100</f>
        <v>89000</v>
      </c>
      <c r="J307" s="106"/>
      <c r="K307" s="106">
        <f>L307+O307</f>
        <v>21000</v>
      </c>
      <c r="L307" s="106"/>
      <c r="M307" s="106"/>
      <c r="N307" s="106"/>
      <c r="O307" s="106">
        <v>21000</v>
      </c>
      <c r="P307" s="106">
        <v>21000</v>
      </c>
      <c r="Q307" s="106">
        <f t="shared" si="86"/>
        <v>2651888</v>
      </c>
      <c r="R307" s="238"/>
      <c r="S307" s="41"/>
      <c r="T307" s="41"/>
      <c r="U307" s="41"/>
      <c r="V307" s="41"/>
      <c r="W307" s="41"/>
      <c r="X307" s="41"/>
      <c r="Y307" s="41"/>
      <c r="Z307" s="41"/>
      <c r="AA307" s="41"/>
      <c r="AB307" s="41"/>
      <c r="AC307" s="41"/>
      <c r="AD307" s="41"/>
      <c r="AE307" s="41"/>
    </row>
    <row r="308" spans="1:31" s="14" customFormat="1" ht="30" customHeight="1">
      <c r="A308" s="13"/>
      <c r="B308" s="77" t="s">
        <v>183</v>
      </c>
      <c r="C308" s="77" t="s">
        <v>375</v>
      </c>
      <c r="D308" s="77" t="s">
        <v>371</v>
      </c>
      <c r="E308" s="161" t="s">
        <v>16</v>
      </c>
      <c r="F308" s="106">
        <f>F309</f>
        <v>530357</v>
      </c>
      <c r="G308" s="106">
        <f aca="true" t="shared" si="95" ref="G308:P308">G309</f>
        <v>530357</v>
      </c>
      <c r="H308" s="106">
        <f t="shared" si="95"/>
        <v>0</v>
      </c>
      <c r="I308" s="106">
        <f t="shared" si="95"/>
        <v>0</v>
      </c>
      <c r="J308" s="106">
        <f t="shared" si="95"/>
        <v>0</v>
      </c>
      <c r="K308" s="106">
        <f t="shared" si="95"/>
        <v>0</v>
      </c>
      <c r="L308" s="106">
        <f t="shared" si="95"/>
        <v>0</v>
      </c>
      <c r="M308" s="106">
        <f t="shared" si="95"/>
        <v>0</v>
      </c>
      <c r="N308" s="106">
        <f t="shared" si="95"/>
        <v>0</v>
      </c>
      <c r="O308" s="106">
        <f t="shared" si="95"/>
        <v>0</v>
      </c>
      <c r="P308" s="106">
        <f t="shared" si="95"/>
        <v>0</v>
      </c>
      <c r="Q308" s="106">
        <f t="shared" si="86"/>
        <v>530357</v>
      </c>
      <c r="R308" s="238"/>
      <c r="S308" s="41"/>
      <c r="T308" s="41"/>
      <c r="U308" s="41"/>
      <c r="V308" s="41"/>
      <c r="W308" s="41"/>
      <c r="X308" s="41"/>
      <c r="Y308" s="41"/>
      <c r="Z308" s="41"/>
      <c r="AA308" s="41"/>
      <c r="AB308" s="41"/>
      <c r="AC308" s="41"/>
      <c r="AD308" s="41"/>
      <c r="AE308" s="41"/>
    </row>
    <row r="309" spans="1:31" s="14" customFormat="1" ht="49.5" customHeight="1">
      <c r="A309" s="13"/>
      <c r="B309" s="28" t="s">
        <v>183</v>
      </c>
      <c r="C309" s="28" t="s">
        <v>375</v>
      </c>
      <c r="D309" s="28" t="s">
        <v>371</v>
      </c>
      <c r="E309" s="35" t="s">
        <v>506</v>
      </c>
      <c r="F309" s="107">
        <f>G309+J309</f>
        <v>530357</v>
      </c>
      <c r="G309" s="107">
        <f>416500+113857</f>
        <v>530357</v>
      </c>
      <c r="H309" s="107"/>
      <c r="I309" s="107"/>
      <c r="J309" s="107"/>
      <c r="K309" s="107">
        <f>L309+O309</f>
        <v>0</v>
      </c>
      <c r="L309" s="107"/>
      <c r="M309" s="107"/>
      <c r="N309" s="107"/>
      <c r="O309" s="107"/>
      <c r="P309" s="107"/>
      <c r="Q309" s="107">
        <f t="shared" si="86"/>
        <v>530357</v>
      </c>
      <c r="R309" s="238"/>
      <c r="S309" s="41"/>
      <c r="T309" s="41"/>
      <c r="U309" s="41"/>
      <c r="V309" s="41"/>
      <c r="W309" s="41"/>
      <c r="X309" s="41"/>
      <c r="Y309" s="41"/>
      <c r="Z309" s="41"/>
      <c r="AA309" s="41"/>
      <c r="AB309" s="41"/>
      <c r="AC309" s="41"/>
      <c r="AD309" s="41"/>
      <c r="AE309" s="41"/>
    </row>
    <row r="310" spans="1:31" s="104" customFormat="1" ht="34.5" customHeight="1">
      <c r="A310" s="101"/>
      <c r="B310" s="112" t="s">
        <v>184</v>
      </c>
      <c r="C310" s="112"/>
      <c r="D310" s="112"/>
      <c r="E310" s="16" t="s">
        <v>229</v>
      </c>
      <c r="F310" s="111">
        <f>F311</f>
        <v>10082237</v>
      </c>
      <c r="G310" s="111">
        <f aca="true" t="shared" si="96" ref="G310:P310">G311</f>
        <v>10082237</v>
      </c>
      <c r="H310" s="111">
        <f t="shared" si="96"/>
        <v>7589878</v>
      </c>
      <c r="I310" s="111">
        <f t="shared" si="96"/>
        <v>203900</v>
      </c>
      <c r="J310" s="111">
        <f t="shared" si="96"/>
        <v>0</v>
      </c>
      <c r="K310" s="111">
        <f t="shared" si="96"/>
        <v>205000</v>
      </c>
      <c r="L310" s="111">
        <f t="shared" si="96"/>
        <v>19000</v>
      </c>
      <c r="M310" s="111">
        <f t="shared" si="96"/>
        <v>0</v>
      </c>
      <c r="N310" s="111">
        <f t="shared" si="96"/>
        <v>0</v>
      </c>
      <c r="O310" s="111">
        <f t="shared" si="96"/>
        <v>186000</v>
      </c>
      <c r="P310" s="111">
        <f t="shared" si="96"/>
        <v>186000</v>
      </c>
      <c r="Q310" s="111">
        <f t="shared" si="86"/>
        <v>10287237</v>
      </c>
      <c r="R310" s="238"/>
      <c r="S310" s="103"/>
      <c r="T310" s="103"/>
      <c r="U310" s="103"/>
      <c r="V310" s="103"/>
      <c r="W310" s="103"/>
      <c r="X310" s="103"/>
      <c r="Y310" s="103"/>
      <c r="Z310" s="103"/>
      <c r="AA310" s="103"/>
      <c r="AB310" s="103"/>
      <c r="AC310" s="103"/>
      <c r="AD310" s="103"/>
      <c r="AE310" s="103"/>
    </row>
    <row r="311" spans="1:31" s="164" customFormat="1" ht="28.5">
      <c r="A311" s="162"/>
      <c r="B311" s="114" t="s">
        <v>185</v>
      </c>
      <c r="C311" s="114"/>
      <c r="D311" s="114"/>
      <c r="E311" s="118" t="s">
        <v>229</v>
      </c>
      <c r="F311" s="116">
        <f>F312+F313+F314</f>
        <v>10082237</v>
      </c>
      <c r="G311" s="116">
        <f aca="true" t="shared" si="97" ref="G311:P311">G312+G313+G314</f>
        <v>10082237</v>
      </c>
      <c r="H311" s="116">
        <f t="shared" si="97"/>
        <v>7589878</v>
      </c>
      <c r="I311" s="116">
        <f t="shared" si="97"/>
        <v>203900</v>
      </c>
      <c r="J311" s="116">
        <f t="shared" si="97"/>
        <v>0</v>
      </c>
      <c r="K311" s="116">
        <f t="shared" si="97"/>
        <v>205000</v>
      </c>
      <c r="L311" s="116">
        <f t="shared" si="97"/>
        <v>19000</v>
      </c>
      <c r="M311" s="116">
        <f t="shared" si="97"/>
        <v>0</v>
      </c>
      <c r="N311" s="116">
        <f t="shared" si="97"/>
        <v>0</v>
      </c>
      <c r="O311" s="116">
        <f t="shared" si="97"/>
        <v>186000</v>
      </c>
      <c r="P311" s="116">
        <f t="shared" si="97"/>
        <v>186000</v>
      </c>
      <c r="Q311" s="116">
        <f t="shared" si="86"/>
        <v>10287237</v>
      </c>
      <c r="R311" s="238"/>
      <c r="S311" s="163"/>
      <c r="T311" s="163"/>
      <c r="U311" s="163"/>
      <c r="V311" s="163"/>
      <c r="W311" s="163"/>
      <c r="X311" s="163"/>
      <c r="Y311" s="163"/>
      <c r="Z311" s="163"/>
      <c r="AA311" s="163"/>
      <c r="AB311" s="163"/>
      <c r="AC311" s="163"/>
      <c r="AD311" s="163"/>
      <c r="AE311" s="163"/>
    </row>
    <row r="312" spans="1:31" s="14" customFormat="1" ht="27">
      <c r="A312" s="145"/>
      <c r="B312" s="98" t="s">
        <v>186</v>
      </c>
      <c r="C312" s="98" t="s">
        <v>249</v>
      </c>
      <c r="D312" s="98" t="s">
        <v>250</v>
      </c>
      <c r="E312" s="99" t="s">
        <v>520</v>
      </c>
      <c r="F312" s="106">
        <f>G312+J312</f>
        <v>9855137</v>
      </c>
      <c r="G312" s="106">
        <f>9049300+23400-66400+33171+147916+667750</f>
        <v>9855137</v>
      </c>
      <c r="H312" s="106">
        <f>6921300+121243+547335</f>
        <v>7589878</v>
      </c>
      <c r="I312" s="106">
        <f>180500+23400</f>
        <v>203900</v>
      </c>
      <c r="J312" s="106"/>
      <c r="K312" s="106">
        <f>L312+O312</f>
        <v>186000</v>
      </c>
      <c r="L312" s="106"/>
      <c r="M312" s="106"/>
      <c r="N312" s="106"/>
      <c r="O312" s="106">
        <f>50000+81000+55000</f>
        <v>186000</v>
      </c>
      <c r="P312" s="106">
        <f>50000+81000+55000</f>
        <v>186000</v>
      </c>
      <c r="Q312" s="106">
        <f t="shared" si="86"/>
        <v>10041137</v>
      </c>
      <c r="R312" s="238"/>
      <c r="S312" s="41"/>
      <c r="T312" s="41"/>
      <c r="U312" s="41"/>
      <c r="V312" s="41"/>
      <c r="W312" s="41"/>
      <c r="X312" s="41"/>
      <c r="Y312" s="41"/>
      <c r="Z312" s="41"/>
      <c r="AA312" s="41"/>
      <c r="AB312" s="41"/>
      <c r="AC312" s="41"/>
      <c r="AD312" s="41"/>
      <c r="AE312" s="41"/>
    </row>
    <row r="313" spans="1:31" s="14" customFormat="1" ht="19.5" customHeight="1">
      <c r="A313" s="13"/>
      <c r="B313" s="122" t="s">
        <v>208</v>
      </c>
      <c r="C313" s="122" t="s">
        <v>359</v>
      </c>
      <c r="D313" s="122" t="s">
        <v>360</v>
      </c>
      <c r="E313" s="161" t="s">
        <v>207</v>
      </c>
      <c r="F313" s="106">
        <f>G313+J313</f>
        <v>227100</v>
      </c>
      <c r="G313" s="106">
        <v>227100</v>
      </c>
      <c r="H313" s="106"/>
      <c r="I313" s="106"/>
      <c r="J313" s="106"/>
      <c r="K313" s="106">
        <f>L313+O313</f>
        <v>0</v>
      </c>
      <c r="L313" s="106"/>
      <c r="M313" s="106"/>
      <c r="N313" s="106"/>
      <c r="O313" s="106"/>
      <c r="P313" s="106"/>
      <c r="Q313" s="106">
        <f t="shared" si="86"/>
        <v>227100</v>
      </c>
      <c r="R313" s="238"/>
      <c r="S313" s="41"/>
      <c r="T313" s="41"/>
      <c r="U313" s="41"/>
      <c r="V313" s="41"/>
      <c r="W313" s="41"/>
      <c r="X313" s="41"/>
      <c r="Y313" s="41"/>
      <c r="Z313" s="41"/>
      <c r="AA313" s="41"/>
      <c r="AB313" s="41"/>
      <c r="AC313" s="41"/>
      <c r="AD313" s="41"/>
      <c r="AE313" s="41"/>
    </row>
    <row r="314" spans="1:31" s="14" customFormat="1" ht="33" customHeight="1">
      <c r="A314" s="13"/>
      <c r="B314" s="122" t="s">
        <v>235</v>
      </c>
      <c r="C314" s="122" t="s">
        <v>367</v>
      </c>
      <c r="D314" s="122" t="s">
        <v>368</v>
      </c>
      <c r="E314" s="161" t="s">
        <v>217</v>
      </c>
      <c r="F314" s="106">
        <f>G314+J314</f>
        <v>0</v>
      </c>
      <c r="G314" s="106"/>
      <c r="H314" s="106"/>
      <c r="I314" s="106"/>
      <c r="J314" s="106"/>
      <c r="K314" s="106">
        <f>L314+O314</f>
        <v>19000</v>
      </c>
      <c r="L314" s="106">
        <v>19000</v>
      </c>
      <c r="M314" s="106"/>
      <c r="N314" s="106"/>
      <c r="O314" s="106"/>
      <c r="P314" s="106"/>
      <c r="Q314" s="106">
        <f t="shared" si="86"/>
        <v>19000</v>
      </c>
      <c r="R314" s="238"/>
      <c r="S314" s="41"/>
      <c r="T314" s="41"/>
      <c r="U314" s="41"/>
      <c r="V314" s="41"/>
      <c r="W314" s="41"/>
      <c r="X314" s="41"/>
      <c r="Y314" s="41"/>
      <c r="Z314" s="41"/>
      <c r="AA314" s="41"/>
      <c r="AB314" s="41"/>
      <c r="AC314" s="41"/>
      <c r="AD314" s="41"/>
      <c r="AE314" s="41"/>
    </row>
    <row r="315" spans="1:31" s="104" customFormat="1" ht="42.75" customHeight="1">
      <c r="A315" s="101"/>
      <c r="B315" s="102">
        <v>7600000</v>
      </c>
      <c r="C315" s="102"/>
      <c r="D315" s="102"/>
      <c r="E315" s="16" t="s">
        <v>230</v>
      </c>
      <c r="F315" s="111">
        <f>F316</f>
        <v>71181228.47</v>
      </c>
      <c r="G315" s="111">
        <f aca="true" t="shared" si="98" ref="G315:P315">G316</f>
        <v>67231500</v>
      </c>
      <c r="H315" s="111">
        <f t="shared" si="98"/>
        <v>0</v>
      </c>
      <c r="I315" s="111">
        <f t="shared" si="98"/>
        <v>0</v>
      </c>
      <c r="J315" s="111">
        <f t="shared" si="98"/>
        <v>0</v>
      </c>
      <c r="K315" s="111">
        <f t="shared" si="98"/>
        <v>1500000</v>
      </c>
      <c r="L315" s="111">
        <f t="shared" si="98"/>
        <v>0</v>
      </c>
      <c r="M315" s="111">
        <f t="shared" si="98"/>
        <v>0</v>
      </c>
      <c r="N315" s="111">
        <f t="shared" si="98"/>
        <v>0</v>
      </c>
      <c r="O315" s="111">
        <f t="shared" si="98"/>
        <v>1500000</v>
      </c>
      <c r="P315" s="111">
        <f t="shared" si="98"/>
        <v>1500000</v>
      </c>
      <c r="Q315" s="111">
        <f t="shared" si="86"/>
        <v>72681228.47</v>
      </c>
      <c r="R315" s="238"/>
      <c r="S315" s="103"/>
      <c r="T315" s="103"/>
      <c r="U315" s="103"/>
      <c r="V315" s="103"/>
      <c r="W315" s="103"/>
      <c r="X315" s="103"/>
      <c r="Y315" s="103"/>
      <c r="Z315" s="103"/>
      <c r="AA315" s="103"/>
      <c r="AB315" s="103"/>
      <c r="AC315" s="103"/>
      <c r="AD315" s="103"/>
      <c r="AE315" s="103"/>
    </row>
    <row r="316" spans="1:31" s="164" customFormat="1" ht="45.75" customHeight="1">
      <c r="A316" s="162"/>
      <c r="B316" s="119">
        <v>7610000</v>
      </c>
      <c r="C316" s="119"/>
      <c r="D316" s="119"/>
      <c r="E316" s="118" t="s">
        <v>230</v>
      </c>
      <c r="F316" s="116">
        <f>F317+F318+F319</f>
        <v>71181228.47</v>
      </c>
      <c r="G316" s="116">
        <f aca="true" t="shared" si="99" ref="G316:Q316">G317+G318+G319</f>
        <v>67231500</v>
      </c>
      <c r="H316" s="116">
        <f t="shared" si="99"/>
        <v>0</v>
      </c>
      <c r="I316" s="116">
        <f t="shared" si="99"/>
        <v>0</v>
      </c>
      <c r="J316" s="116">
        <f t="shared" si="99"/>
        <v>0</v>
      </c>
      <c r="K316" s="116">
        <f t="shared" si="99"/>
        <v>1500000</v>
      </c>
      <c r="L316" s="116">
        <f t="shared" si="99"/>
        <v>0</v>
      </c>
      <c r="M316" s="116">
        <f t="shared" si="99"/>
        <v>0</v>
      </c>
      <c r="N316" s="116">
        <f t="shared" si="99"/>
        <v>0</v>
      </c>
      <c r="O316" s="116">
        <f t="shared" si="99"/>
        <v>1500000</v>
      </c>
      <c r="P316" s="116">
        <f t="shared" si="99"/>
        <v>1500000</v>
      </c>
      <c r="Q316" s="116">
        <f t="shared" si="99"/>
        <v>72681228.47</v>
      </c>
      <c r="R316" s="238"/>
      <c r="S316" s="163"/>
      <c r="T316" s="163"/>
      <c r="U316" s="163"/>
      <c r="V316" s="163"/>
      <c r="W316" s="163"/>
      <c r="X316" s="163"/>
      <c r="Y316" s="163"/>
      <c r="Z316" s="163"/>
      <c r="AA316" s="163"/>
      <c r="AB316" s="163"/>
      <c r="AC316" s="163"/>
      <c r="AD316" s="163"/>
      <c r="AE316" s="163"/>
    </row>
    <row r="317" spans="1:31" s="14" customFormat="1" ht="15">
      <c r="A317" s="145"/>
      <c r="B317" s="100">
        <v>7618010</v>
      </c>
      <c r="C317" s="100">
        <v>8010</v>
      </c>
      <c r="D317" s="98" t="s">
        <v>371</v>
      </c>
      <c r="E317" s="99" t="s">
        <v>29</v>
      </c>
      <c r="F317" s="106">
        <f>7191907-5500+3500+3781+22800+127100+94-250000+685730-1685400+53402+10000000+50000-5000000-788200+450000-5485104-86040.25+852000-1500000-11021.28-679320</f>
        <v>3949728.4699999997</v>
      </c>
      <c r="G317" s="106"/>
      <c r="H317" s="106"/>
      <c r="I317" s="106"/>
      <c r="J317" s="106"/>
      <c r="K317" s="106">
        <f>L317+O317</f>
        <v>0</v>
      </c>
      <c r="L317" s="106"/>
      <c r="M317" s="106"/>
      <c r="N317" s="106"/>
      <c r="O317" s="106"/>
      <c r="P317" s="106"/>
      <c r="Q317" s="106">
        <f t="shared" si="86"/>
        <v>3949728.4699999997</v>
      </c>
      <c r="R317" s="238"/>
      <c r="S317" s="41"/>
      <c r="T317" s="41"/>
      <c r="U317" s="41"/>
      <c r="V317" s="41"/>
      <c r="W317" s="41"/>
      <c r="X317" s="41"/>
      <c r="Y317" s="41"/>
      <c r="Z317" s="41"/>
      <c r="AA317" s="41"/>
      <c r="AB317" s="41"/>
      <c r="AC317" s="41"/>
      <c r="AD317" s="41"/>
      <c r="AE317" s="41"/>
    </row>
    <row r="318" spans="1:31" s="14" customFormat="1" ht="15">
      <c r="A318" s="13"/>
      <c r="B318" s="123">
        <v>7618120</v>
      </c>
      <c r="C318" s="123">
        <v>8120</v>
      </c>
      <c r="D318" s="122" t="s">
        <v>249</v>
      </c>
      <c r="E318" s="161" t="s">
        <v>415</v>
      </c>
      <c r="F318" s="106">
        <f>G318+J318</f>
        <v>67231500</v>
      </c>
      <c r="G318" s="106">
        <f>65470900+1760600</f>
        <v>67231500</v>
      </c>
      <c r="H318" s="106"/>
      <c r="I318" s="106"/>
      <c r="J318" s="106"/>
      <c r="K318" s="106">
        <f>L318+O318</f>
        <v>0</v>
      </c>
      <c r="L318" s="106"/>
      <c r="M318" s="106"/>
      <c r="N318" s="106"/>
      <c r="O318" s="106"/>
      <c r="P318" s="106"/>
      <c r="Q318" s="106">
        <f t="shared" si="86"/>
        <v>67231500</v>
      </c>
      <c r="R318" s="238"/>
      <c r="S318" s="41"/>
      <c r="T318" s="41"/>
      <c r="U318" s="41"/>
      <c r="V318" s="41"/>
      <c r="W318" s="41"/>
      <c r="X318" s="41"/>
      <c r="Y318" s="41"/>
      <c r="Z318" s="41"/>
      <c r="AA318" s="41"/>
      <c r="AB318" s="41"/>
      <c r="AC318" s="41"/>
      <c r="AD318" s="41"/>
      <c r="AE318" s="41"/>
    </row>
    <row r="319" spans="1:31" s="14" customFormat="1" ht="17.25" customHeight="1">
      <c r="A319" s="13"/>
      <c r="B319" s="123">
        <v>7618800</v>
      </c>
      <c r="C319" s="123">
        <v>8800</v>
      </c>
      <c r="D319" s="122" t="s">
        <v>249</v>
      </c>
      <c r="E319" s="177" t="s">
        <v>30</v>
      </c>
      <c r="F319" s="106">
        <f>F320</f>
        <v>0</v>
      </c>
      <c r="G319" s="106">
        <f aca="true" t="shared" si="100" ref="G319:P319">G320</f>
        <v>0</v>
      </c>
      <c r="H319" s="106">
        <f t="shared" si="100"/>
        <v>0</v>
      </c>
      <c r="I319" s="106">
        <f t="shared" si="100"/>
        <v>0</v>
      </c>
      <c r="J319" s="106">
        <f t="shared" si="100"/>
        <v>0</v>
      </c>
      <c r="K319" s="106">
        <f t="shared" si="100"/>
        <v>1500000</v>
      </c>
      <c r="L319" s="106">
        <f t="shared" si="100"/>
        <v>0</v>
      </c>
      <c r="M319" s="106">
        <f t="shared" si="100"/>
        <v>0</v>
      </c>
      <c r="N319" s="106">
        <f t="shared" si="100"/>
        <v>0</v>
      </c>
      <c r="O319" s="106">
        <f t="shared" si="100"/>
        <v>1500000</v>
      </c>
      <c r="P319" s="106">
        <f t="shared" si="100"/>
        <v>1500000</v>
      </c>
      <c r="Q319" s="106">
        <f t="shared" si="86"/>
        <v>1500000</v>
      </c>
      <c r="R319" s="238"/>
      <c r="S319" s="41"/>
      <c r="T319" s="41"/>
      <c r="U319" s="41"/>
      <c r="V319" s="41"/>
      <c r="W319" s="41"/>
      <c r="X319" s="41"/>
      <c r="Y319" s="41"/>
      <c r="Z319" s="41"/>
      <c r="AA319" s="41"/>
      <c r="AB319" s="41"/>
      <c r="AC319" s="41"/>
      <c r="AD319" s="41"/>
      <c r="AE319" s="41"/>
    </row>
    <row r="320" spans="1:31" s="14" customFormat="1" ht="15">
      <c r="A320" s="13"/>
      <c r="B320" s="27">
        <v>7618800</v>
      </c>
      <c r="C320" s="27">
        <v>8800</v>
      </c>
      <c r="D320" s="28" t="s">
        <v>249</v>
      </c>
      <c r="E320" s="37" t="s">
        <v>561</v>
      </c>
      <c r="F320" s="110">
        <f>G320+J320</f>
        <v>0</v>
      </c>
      <c r="G320" s="110"/>
      <c r="H320" s="106"/>
      <c r="I320" s="106"/>
      <c r="J320" s="106"/>
      <c r="K320" s="106">
        <f>L320+O320</f>
        <v>1500000</v>
      </c>
      <c r="L320" s="106"/>
      <c r="M320" s="106"/>
      <c r="N320" s="106"/>
      <c r="O320" s="106">
        <f>500000+500000+950000-450000</f>
        <v>1500000</v>
      </c>
      <c r="P320" s="106">
        <f>500000+500000+950000-450000</f>
        <v>1500000</v>
      </c>
      <c r="Q320" s="106">
        <f t="shared" si="86"/>
        <v>1500000</v>
      </c>
      <c r="R320" s="238"/>
      <c r="S320" s="41"/>
      <c r="T320" s="41"/>
      <c r="U320" s="41"/>
      <c r="V320" s="41"/>
      <c r="W320" s="41"/>
      <c r="X320" s="41"/>
      <c r="Y320" s="41"/>
      <c r="Z320" s="41"/>
      <c r="AA320" s="41"/>
      <c r="AB320" s="41"/>
      <c r="AC320" s="41"/>
      <c r="AD320" s="41"/>
      <c r="AE320" s="41"/>
    </row>
    <row r="321" spans="1:31" s="104" customFormat="1" ht="15">
      <c r="A321" s="101"/>
      <c r="B321" s="102"/>
      <c r="C321" s="102"/>
      <c r="D321" s="102"/>
      <c r="E321" s="16" t="s">
        <v>31</v>
      </c>
      <c r="F321" s="111">
        <f aca="true" t="shared" si="101" ref="F321:Q321">F12+F70+F99+F131+F214+F219+F228+F265+F272+F275+F296+F305+F310+F315+F293</f>
        <v>2350019658.7</v>
      </c>
      <c r="G321" s="111">
        <f t="shared" si="101"/>
        <v>2276356538.15</v>
      </c>
      <c r="H321" s="111">
        <f t="shared" si="101"/>
        <v>545747313</v>
      </c>
      <c r="I321" s="111">
        <f t="shared" si="101"/>
        <v>109470628</v>
      </c>
      <c r="J321" s="111">
        <f t="shared" si="101"/>
        <v>69713392.08</v>
      </c>
      <c r="K321" s="111">
        <f t="shared" si="101"/>
        <v>730081482.44</v>
      </c>
      <c r="L321" s="111">
        <f t="shared" si="101"/>
        <v>60466899.97</v>
      </c>
      <c r="M321" s="111">
        <f t="shared" si="101"/>
        <v>5793838</v>
      </c>
      <c r="N321" s="111">
        <f t="shared" si="101"/>
        <v>2423113</v>
      </c>
      <c r="O321" s="111">
        <f t="shared" si="101"/>
        <v>669614582.47</v>
      </c>
      <c r="P321" s="111">
        <f t="shared" si="101"/>
        <v>608221951.05</v>
      </c>
      <c r="Q321" s="111">
        <f t="shared" si="101"/>
        <v>3080101141.14</v>
      </c>
      <c r="R321" s="238"/>
      <c r="S321" s="103"/>
      <c r="T321" s="103"/>
      <c r="U321" s="103"/>
      <c r="V321" s="103"/>
      <c r="W321" s="103"/>
      <c r="X321" s="103"/>
      <c r="Y321" s="103"/>
      <c r="Z321" s="103"/>
      <c r="AA321" s="103"/>
      <c r="AB321" s="103"/>
      <c r="AC321" s="103"/>
      <c r="AD321" s="103"/>
      <c r="AE321" s="103"/>
    </row>
    <row r="322" spans="1:31" s="104" customFormat="1" ht="19.5" customHeight="1">
      <c r="A322" s="101"/>
      <c r="B322" s="102"/>
      <c r="C322" s="102"/>
      <c r="D322" s="102"/>
      <c r="E322" s="16" t="s">
        <v>510</v>
      </c>
      <c r="F322" s="111">
        <f aca="true" t="shared" si="102" ref="F322:Q322">F72+F101+F133+F230+F277</f>
        <v>1303504722.86</v>
      </c>
      <c r="G322" s="111">
        <f t="shared" si="102"/>
        <v>1280739144.27</v>
      </c>
      <c r="H322" s="111">
        <f t="shared" si="102"/>
        <v>184750800</v>
      </c>
      <c r="I322" s="111">
        <f t="shared" si="102"/>
        <v>0</v>
      </c>
      <c r="J322" s="111">
        <f t="shared" si="102"/>
        <v>22765578.59</v>
      </c>
      <c r="K322" s="111">
        <f t="shared" si="102"/>
        <v>57787861.84</v>
      </c>
      <c r="L322" s="111">
        <f t="shared" si="102"/>
        <v>0</v>
      </c>
      <c r="M322" s="111">
        <f t="shared" si="102"/>
        <v>0</v>
      </c>
      <c r="N322" s="111">
        <f t="shared" si="102"/>
        <v>0</v>
      </c>
      <c r="O322" s="111">
        <f t="shared" si="102"/>
        <v>57787861.84</v>
      </c>
      <c r="P322" s="111">
        <f t="shared" si="102"/>
        <v>12612622.05</v>
      </c>
      <c r="Q322" s="111">
        <f t="shared" si="102"/>
        <v>1361292584.7</v>
      </c>
      <c r="R322" s="238"/>
      <c r="S322" s="103"/>
      <c r="T322" s="103"/>
      <c r="U322" s="103"/>
      <c r="V322" s="103"/>
      <c r="W322" s="103"/>
      <c r="X322" s="103"/>
      <c r="Y322" s="103"/>
      <c r="Z322" s="103"/>
      <c r="AA322" s="103"/>
      <c r="AB322" s="103"/>
      <c r="AC322" s="103"/>
      <c r="AD322" s="103"/>
      <c r="AE322" s="103"/>
    </row>
    <row r="323" spans="1:31" s="14" customFormat="1" ht="14.25" customHeight="1">
      <c r="A323" s="22"/>
      <c r="B323" s="149"/>
      <c r="C323" s="149"/>
      <c r="D323" s="149"/>
      <c r="E323" s="150"/>
      <c r="F323" s="151"/>
      <c r="G323" s="151"/>
      <c r="H323" s="151"/>
      <c r="I323" s="151"/>
      <c r="J323" s="151"/>
      <c r="K323" s="151"/>
      <c r="L323" s="151"/>
      <c r="M323" s="151"/>
      <c r="N323" s="151"/>
      <c r="O323" s="151"/>
      <c r="P323" s="151"/>
      <c r="Q323" s="151"/>
      <c r="R323" s="238"/>
      <c r="S323" s="41"/>
      <c r="T323" s="41"/>
      <c r="U323" s="41"/>
      <c r="V323" s="41"/>
      <c r="W323" s="41"/>
      <c r="X323" s="41"/>
      <c r="Y323" s="41"/>
      <c r="Z323" s="41"/>
      <c r="AA323" s="41"/>
      <c r="AB323" s="41"/>
      <c r="AC323" s="41"/>
      <c r="AD323" s="41"/>
      <c r="AE323" s="41"/>
    </row>
    <row r="324" spans="2:18" ht="75" customHeight="1">
      <c r="B324" s="96"/>
      <c r="C324" s="96"/>
      <c r="D324" s="96"/>
      <c r="E324" s="173"/>
      <c r="F324" s="81"/>
      <c r="G324" s="80"/>
      <c r="H324" s="80"/>
      <c r="I324" s="80"/>
      <c r="J324" s="80"/>
      <c r="K324" s="80"/>
      <c r="L324" s="80"/>
      <c r="M324" s="38"/>
      <c r="N324" s="38"/>
      <c r="O324" s="38"/>
      <c r="P324" s="152"/>
      <c r="Q324" s="152"/>
      <c r="R324" s="238"/>
    </row>
    <row r="325" spans="1:31" s="182" customFormat="1" ht="24.75">
      <c r="A325" s="7"/>
      <c r="B325" s="17"/>
      <c r="C325" s="39"/>
      <c r="D325" s="236"/>
      <c r="E325" s="236"/>
      <c r="F325" s="236"/>
      <c r="G325" s="42"/>
      <c r="H325" s="42"/>
      <c r="I325" s="42"/>
      <c r="J325" s="42"/>
      <c r="K325" s="42"/>
      <c r="L325" s="42"/>
      <c r="M325" s="42"/>
      <c r="N325" s="237"/>
      <c r="O325" s="237"/>
      <c r="P325" s="237"/>
      <c r="Q325" s="192"/>
      <c r="R325" s="238"/>
      <c r="S325" s="181"/>
      <c r="T325" s="181"/>
      <c r="U325" s="181"/>
      <c r="V325" s="181"/>
      <c r="W325" s="181"/>
      <c r="X325" s="181"/>
      <c r="Y325" s="181"/>
      <c r="Z325" s="181"/>
      <c r="AA325" s="181"/>
      <c r="AB325" s="181"/>
      <c r="AC325" s="181"/>
      <c r="AD325" s="181"/>
      <c r="AE325" s="181"/>
    </row>
    <row r="326" spans="1:31" s="182" customFormat="1" ht="24.75" customHeight="1">
      <c r="A326" s="7"/>
      <c r="B326" s="39"/>
      <c r="C326" s="236"/>
      <c r="D326" s="236"/>
      <c r="E326" s="236"/>
      <c r="F326" s="236"/>
      <c r="G326" s="236"/>
      <c r="H326" s="236"/>
      <c r="I326" s="236"/>
      <c r="J326" s="42"/>
      <c r="K326" s="42"/>
      <c r="L326" s="192"/>
      <c r="M326" s="42"/>
      <c r="N326" s="237"/>
      <c r="O326" s="237"/>
      <c r="P326" s="237"/>
      <c r="Q326" s="237"/>
      <c r="R326" s="238"/>
      <c r="S326" s="181"/>
      <c r="T326" s="181"/>
      <c r="U326" s="181"/>
      <c r="V326" s="181"/>
      <c r="W326" s="181"/>
      <c r="X326" s="181"/>
      <c r="Y326" s="181"/>
      <c r="Z326" s="181"/>
      <c r="AA326" s="181"/>
      <c r="AB326" s="181"/>
      <c r="AC326" s="181"/>
      <c r="AD326" s="181"/>
      <c r="AE326" s="181"/>
    </row>
    <row r="327" spans="1:31" s="182" customFormat="1" ht="27" customHeight="1">
      <c r="A327" s="7"/>
      <c r="B327" s="235" t="s">
        <v>572</v>
      </c>
      <c r="C327" s="235"/>
      <c r="D327" s="235"/>
      <c r="E327" s="235"/>
      <c r="F327" s="235"/>
      <c r="G327" s="209"/>
      <c r="H327" s="210"/>
      <c r="I327" s="210"/>
      <c r="J327" s="210"/>
      <c r="K327" s="210"/>
      <c r="L327" s="210"/>
      <c r="M327" s="234" t="s">
        <v>573</v>
      </c>
      <c r="N327" s="234"/>
      <c r="O327" s="234"/>
      <c r="P327" s="193"/>
      <c r="Q327" s="193"/>
      <c r="R327" s="238"/>
      <c r="S327" s="181"/>
      <c r="T327" s="181"/>
      <c r="U327" s="181"/>
      <c r="V327" s="181"/>
      <c r="W327" s="181"/>
      <c r="X327" s="181"/>
      <c r="Y327" s="181"/>
      <c r="Z327" s="181"/>
      <c r="AA327" s="181"/>
      <c r="AB327" s="181"/>
      <c r="AC327" s="181"/>
      <c r="AD327" s="181"/>
      <c r="AE327" s="181"/>
    </row>
    <row r="328" spans="1:31" s="182" customFormat="1" ht="27.75">
      <c r="A328" s="7"/>
      <c r="B328" s="193"/>
      <c r="C328" s="96"/>
      <c r="D328" s="96"/>
      <c r="E328" s="96"/>
      <c r="F328" s="173"/>
      <c r="G328" s="81"/>
      <c r="H328" s="80"/>
      <c r="I328" s="80"/>
      <c r="J328" s="80"/>
      <c r="K328" s="80"/>
      <c r="L328" s="80"/>
      <c r="M328" s="80"/>
      <c r="N328" s="38"/>
      <c r="O328" s="38"/>
      <c r="P328" s="38"/>
      <c r="Q328" s="194"/>
      <c r="R328" s="238"/>
      <c r="S328" s="181"/>
      <c r="T328" s="181"/>
      <c r="U328" s="181"/>
      <c r="V328" s="181"/>
      <c r="W328" s="181"/>
      <c r="X328" s="181"/>
      <c r="Y328" s="181"/>
      <c r="Z328" s="181"/>
      <c r="AA328" s="181"/>
      <c r="AB328" s="181"/>
      <c r="AC328" s="181"/>
      <c r="AD328" s="181"/>
      <c r="AE328" s="181"/>
    </row>
    <row r="329" spans="1:31" s="182" customFormat="1" ht="22.5">
      <c r="A329" s="7"/>
      <c r="B329" s="96"/>
      <c r="C329" s="71"/>
      <c r="D329" s="49"/>
      <c r="E329" s="49"/>
      <c r="F329" s="72"/>
      <c r="G329" s="72"/>
      <c r="H329" s="72"/>
      <c r="I329" s="72"/>
      <c r="J329" s="72"/>
      <c r="K329" s="72"/>
      <c r="L329" s="72"/>
      <c r="M329" s="72"/>
      <c r="N329" s="72"/>
      <c r="O329" s="72"/>
      <c r="P329" s="72"/>
      <c r="Q329" s="72"/>
      <c r="R329" s="238"/>
      <c r="S329" s="181"/>
      <c r="T329" s="181"/>
      <c r="U329" s="181"/>
      <c r="V329" s="181"/>
      <c r="W329" s="181"/>
      <c r="X329" s="181"/>
      <c r="Y329" s="181"/>
      <c r="Z329" s="181"/>
      <c r="AA329" s="181"/>
      <c r="AB329" s="181"/>
      <c r="AC329" s="181"/>
      <c r="AD329" s="181"/>
      <c r="AE329" s="181"/>
    </row>
    <row r="330" spans="1:31" s="182" customFormat="1" ht="15">
      <c r="A330" s="7"/>
      <c r="B330" s="71"/>
      <c r="C330" s="49"/>
      <c r="D330" s="49"/>
      <c r="E330" s="72"/>
      <c r="F330" s="200"/>
      <c r="G330" s="200"/>
      <c r="H330" s="200"/>
      <c r="I330" s="200"/>
      <c r="J330" s="200">
        <f>J322-'дод. 4'!I255</f>
        <v>0</v>
      </c>
      <c r="K330" s="200">
        <f>K322-'дод. 4'!J255</f>
        <v>0</v>
      </c>
      <c r="L330" s="200">
        <f>L322-'дод. 4'!K255</f>
        <v>0</v>
      </c>
      <c r="M330" s="200">
        <f>M322-'дод. 4'!L255</f>
        <v>0</v>
      </c>
      <c r="N330" s="200">
        <f>N322-'дод. 4'!M255</f>
        <v>0</v>
      </c>
      <c r="O330" s="200">
        <f>O322-'дод. 4'!N255</f>
        <v>0</v>
      </c>
      <c r="P330" s="200">
        <f>P322-'дод. 4'!O255</f>
        <v>0</v>
      </c>
      <c r="Q330" s="200">
        <f>Q322-'дод. 4'!P255</f>
        <v>0</v>
      </c>
      <c r="R330" s="238"/>
      <c r="S330" s="181"/>
      <c r="T330" s="181"/>
      <c r="U330" s="205"/>
      <c r="V330" s="205"/>
      <c r="W330" s="205"/>
      <c r="X330" s="181"/>
      <c r="Y330" s="181"/>
      <c r="Z330" s="181"/>
      <c r="AA330" s="181"/>
      <c r="AB330" s="181"/>
      <c r="AC330" s="181"/>
      <c r="AD330" s="181"/>
      <c r="AE330" s="181"/>
    </row>
    <row r="331" spans="1:31" s="182" customFormat="1" ht="13.5">
      <c r="A331" s="7"/>
      <c r="B331" s="17"/>
      <c r="C331" s="17"/>
      <c r="D331" s="208"/>
      <c r="E331" s="12"/>
      <c r="F331" s="192"/>
      <c r="G331" s="192">
        <f>G321-'дод. 4'!F254</f>
        <v>0</v>
      </c>
      <c r="H331" s="192">
        <f>H321-'дод. 4'!G254</f>
        <v>0</v>
      </c>
      <c r="I331" s="192">
        <f>I321-'дод. 4'!H254</f>
        <v>0</v>
      </c>
      <c r="J331" s="192">
        <f>J321-'дод. 4'!I254</f>
        <v>0</v>
      </c>
      <c r="K331" s="192">
        <f>K321-'дод. 4'!J254</f>
        <v>0</v>
      </c>
      <c r="L331" s="192">
        <f>L321-'дод. 4'!K254</f>
        <v>0</v>
      </c>
      <c r="M331" s="192">
        <f>M321-'дод. 4'!L254</f>
        <v>0</v>
      </c>
      <c r="N331" s="192">
        <f>N321-'дод. 4'!M254</f>
        <v>0</v>
      </c>
      <c r="O331" s="192">
        <f>O321-'дод. 4'!N254</f>
        <v>0</v>
      </c>
      <c r="P331" s="192">
        <f>P321-'дод. 4'!O254</f>
        <v>0</v>
      </c>
      <c r="Q331" s="192">
        <f>Q321-'дод. 4'!P254</f>
        <v>0</v>
      </c>
      <c r="R331" s="238"/>
      <c r="S331" s="181"/>
      <c r="T331" s="181"/>
      <c r="U331" s="181"/>
      <c r="V331" s="181"/>
      <c r="W331" s="181"/>
      <c r="X331" s="181"/>
      <c r="Y331" s="181"/>
      <c r="Z331" s="181"/>
      <c r="AA331" s="181"/>
      <c r="AB331" s="181"/>
      <c r="AC331" s="181"/>
      <c r="AD331" s="181"/>
      <c r="AE331" s="181"/>
    </row>
    <row r="332" spans="1:31" s="182" customFormat="1" ht="13.5">
      <c r="A332" s="7"/>
      <c r="B332" s="17"/>
      <c r="C332" s="17"/>
      <c r="D332" s="208"/>
      <c r="E332" s="12"/>
      <c r="F332" s="192">
        <f>F321-'дод. 4'!E254</f>
        <v>0</v>
      </c>
      <c r="G332" s="192">
        <f>G321-'дод. 4'!F254</f>
        <v>0</v>
      </c>
      <c r="H332" s="192">
        <f>H321-'дод. 4'!G254</f>
        <v>0</v>
      </c>
      <c r="I332" s="192">
        <f>I321-'дод. 4'!H254</f>
        <v>0</v>
      </c>
      <c r="J332" s="192">
        <f>J321-'дод. 4'!I254</f>
        <v>0</v>
      </c>
      <c r="K332" s="192">
        <f>K321-'дод. 4'!J254</f>
        <v>0</v>
      </c>
      <c r="L332" s="192">
        <f>L321-'дод. 4'!K254</f>
        <v>0</v>
      </c>
      <c r="M332" s="192">
        <f>M321-'дод. 4'!L254</f>
        <v>0</v>
      </c>
      <c r="N332" s="192">
        <f>N321-'дод. 4'!M254</f>
        <v>0</v>
      </c>
      <c r="O332" s="192">
        <f>O321-'дод. 4'!N254</f>
        <v>0</v>
      </c>
      <c r="P332" s="192">
        <f>P321-'дод. 4'!O254</f>
        <v>0</v>
      </c>
      <c r="Q332" s="192">
        <f>Q321-'дод. 4'!P254</f>
        <v>0</v>
      </c>
      <c r="R332" s="238"/>
      <c r="S332" s="181"/>
      <c r="T332" s="181"/>
      <c r="U332" s="181"/>
      <c r="V332" s="181"/>
      <c r="W332" s="181"/>
      <c r="X332" s="181"/>
      <c r="Y332" s="181"/>
      <c r="Z332" s="181"/>
      <c r="AA332" s="181"/>
      <c r="AB332" s="181"/>
      <c r="AC332" s="181"/>
      <c r="AD332" s="181"/>
      <c r="AE332" s="181"/>
    </row>
    <row r="333" spans="1:31" s="182" customFormat="1" ht="13.5">
      <c r="A333" s="7"/>
      <c r="B333" s="17"/>
      <c r="C333" s="17"/>
      <c r="D333" s="17"/>
      <c r="E333" s="154"/>
      <c r="F333" s="192">
        <f>F322-'дод. 4'!E255</f>
        <v>0</v>
      </c>
      <c r="G333" s="192">
        <f>G322-'дод. 4'!F255</f>
        <v>0</v>
      </c>
      <c r="H333" s="192">
        <f>H322-'дод. 4'!G255</f>
        <v>0</v>
      </c>
      <c r="I333" s="192">
        <f>I322-'дод. 4'!H255</f>
        <v>0</v>
      </c>
      <c r="J333" s="192">
        <f>J322-'дод. 4'!I255</f>
        <v>0</v>
      </c>
      <c r="K333" s="192">
        <f>K322-'дод. 4'!J255</f>
        <v>0</v>
      </c>
      <c r="L333" s="192">
        <f>L322-'дод. 4'!K255</f>
        <v>0</v>
      </c>
      <c r="M333" s="192">
        <f>M322-'дод. 4'!L255</f>
        <v>0</v>
      </c>
      <c r="N333" s="192">
        <f>N322-'дод. 4'!M255</f>
        <v>0</v>
      </c>
      <c r="O333" s="192">
        <f>O322-'дод. 4'!N255</f>
        <v>0</v>
      </c>
      <c r="P333" s="192">
        <f>P322-'дод. 4'!O255</f>
        <v>0</v>
      </c>
      <c r="Q333" s="192">
        <f>Q322-'дод. 4'!P255</f>
        <v>0</v>
      </c>
      <c r="R333" s="238"/>
      <c r="S333" s="181"/>
      <c r="T333" s="181"/>
      <c r="U333" s="181"/>
      <c r="V333" s="181"/>
      <c r="W333" s="181"/>
      <c r="X333" s="181"/>
      <c r="Y333" s="181"/>
      <c r="Z333" s="181"/>
      <c r="AA333" s="181"/>
      <c r="AB333" s="181"/>
      <c r="AC333" s="181"/>
      <c r="AD333" s="181"/>
      <c r="AE333" s="181"/>
    </row>
    <row r="334" spans="1:31" s="182" customFormat="1" ht="13.5">
      <c r="A334" s="7"/>
      <c r="B334" s="17"/>
      <c r="C334" s="17"/>
      <c r="D334" s="17"/>
      <c r="E334" s="154"/>
      <c r="F334" s="1"/>
      <c r="G334" s="1"/>
      <c r="H334" s="1"/>
      <c r="I334" s="1"/>
      <c r="J334" s="1"/>
      <c r="K334" s="1"/>
      <c r="L334" s="1"/>
      <c r="M334" s="1"/>
      <c r="N334" s="1"/>
      <c r="O334" s="1"/>
      <c r="P334" s="1"/>
      <c r="Q334" s="1"/>
      <c r="R334" s="238"/>
      <c r="S334" s="181"/>
      <c r="T334" s="181"/>
      <c r="U334" s="181"/>
      <c r="V334" s="181"/>
      <c r="W334" s="181"/>
      <c r="X334" s="181"/>
      <c r="Y334" s="181"/>
      <c r="Z334" s="181"/>
      <c r="AA334" s="181"/>
      <c r="AB334" s="181"/>
      <c r="AC334" s="181"/>
      <c r="AD334" s="181"/>
      <c r="AE334" s="181"/>
    </row>
    <row r="335" spans="1:31" s="182" customFormat="1" ht="13.5">
      <c r="A335" s="7"/>
      <c r="B335" s="17"/>
      <c r="C335" s="17"/>
      <c r="D335" s="17"/>
      <c r="E335" s="154"/>
      <c r="F335" s="1"/>
      <c r="G335" s="1"/>
      <c r="H335" s="1"/>
      <c r="I335" s="1"/>
      <c r="J335" s="1"/>
      <c r="K335" s="1"/>
      <c r="L335" s="1"/>
      <c r="M335" s="1"/>
      <c r="N335" s="1"/>
      <c r="O335" s="1"/>
      <c r="P335" s="1"/>
      <c r="Q335" s="1"/>
      <c r="R335" s="238"/>
      <c r="S335" s="181"/>
      <c r="T335" s="181"/>
      <c r="U335" s="181"/>
      <c r="V335" s="181"/>
      <c r="W335" s="181"/>
      <c r="X335" s="181"/>
      <c r="Y335" s="181"/>
      <c r="Z335" s="181"/>
      <c r="AA335" s="181"/>
      <c r="AB335" s="181"/>
      <c r="AC335" s="181"/>
      <c r="AD335" s="181"/>
      <c r="AE335" s="181"/>
    </row>
    <row r="336" spans="1:31" s="182" customFormat="1" ht="13.5">
      <c r="A336" s="7"/>
      <c r="B336" s="17"/>
      <c r="C336" s="17"/>
      <c r="D336" s="17"/>
      <c r="E336" s="154"/>
      <c r="F336" s="192">
        <f>F321-'дод. 4'!E254</f>
        <v>0</v>
      </c>
      <c r="G336" s="192">
        <f>G321-'дод. 4'!F254</f>
        <v>0</v>
      </c>
      <c r="H336" s="192">
        <f>H321-'дод. 4'!G254</f>
        <v>0</v>
      </c>
      <c r="I336" s="192">
        <f>I321-'дод. 4'!H254</f>
        <v>0</v>
      </c>
      <c r="J336" s="192">
        <f>J321-'дод. 4'!I254</f>
        <v>0</v>
      </c>
      <c r="K336" s="192">
        <f>K321-'дод. 4'!J254</f>
        <v>0</v>
      </c>
      <c r="L336" s="192">
        <f>L321-'дод. 4'!K254</f>
        <v>0</v>
      </c>
      <c r="M336" s="192">
        <f>M321-'дод. 4'!L254</f>
        <v>0</v>
      </c>
      <c r="N336" s="192">
        <f>N321-'дод. 4'!M254</f>
        <v>0</v>
      </c>
      <c r="O336" s="192">
        <f>O321-'дод. 4'!N254</f>
        <v>0</v>
      </c>
      <c r="P336" s="192">
        <f>P321-'дод. 4'!O254</f>
        <v>0</v>
      </c>
      <c r="Q336" s="192">
        <f>Q321-'дод. 4'!P254</f>
        <v>0</v>
      </c>
      <c r="R336" s="238"/>
      <c r="S336" s="181"/>
      <c r="T336" s="181"/>
      <c r="U336" s="181"/>
      <c r="V336" s="181"/>
      <c r="W336" s="181"/>
      <c r="X336" s="181"/>
      <c r="Y336" s="181"/>
      <c r="Z336" s="181"/>
      <c r="AA336" s="181"/>
      <c r="AB336" s="181"/>
      <c r="AC336" s="181"/>
      <c r="AD336" s="181"/>
      <c r="AE336" s="181"/>
    </row>
    <row r="337" spans="1:31" s="182" customFormat="1" ht="26.25" customHeight="1">
      <c r="A337" s="7"/>
      <c r="B337" s="17"/>
      <c r="C337" s="17"/>
      <c r="D337" s="17"/>
      <c r="E337" s="154"/>
      <c r="F337" s="192">
        <f>F322-'дод. 4'!E255</f>
        <v>0</v>
      </c>
      <c r="G337" s="192">
        <f>G322-'дод. 4'!F255</f>
        <v>0</v>
      </c>
      <c r="H337" s="192">
        <f>H322-'дод. 4'!G255</f>
        <v>0</v>
      </c>
      <c r="I337" s="192">
        <f>I322-'дод. 4'!H255</f>
        <v>0</v>
      </c>
      <c r="J337" s="192">
        <f>J322-'дод. 4'!I255</f>
        <v>0</v>
      </c>
      <c r="K337" s="192">
        <f>K322-'дод. 4'!J255</f>
        <v>0</v>
      </c>
      <c r="L337" s="192">
        <f>L322-'дод. 4'!K255</f>
        <v>0</v>
      </c>
      <c r="M337" s="192">
        <f>M322-'дод. 4'!L255</f>
        <v>0</v>
      </c>
      <c r="N337" s="192">
        <f>N322-'дод. 4'!M255</f>
        <v>0</v>
      </c>
      <c r="O337" s="192">
        <f>O322-'дод. 4'!N255</f>
        <v>0</v>
      </c>
      <c r="P337" s="192">
        <f>P322-'дод. 4'!O255</f>
        <v>0</v>
      </c>
      <c r="Q337" s="192">
        <f>Q322-'дод. 4'!P255</f>
        <v>0</v>
      </c>
      <c r="R337" s="238"/>
      <c r="S337" s="181"/>
      <c r="T337" s="181"/>
      <c r="U337" s="181"/>
      <c r="V337" s="181"/>
      <c r="W337" s="181"/>
      <c r="X337" s="181"/>
      <c r="Y337" s="181"/>
      <c r="Z337" s="181"/>
      <c r="AA337" s="181"/>
      <c r="AB337" s="181"/>
      <c r="AC337" s="181"/>
      <c r="AD337" s="181"/>
      <c r="AE337" s="181"/>
    </row>
    <row r="338" spans="1:31" s="182" customFormat="1" ht="26.25" customHeight="1">
      <c r="A338" s="7"/>
      <c r="B338" s="17"/>
      <c r="C338" s="17"/>
      <c r="D338" s="17"/>
      <c r="E338" s="154"/>
      <c r="F338" s="1"/>
      <c r="G338" s="1"/>
      <c r="H338" s="1"/>
      <c r="I338" s="1"/>
      <c r="J338" s="1"/>
      <c r="K338" s="1"/>
      <c r="L338" s="1"/>
      <c r="M338" s="1"/>
      <c r="N338" s="1"/>
      <c r="O338" s="1"/>
      <c r="P338" s="1"/>
      <c r="Q338" s="1"/>
      <c r="R338" s="212"/>
      <c r="S338" s="181"/>
      <c r="T338" s="181"/>
      <c r="U338" s="181"/>
      <c r="V338" s="181"/>
      <c r="W338" s="181"/>
      <c r="X338" s="181"/>
      <c r="Y338" s="181"/>
      <c r="Z338" s="181"/>
      <c r="AA338" s="181"/>
      <c r="AB338" s="181"/>
      <c r="AC338" s="181"/>
      <c r="AD338" s="181"/>
      <c r="AE338" s="181"/>
    </row>
    <row r="339" spans="1:31" s="182" customFormat="1" ht="26.25" customHeight="1">
      <c r="A339" s="7"/>
      <c r="B339" s="17"/>
      <c r="C339" s="17"/>
      <c r="D339" s="17"/>
      <c r="E339" s="154"/>
      <c r="F339" s="1"/>
      <c r="G339" s="1"/>
      <c r="H339" s="1"/>
      <c r="I339" s="1"/>
      <c r="J339" s="1"/>
      <c r="K339" s="1"/>
      <c r="L339" s="1"/>
      <c r="M339" s="1"/>
      <c r="N339" s="1"/>
      <c r="O339" s="1"/>
      <c r="P339" s="1"/>
      <c r="Q339" s="1"/>
      <c r="R339" s="212"/>
      <c r="S339" s="181"/>
      <c r="T339" s="181"/>
      <c r="U339" s="181"/>
      <c r="V339" s="181"/>
      <c r="W339" s="181"/>
      <c r="X339" s="181"/>
      <c r="Y339" s="181"/>
      <c r="Z339" s="181"/>
      <c r="AA339" s="181"/>
      <c r="AB339" s="181"/>
      <c r="AC339" s="181"/>
      <c r="AD339" s="181"/>
      <c r="AE339" s="181"/>
    </row>
    <row r="340" spans="1:31" s="182" customFormat="1" ht="26.25" customHeight="1">
      <c r="A340" s="7"/>
      <c r="B340" s="17"/>
      <c r="C340" s="17"/>
      <c r="D340" s="17"/>
      <c r="E340" s="154"/>
      <c r="F340" s="1"/>
      <c r="G340" s="1"/>
      <c r="H340" s="1"/>
      <c r="I340" s="1"/>
      <c r="J340" s="1"/>
      <c r="K340" s="1"/>
      <c r="L340" s="1"/>
      <c r="M340" s="1"/>
      <c r="N340" s="1"/>
      <c r="O340" s="1"/>
      <c r="P340" s="1"/>
      <c r="Q340" s="1"/>
      <c r="R340" s="212"/>
      <c r="S340" s="181"/>
      <c r="T340" s="181"/>
      <c r="U340" s="181"/>
      <c r="V340" s="181"/>
      <c r="W340" s="181"/>
      <c r="X340" s="181"/>
      <c r="Y340" s="181"/>
      <c r="Z340" s="181"/>
      <c r="AA340" s="181"/>
      <c r="AB340" s="181"/>
      <c r="AC340" s="181"/>
      <c r="AD340" s="181"/>
      <c r="AE340" s="181"/>
    </row>
    <row r="341" spans="1:31" s="182" customFormat="1" ht="26.25" customHeight="1">
      <c r="A341" s="7"/>
      <c r="B341" s="17"/>
      <c r="C341" s="17"/>
      <c r="D341" s="17"/>
      <c r="E341" s="154"/>
      <c r="F341" s="1"/>
      <c r="G341" s="1"/>
      <c r="H341" s="1"/>
      <c r="I341" s="1"/>
      <c r="J341" s="1"/>
      <c r="K341" s="1"/>
      <c r="L341" s="1"/>
      <c r="M341" s="1"/>
      <c r="N341" s="1"/>
      <c r="O341" s="1"/>
      <c r="P341" s="1"/>
      <c r="Q341" s="1"/>
      <c r="R341" s="197"/>
      <c r="S341" s="181"/>
      <c r="T341" s="181"/>
      <c r="U341" s="181"/>
      <c r="V341" s="181"/>
      <c r="W341" s="181"/>
      <c r="X341" s="181"/>
      <c r="Y341" s="181"/>
      <c r="Z341" s="181"/>
      <c r="AA341" s="181"/>
      <c r="AB341" s="181"/>
      <c r="AC341" s="181"/>
      <c r="AD341" s="181"/>
      <c r="AE341" s="181"/>
    </row>
    <row r="342" spans="1:31" s="182" customFormat="1" ht="13.5">
      <c r="A342" s="7"/>
      <c r="B342" s="17"/>
      <c r="C342" s="17"/>
      <c r="D342" s="17"/>
      <c r="E342" s="154"/>
      <c r="F342" s="1"/>
      <c r="G342" s="1"/>
      <c r="H342" s="1"/>
      <c r="I342" s="1"/>
      <c r="J342" s="1"/>
      <c r="K342" s="1"/>
      <c r="L342" s="1"/>
      <c r="M342" s="1"/>
      <c r="N342" s="1"/>
      <c r="O342" s="1"/>
      <c r="P342" s="1"/>
      <c r="Q342" s="1"/>
      <c r="R342" s="197"/>
      <c r="S342" s="181"/>
      <c r="T342" s="181"/>
      <c r="U342" s="181"/>
      <c r="V342" s="181"/>
      <c r="W342" s="181"/>
      <c r="X342" s="181"/>
      <c r="Y342" s="181"/>
      <c r="Z342" s="181"/>
      <c r="AA342" s="181"/>
      <c r="AB342" s="181"/>
      <c r="AC342" s="181"/>
      <c r="AD342" s="181"/>
      <c r="AE342" s="181"/>
    </row>
    <row r="343" spans="1:31" s="182" customFormat="1" ht="13.5">
      <c r="A343" s="7"/>
      <c r="B343" s="17"/>
      <c r="C343" s="17"/>
      <c r="D343" s="17"/>
      <c r="E343" s="154"/>
      <c r="F343" s="1"/>
      <c r="G343" s="1"/>
      <c r="H343" s="1"/>
      <c r="I343" s="1"/>
      <c r="J343" s="1"/>
      <c r="K343" s="1"/>
      <c r="L343" s="1"/>
      <c r="M343" s="1"/>
      <c r="N343" s="1"/>
      <c r="O343" s="1"/>
      <c r="P343" s="1"/>
      <c r="Q343" s="1"/>
      <c r="R343" s="197"/>
      <c r="S343" s="181"/>
      <c r="T343" s="181"/>
      <c r="U343" s="181"/>
      <c r="V343" s="181"/>
      <c r="W343" s="181"/>
      <c r="X343" s="181"/>
      <c r="Y343" s="181"/>
      <c r="Z343" s="181"/>
      <c r="AA343" s="181"/>
      <c r="AB343" s="181"/>
      <c r="AC343" s="181"/>
      <c r="AD343" s="181"/>
      <c r="AE343" s="181"/>
    </row>
    <row r="344" spans="1:31" s="182" customFormat="1" ht="13.5">
      <c r="A344" s="7"/>
      <c r="B344" s="17"/>
      <c r="C344" s="17"/>
      <c r="D344" s="17"/>
      <c r="E344" s="154"/>
      <c r="F344" s="1"/>
      <c r="G344" s="1"/>
      <c r="H344" s="1"/>
      <c r="I344" s="1"/>
      <c r="J344" s="1"/>
      <c r="K344" s="1"/>
      <c r="L344" s="1"/>
      <c r="M344" s="1"/>
      <c r="N344" s="1"/>
      <c r="O344" s="1"/>
      <c r="P344" s="1"/>
      <c r="Q344" s="1"/>
      <c r="R344" s="197"/>
      <c r="S344" s="181"/>
      <c r="T344" s="181"/>
      <c r="U344" s="181"/>
      <c r="V344" s="181"/>
      <c r="W344" s="181"/>
      <c r="X344" s="181"/>
      <c r="Y344" s="181"/>
      <c r="Z344" s="181"/>
      <c r="AA344" s="181"/>
      <c r="AB344" s="181"/>
      <c r="AC344" s="181"/>
      <c r="AD344" s="181"/>
      <c r="AE344" s="181"/>
    </row>
    <row r="345" spans="1:31" s="182" customFormat="1" ht="13.5">
      <c r="A345" s="7"/>
      <c r="B345" s="17"/>
      <c r="C345" s="17"/>
      <c r="D345" s="17"/>
      <c r="E345" s="154"/>
      <c r="F345" s="1"/>
      <c r="G345" s="1"/>
      <c r="H345" s="1"/>
      <c r="I345" s="1"/>
      <c r="J345" s="1"/>
      <c r="K345" s="1"/>
      <c r="L345" s="1"/>
      <c r="M345" s="1"/>
      <c r="N345" s="1"/>
      <c r="O345" s="1"/>
      <c r="P345" s="1"/>
      <c r="Q345" s="1"/>
      <c r="R345" s="197"/>
      <c r="S345" s="181"/>
      <c r="T345" s="181"/>
      <c r="U345" s="181"/>
      <c r="V345" s="181"/>
      <c r="W345" s="181"/>
      <c r="X345" s="181"/>
      <c r="Y345" s="181"/>
      <c r="Z345" s="181"/>
      <c r="AA345" s="181"/>
      <c r="AB345" s="181"/>
      <c r="AC345" s="181"/>
      <c r="AD345" s="181"/>
      <c r="AE345" s="181"/>
    </row>
    <row r="346" spans="1:31" s="182" customFormat="1" ht="13.5">
      <c r="A346" s="7"/>
      <c r="B346" s="17"/>
      <c r="C346" s="17"/>
      <c r="D346" s="17"/>
      <c r="E346" s="154"/>
      <c r="F346" s="1"/>
      <c r="G346" s="1"/>
      <c r="H346" s="1"/>
      <c r="I346" s="1"/>
      <c r="J346" s="1"/>
      <c r="K346" s="1"/>
      <c r="L346" s="1"/>
      <c r="M346" s="1"/>
      <c r="N346" s="1"/>
      <c r="O346" s="1"/>
      <c r="P346" s="1"/>
      <c r="Q346" s="1"/>
      <c r="R346" s="197"/>
      <c r="S346" s="181"/>
      <c r="T346" s="181"/>
      <c r="U346" s="181"/>
      <c r="V346" s="181"/>
      <c r="W346" s="181"/>
      <c r="X346" s="181"/>
      <c r="Y346" s="181"/>
      <c r="Z346" s="181"/>
      <c r="AA346" s="181"/>
      <c r="AB346" s="181"/>
      <c r="AC346" s="181"/>
      <c r="AD346" s="181"/>
      <c r="AE346" s="181"/>
    </row>
    <row r="347" spans="1:31" s="182" customFormat="1" ht="13.5">
      <c r="A347" s="7"/>
      <c r="B347" s="17"/>
      <c r="C347" s="17"/>
      <c r="D347" s="17"/>
      <c r="E347" s="154"/>
      <c r="F347" s="1"/>
      <c r="G347" s="1"/>
      <c r="H347" s="1"/>
      <c r="I347" s="1"/>
      <c r="J347" s="1"/>
      <c r="K347" s="1"/>
      <c r="L347" s="1"/>
      <c r="M347" s="1"/>
      <c r="N347" s="1"/>
      <c r="O347" s="1"/>
      <c r="P347" s="1"/>
      <c r="Q347" s="1"/>
      <c r="R347" s="197"/>
      <c r="S347" s="181"/>
      <c r="T347" s="181"/>
      <c r="U347" s="181"/>
      <c r="V347" s="181"/>
      <c r="W347" s="181"/>
      <c r="X347" s="181"/>
      <c r="Y347" s="181"/>
      <c r="Z347" s="181"/>
      <c r="AA347" s="181"/>
      <c r="AB347" s="181"/>
      <c r="AC347" s="181"/>
      <c r="AD347" s="181"/>
      <c r="AE347" s="181"/>
    </row>
    <row r="348" spans="1:31" s="182" customFormat="1" ht="13.5">
      <c r="A348" s="7"/>
      <c r="B348" s="17"/>
      <c r="C348" s="17"/>
      <c r="D348" s="17"/>
      <c r="E348" s="154"/>
      <c r="F348" s="1"/>
      <c r="G348" s="1"/>
      <c r="H348" s="1"/>
      <c r="I348" s="1"/>
      <c r="J348" s="1"/>
      <c r="K348" s="1"/>
      <c r="L348" s="1"/>
      <c r="M348" s="1"/>
      <c r="N348" s="1"/>
      <c r="O348" s="1"/>
      <c r="P348" s="1"/>
      <c r="Q348" s="1"/>
      <c r="R348" s="197"/>
      <c r="S348" s="181"/>
      <c r="T348" s="181"/>
      <c r="U348" s="181"/>
      <c r="V348" s="181"/>
      <c r="W348" s="181"/>
      <c r="X348" s="181"/>
      <c r="Y348" s="181"/>
      <c r="Z348" s="181"/>
      <c r="AA348" s="181"/>
      <c r="AB348" s="181"/>
      <c r="AC348" s="181"/>
      <c r="AD348" s="181"/>
      <c r="AE348" s="181"/>
    </row>
    <row r="349" spans="1:31" s="182" customFormat="1" ht="13.5">
      <c r="A349" s="7"/>
      <c r="B349" s="17"/>
      <c r="C349" s="17"/>
      <c r="D349" s="17"/>
      <c r="E349" s="154"/>
      <c r="F349" s="1"/>
      <c r="G349" s="1"/>
      <c r="H349" s="1"/>
      <c r="I349" s="1"/>
      <c r="J349" s="1"/>
      <c r="K349" s="1"/>
      <c r="L349" s="1"/>
      <c r="M349" s="1"/>
      <c r="N349" s="1"/>
      <c r="O349" s="1"/>
      <c r="P349" s="1"/>
      <c r="Q349" s="1"/>
      <c r="R349" s="197"/>
      <c r="S349" s="181"/>
      <c r="T349" s="181"/>
      <c r="U349" s="181"/>
      <c r="V349" s="181"/>
      <c r="W349" s="181"/>
      <c r="X349" s="181"/>
      <c r="Y349" s="181"/>
      <c r="Z349" s="181"/>
      <c r="AA349" s="181"/>
      <c r="AB349" s="181"/>
      <c r="AC349" s="181"/>
      <c r="AD349" s="181"/>
      <c r="AE349" s="181"/>
    </row>
    <row r="350" spans="1:31" s="182" customFormat="1" ht="13.5">
      <c r="A350" s="7"/>
      <c r="B350" s="17"/>
      <c r="C350" s="17"/>
      <c r="D350" s="17"/>
      <c r="E350" s="154"/>
      <c r="F350" s="1"/>
      <c r="G350" s="1"/>
      <c r="H350" s="1"/>
      <c r="I350" s="1"/>
      <c r="J350" s="1"/>
      <c r="K350" s="1"/>
      <c r="L350" s="1"/>
      <c r="M350" s="1"/>
      <c r="N350" s="1"/>
      <c r="O350" s="1"/>
      <c r="P350" s="1"/>
      <c r="Q350" s="1"/>
      <c r="R350" s="197"/>
      <c r="S350" s="181"/>
      <c r="T350" s="181"/>
      <c r="U350" s="181"/>
      <c r="V350" s="181"/>
      <c r="W350" s="181"/>
      <c r="X350" s="181"/>
      <c r="Y350" s="181"/>
      <c r="Z350" s="181"/>
      <c r="AA350" s="181"/>
      <c r="AB350" s="181"/>
      <c r="AC350" s="181"/>
      <c r="AD350" s="181"/>
      <c r="AE350" s="181"/>
    </row>
    <row r="351" spans="1:31" s="182" customFormat="1" ht="13.5">
      <c r="A351" s="7"/>
      <c r="B351" s="17"/>
      <c r="C351" s="17"/>
      <c r="D351" s="17"/>
      <c r="E351" s="154"/>
      <c r="F351" s="1"/>
      <c r="G351" s="1"/>
      <c r="H351" s="1"/>
      <c r="I351" s="1"/>
      <c r="J351" s="1"/>
      <c r="K351" s="1"/>
      <c r="L351" s="1"/>
      <c r="M351" s="1"/>
      <c r="N351" s="1"/>
      <c r="O351" s="1"/>
      <c r="P351" s="1"/>
      <c r="Q351" s="1"/>
      <c r="R351" s="197"/>
      <c r="S351" s="181"/>
      <c r="T351" s="181"/>
      <c r="U351" s="181"/>
      <c r="V351" s="181"/>
      <c r="W351" s="181"/>
      <c r="X351" s="181"/>
      <c r="Y351" s="181"/>
      <c r="Z351" s="181"/>
      <c r="AA351" s="181"/>
      <c r="AB351" s="181"/>
      <c r="AC351" s="181"/>
      <c r="AD351" s="181"/>
      <c r="AE351" s="181"/>
    </row>
    <row r="352" spans="1:31" s="182" customFormat="1" ht="13.5">
      <c r="A352" s="7"/>
      <c r="B352" s="17"/>
      <c r="C352" s="17"/>
      <c r="D352" s="17"/>
      <c r="E352" s="154"/>
      <c r="F352" s="1"/>
      <c r="G352" s="1"/>
      <c r="H352" s="1"/>
      <c r="I352" s="1"/>
      <c r="J352" s="1"/>
      <c r="K352" s="1"/>
      <c r="L352" s="1"/>
      <c r="M352" s="1"/>
      <c r="N352" s="1"/>
      <c r="O352" s="1"/>
      <c r="P352" s="1"/>
      <c r="Q352" s="1"/>
      <c r="R352" s="197"/>
      <c r="S352" s="181"/>
      <c r="T352" s="181"/>
      <c r="U352" s="181"/>
      <c r="V352" s="181"/>
      <c r="W352" s="181"/>
      <c r="X352" s="181"/>
      <c r="Y352" s="181"/>
      <c r="Z352" s="181"/>
      <c r="AA352" s="181"/>
      <c r="AB352" s="181"/>
      <c r="AC352" s="181"/>
      <c r="AD352" s="181"/>
      <c r="AE352" s="181"/>
    </row>
    <row r="353" spans="1:31" s="182" customFormat="1" ht="13.5">
      <c r="A353" s="7"/>
      <c r="B353" s="17"/>
      <c r="C353" s="17"/>
      <c r="D353" s="17"/>
      <c r="E353" s="154"/>
      <c r="F353" s="1"/>
      <c r="G353" s="1"/>
      <c r="H353" s="1"/>
      <c r="I353" s="1"/>
      <c r="J353" s="1"/>
      <c r="K353" s="1"/>
      <c r="L353" s="1"/>
      <c r="M353" s="1"/>
      <c r="N353" s="1"/>
      <c r="O353" s="1"/>
      <c r="P353" s="1"/>
      <c r="Q353" s="1"/>
      <c r="R353" s="197"/>
      <c r="S353" s="181"/>
      <c r="T353" s="181"/>
      <c r="U353" s="181"/>
      <c r="V353" s="181"/>
      <c r="W353" s="181"/>
      <c r="X353" s="181"/>
      <c r="Y353" s="181"/>
      <c r="Z353" s="181"/>
      <c r="AA353" s="181"/>
      <c r="AB353" s="181"/>
      <c r="AC353" s="181"/>
      <c r="AD353" s="181"/>
      <c r="AE353" s="181"/>
    </row>
    <row r="354" spans="1:31" s="182" customFormat="1" ht="13.5">
      <c r="A354" s="7"/>
      <c r="B354" s="17"/>
      <c r="C354" s="17"/>
      <c r="D354" s="17"/>
      <c r="E354" s="154"/>
      <c r="F354" s="1"/>
      <c r="G354" s="1"/>
      <c r="H354" s="1"/>
      <c r="I354" s="1"/>
      <c r="J354" s="1"/>
      <c r="K354" s="1"/>
      <c r="L354" s="1"/>
      <c r="M354" s="1"/>
      <c r="N354" s="1"/>
      <c r="O354" s="1"/>
      <c r="P354" s="1"/>
      <c r="Q354" s="1"/>
      <c r="R354" s="197"/>
      <c r="S354" s="181"/>
      <c r="T354" s="181"/>
      <c r="U354" s="181"/>
      <c r="V354" s="181"/>
      <c r="W354" s="181"/>
      <c r="X354" s="181"/>
      <c r="Y354" s="181"/>
      <c r="Z354" s="181"/>
      <c r="AA354" s="181"/>
      <c r="AB354" s="181"/>
      <c r="AC354" s="181"/>
      <c r="AD354" s="181"/>
      <c r="AE354" s="181"/>
    </row>
    <row r="355" spans="1:31" s="182" customFormat="1" ht="13.5">
      <c r="A355" s="7"/>
      <c r="B355" s="17"/>
      <c r="C355" s="17"/>
      <c r="D355" s="17"/>
      <c r="E355" s="154"/>
      <c r="F355" s="1"/>
      <c r="G355" s="1"/>
      <c r="H355" s="1"/>
      <c r="I355" s="1"/>
      <c r="J355" s="1"/>
      <c r="K355" s="1"/>
      <c r="L355" s="1"/>
      <c r="M355" s="1"/>
      <c r="N355" s="1"/>
      <c r="O355" s="1"/>
      <c r="P355" s="1"/>
      <c r="Q355" s="1"/>
      <c r="R355" s="197"/>
      <c r="S355" s="181"/>
      <c r="T355" s="181"/>
      <c r="U355" s="181"/>
      <c r="V355" s="181"/>
      <c r="W355" s="181"/>
      <c r="X355" s="181"/>
      <c r="Y355" s="181"/>
      <c r="Z355" s="181"/>
      <c r="AA355" s="181"/>
      <c r="AB355" s="181"/>
      <c r="AC355" s="181"/>
      <c r="AD355" s="181"/>
      <c r="AE355" s="181"/>
    </row>
    <row r="356" spans="1:31" s="182" customFormat="1" ht="13.5">
      <c r="A356" s="7"/>
      <c r="B356" s="17"/>
      <c r="C356" s="17"/>
      <c r="D356" s="17"/>
      <c r="E356" s="154"/>
      <c r="F356" s="1"/>
      <c r="G356" s="1"/>
      <c r="H356" s="1"/>
      <c r="I356" s="1"/>
      <c r="J356" s="1"/>
      <c r="K356" s="1"/>
      <c r="L356" s="1"/>
      <c r="M356" s="1"/>
      <c r="N356" s="1"/>
      <c r="O356" s="1"/>
      <c r="P356" s="1"/>
      <c r="Q356" s="1"/>
      <c r="R356" s="197"/>
      <c r="S356" s="181"/>
      <c r="T356" s="181"/>
      <c r="U356" s="181"/>
      <c r="V356" s="181"/>
      <c r="W356" s="181"/>
      <c r="X356" s="181"/>
      <c r="Y356" s="181"/>
      <c r="Z356" s="181"/>
      <c r="AA356" s="181"/>
      <c r="AB356" s="181"/>
      <c r="AC356" s="181"/>
      <c r="AD356" s="181"/>
      <c r="AE356" s="181"/>
    </row>
    <row r="357" spans="1:31" s="182" customFormat="1" ht="13.5">
      <c r="A357" s="7"/>
      <c r="B357" s="17"/>
      <c r="C357" s="17"/>
      <c r="D357" s="17"/>
      <c r="E357" s="154"/>
      <c r="F357" s="1"/>
      <c r="G357" s="1"/>
      <c r="H357" s="1"/>
      <c r="I357" s="1"/>
      <c r="J357" s="1"/>
      <c r="K357" s="1"/>
      <c r="L357" s="1"/>
      <c r="M357" s="1"/>
      <c r="N357" s="1"/>
      <c r="O357" s="1"/>
      <c r="P357" s="1"/>
      <c r="Q357" s="1"/>
      <c r="R357" s="197"/>
      <c r="S357" s="181"/>
      <c r="T357" s="181"/>
      <c r="U357" s="181"/>
      <c r="V357" s="181"/>
      <c r="W357" s="181"/>
      <c r="X357" s="181"/>
      <c r="Y357" s="181"/>
      <c r="Z357" s="181"/>
      <c r="AA357" s="181"/>
      <c r="AB357" s="181"/>
      <c r="AC357" s="181"/>
      <c r="AD357" s="181"/>
      <c r="AE357" s="181"/>
    </row>
    <row r="358" spans="1:31" s="182" customFormat="1" ht="13.5">
      <c r="A358" s="7"/>
      <c r="B358" s="17"/>
      <c r="C358" s="17"/>
      <c r="D358" s="17"/>
      <c r="E358" s="154"/>
      <c r="F358" s="1"/>
      <c r="G358" s="1"/>
      <c r="H358" s="1"/>
      <c r="I358" s="1"/>
      <c r="J358" s="1"/>
      <c r="K358" s="1"/>
      <c r="L358" s="1"/>
      <c r="M358" s="1"/>
      <c r="N358" s="1"/>
      <c r="O358" s="1"/>
      <c r="P358" s="1"/>
      <c r="Q358" s="1"/>
      <c r="R358" s="197"/>
      <c r="S358" s="181"/>
      <c r="T358" s="181"/>
      <c r="U358" s="181"/>
      <c r="V358" s="181"/>
      <c r="W358" s="181"/>
      <c r="X358" s="181"/>
      <c r="Y358" s="181"/>
      <c r="Z358" s="181"/>
      <c r="AA358" s="181"/>
      <c r="AB358" s="181"/>
      <c r="AC358" s="181"/>
      <c r="AD358" s="181"/>
      <c r="AE358" s="181"/>
    </row>
    <row r="359" spans="1:31" s="182" customFormat="1" ht="13.5">
      <c r="A359" s="7"/>
      <c r="B359" s="17"/>
      <c r="C359" s="17"/>
      <c r="D359" s="17"/>
      <c r="E359" s="154"/>
      <c r="F359" s="1"/>
      <c r="G359" s="1"/>
      <c r="H359" s="1"/>
      <c r="I359" s="1"/>
      <c r="J359" s="1"/>
      <c r="K359" s="1"/>
      <c r="L359" s="1"/>
      <c r="M359" s="1"/>
      <c r="N359" s="1"/>
      <c r="O359" s="1"/>
      <c r="P359" s="1"/>
      <c r="Q359" s="1"/>
      <c r="R359" s="197"/>
      <c r="S359" s="181"/>
      <c r="T359" s="181"/>
      <c r="U359" s="181"/>
      <c r="V359" s="181"/>
      <c r="W359" s="181"/>
      <c r="X359" s="181"/>
      <c r="Y359" s="181"/>
      <c r="Z359" s="181"/>
      <c r="AA359" s="181"/>
      <c r="AB359" s="181"/>
      <c r="AC359" s="181"/>
      <c r="AD359" s="181"/>
      <c r="AE359" s="181"/>
    </row>
    <row r="360" spans="1:31" s="182" customFormat="1" ht="13.5">
      <c r="A360" s="7"/>
      <c r="B360" s="17"/>
      <c r="C360" s="17"/>
      <c r="D360" s="17"/>
      <c r="E360" s="154"/>
      <c r="F360" s="1"/>
      <c r="G360" s="1"/>
      <c r="H360" s="1"/>
      <c r="I360" s="1"/>
      <c r="J360" s="1"/>
      <c r="K360" s="1"/>
      <c r="L360" s="1"/>
      <c r="M360" s="1"/>
      <c r="N360" s="1"/>
      <c r="O360" s="1"/>
      <c r="P360" s="1"/>
      <c r="Q360" s="1"/>
      <c r="R360" s="197"/>
      <c r="S360" s="181"/>
      <c r="T360" s="181"/>
      <c r="U360" s="181"/>
      <c r="V360" s="181"/>
      <c r="W360" s="181"/>
      <c r="X360" s="181"/>
      <c r="Y360" s="181"/>
      <c r="Z360" s="181"/>
      <c r="AA360" s="181"/>
      <c r="AB360" s="181"/>
      <c r="AC360" s="181"/>
      <c r="AD360" s="181"/>
      <c r="AE360" s="181"/>
    </row>
    <row r="361" spans="1:31" s="182" customFormat="1" ht="13.5">
      <c r="A361" s="7"/>
      <c r="B361" s="17"/>
      <c r="C361" s="17"/>
      <c r="D361" s="17"/>
      <c r="E361" s="154"/>
      <c r="F361" s="1"/>
      <c r="G361" s="1"/>
      <c r="H361" s="1"/>
      <c r="I361" s="1"/>
      <c r="J361" s="1"/>
      <c r="K361" s="1"/>
      <c r="L361" s="1"/>
      <c r="M361" s="1"/>
      <c r="N361" s="1"/>
      <c r="O361" s="1"/>
      <c r="P361" s="1"/>
      <c r="Q361" s="1"/>
      <c r="R361" s="197"/>
      <c r="S361" s="181"/>
      <c r="T361" s="181"/>
      <c r="U361" s="181"/>
      <c r="V361" s="181"/>
      <c r="W361" s="181"/>
      <c r="X361" s="181"/>
      <c r="Y361" s="181"/>
      <c r="Z361" s="181"/>
      <c r="AA361" s="181"/>
      <c r="AB361" s="181"/>
      <c r="AC361" s="181"/>
      <c r="AD361" s="181"/>
      <c r="AE361" s="181"/>
    </row>
    <row r="362" spans="1:31" s="182" customFormat="1" ht="13.5">
      <c r="A362" s="7"/>
      <c r="B362" s="17"/>
      <c r="C362" s="17"/>
      <c r="D362" s="17"/>
      <c r="E362" s="154"/>
      <c r="F362" s="1"/>
      <c r="G362" s="1"/>
      <c r="H362" s="1"/>
      <c r="I362" s="1"/>
      <c r="J362" s="1"/>
      <c r="K362" s="1"/>
      <c r="L362" s="1"/>
      <c r="M362" s="1"/>
      <c r="N362" s="1"/>
      <c r="O362" s="1"/>
      <c r="P362" s="1"/>
      <c r="Q362" s="1"/>
      <c r="R362" s="197"/>
      <c r="S362" s="181"/>
      <c r="T362" s="181"/>
      <c r="U362" s="181"/>
      <c r="V362" s="181"/>
      <c r="W362" s="181"/>
      <c r="X362" s="181"/>
      <c r="Y362" s="181"/>
      <c r="Z362" s="181"/>
      <c r="AA362" s="181"/>
      <c r="AB362" s="181"/>
      <c r="AC362" s="181"/>
      <c r="AD362" s="181"/>
      <c r="AE362" s="181"/>
    </row>
    <row r="363" spans="1:31" s="182" customFormat="1" ht="13.5">
      <c r="A363" s="7"/>
      <c r="B363" s="17"/>
      <c r="C363" s="17"/>
      <c r="D363" s="17"/>
      <c r="E363" s="154"/>
      <c r="F363" s="1"/>
      <c r="G363" s="1"/>
      <c r="H363" s="1"/>
      <c r="I363" s="1"/>
      <c r="J363" s="1"/>
      <c r="K363" s="1"/>
      <c r="L363" s="1"/>
      <c r="M363" s="1"/>
      <c r="N363" s="1"/>
      <c r="O363" s="1"/>
      <c r="P363" s="1"/>
      <c r="Q363" s="1"/>
      <c r="R363" s="197"/>
      <c r="S363" s="181"/>
      <c r="T363" s="181"/>
      <c r="U363" s="181"/>
      <c r="V363" s="181"/>
      <c r="W363" s="181"/>
      <c r="X363" s="181"/>
      <c r="Y363" s="181"/>
      <c r="Z363" s="181"/>
      <c r="AA363" s="181"/>
      <c r="AB363" s="181"/>
      <c r="AC363" s="181"/>
      <c r="AD363" s="181"/>
      <c r="AE363" s="181"/>
    </row>
    <row r="364" spans="1:31" s="182" customFormat="1" ht="13.5">
      <c r="A364" s="7"/>
      <c r="B364" s="17"/>
      <c r="C364" s="17"/>
      <c r="D364" s="17"/>
      <c r="E364" s="154"/>
      <c r="F364" s="1"/>
      <c r="G364" s="1"/>
      <c r="H364" s="1"/>
      <c r="I364" s="1"/>
      <c r="J364" s="1"/>
      <c r="K364" s="1"/>
      <c r="L364" s="1"/>
      <c r="M364" s="1"/>
      <c r="N364" s="1"/>
      <c r="O364" s="1"/>
      <c r="P364" s="1"/>
      <c r="Q364" s="1"/>
      <c r="R364" s="197"/>
      <c r="S364" s="181"/>
      <c r="T364" s="181"/>
      <c r="U364" s="181"/>
      <c r="V364" s="181"/>
      <c r="W364" s="181"/>
      <c r="X364" s="181"/>
      <c r="Y364" s="181"/>
      <c r="Z364" s="181"/>
      <c r="AA364" s="181"/>
      <c r="AB364" s="181"/>
      <c r="AC364" s="181"/>
      <c r="AD364" s="181"/>
      <c r="AE364" s="181"/>
    </row>
    <row r="365" spans="3:11" ht="13.5">
      <c r="C365" s="39"/>
      <c r="K365" s="1"/>
    </row>
    <row r="366" spans="3:11" ht="13.5">
      <c r="C366" s="39"/>
      <c r="K366" s="1"/>
    </row>
    <row r="367" spans="3:11" ht="13.5">
      <c r="C367" s="39"/>
      <c r="K367" s="1"/>
    </row>
    <row r="368" spans="3:11" ht="13.5">
      <c r="C368" s="39"/>
      <c r="K368" s="1"/>
    </row>
    <row r="369" spans="3:11" ht="13.5">
      <c r="C369" s="39"/>
      <c r="K369" s="1"/>
    </row>
    <row r="370" spans="3:11" ht="13.5">
      <c r="C370" s="39"/>
      <c r="K370" s="1"/>
    </row>
    <row r="371" spans="3:11" ht="13.5">
      <c r="C371" s="39"/>
      <c r="K371" s="1"/>
    </row>
    <row r="372" spans="3:11" ht="13.5">
      <c r="C372" s="39"/>
      <c r="K372" s="1"/>
    </row>
    <row r="373" spans="3:11" ht="13.5">
      <c r="C373" s="39"/>
      <c r="K373" s="1"/>
    </row>
    <row r="374" spans="3:11" ht="13.5">
      <c r="C374" s="39"/>
      <c r="K374" s="1"/>
    </row>
    <row r="375" spans="3:11" ht="13.5">
      <c r="C375" s="39"/>
      <c r="K375" s="1"/>
    </row>
    <row r="376" spans="3:11" ht="13.5">
      <c r="C376" s="39"/>
      <c r="K376" s="1"/>
    </row>
    <row r="377" spans="3:11" ht="13.5">
      <c r="C377" s="39"/>
      <c r="K377" s="1"/>
    </row>
    <row r="378" spans="3:11" ht="13.5">
      <c r="C378" s="39"/>
      <c r="K378" s="1"/>
    </row>
    <row r="379" spans="3:11" ht="13.5">
      <c r="C379" s="39"/>
      <c r="K379" s="1"/>
    </row>
    <row r="380" spans="3:11" ht="13.5">
      <c r="C380" s="39"/>
      <c r="K380" s="1"/>
    </row>
    <row r="381" spans="3:11" ht="13.5">
      <c r="C381" s="39"/>
      <c r="K381" s="1"/>
    </row>
    <row r="382" spans="3:11" ht="13.5">
      <c r="C382" s="39"/>
      <c r="K382" s="1"/>
    </row>
    <row r="383" spans="3:11" ht="13.5">
      <c r="C383" s="39"/>
      <c r="K383" s="1"/>
    </row>
    <row r="384" spans="3:11" ht="13.5">
      <c r="C384" s="39"/>
      <c r="K384" s="1"/>
    </row>
    <row r="385" spans="3:11" ht="13.5">
      <c r="C385" s="39"/>
      <c r="K385" s="1"/>
    </row>
    <row r="386" spans="3:11" ht="13.5">
      <c r="C386" s="39"/>
      <c r="K386" s="1"/>
    </row>
    <row r="387" spans="3:11" ht="13.5">
      <c r="C387" s="39"/>
      <c r="K387" s="1"/>
    </row>
    <row r="388" spans="3:11" ht="13.5">
      <c r="C388" s="39"/>
      <c r="K388" s="1"/>
    </row>
    <row r="389" spans="3:11" ht="13.5">
      <c r="C389" s="39"/>
      <c r="K389" s="1"/>
    </row>
    <row r="390" spans="3:11" ht="13.5">
      <c r="C390" s="39"/>
      <c r="K390" s="1"/>
    </row>
    <row r="391" spans="3:11" ht="13.5">
      <c r="C391" s="39"/>
      <c r="K391" s="1"/>
    </row>
    <row r="392" spans="3:11" ht="13.5">
      <c r="C392" s="39"/>
      <c r="K392" s="1"/>
    </row>
    <row r="393" spans="3:11" ht="13.5">
      <c r="C393" s="39"/>
      <c r="K393" s="1"/>
    </row>
    <row r="394" spans="3:11" ht="13.5">
      <c r="C394" s="39"/>
      <c r="K394" s="1"/>
    </row>
    <row r="395" spans="3:11" ht="13.5">
      <c r="C395" s="39"/>
      <c r="K395" s="1"/>
    </row>
    <row r="396" spans="3:11" ht="13.5">
      <c r="C396" s="39"/>
      <c r="K396" s="1"/>
    </row>
    <row r="397" spans="3:11" ht="13.5">
      <c r="C397" s="39"/>
      <c r="K397" s="1"/>
    </row>
    <row r="398" spans="3:11" ht="13.5">
      <c r="C398" s="39"/>
      <c r="K398" s="1"/>
    </row>
    <row r="399" spans="3:11" ht="13.5">
      <c r="C399" s="39"/>
      <c r="K399" s="1"/>
    </row>
    <row r="400" spans="3:11" ht="13.5">
      <c r="C400" s="39"/>
      <c r="K400" s="1"/>
    </row>
    <row r="401" spans="3:11" ht="13.5">
      <c r="C401" s="39"/>
      <c r="K401" s="1"/>
    </row>
    <row r="402" spans="3:11" ht="13.5">
      <c r="C402" s="39"/>
      <c r="K402" s="1"/>
    </row>
    <row r="403" spans="3:11" ht="13.5">
      <c r="C403" s="39"/>
      <c r="K403" s="1"/>
    </row>
    <row r="404" spans="3:11" ht="13.5">
      <c r="C404" s="39"/>
      <c r="K404" s="1"/>
    </row>
    <row r="405" spans="3:11" ht="13.5">
      <c r="C405" s="39"/>
      <c r="K405" s="1"/>
    </row>
    <row r="406" spans="3:11" ht="13.5">
      <c r="C406" s="39"/>
      <c r="K406" s="1"/>
    </row>
    <row r="407" spans="3:11" ht="13.5">
      <c r="C407" s="39"/>
      <c r="K407" s="1"/>
    </row>
    <row r="408" spans="3:11" ht="13.5">
      <c r="C408" s="39"/>
      <c r="K408" s="1"/>
    </row>
    <row r="409" spans="3:11" ht="13.5">
      <c r="C409" s="39"/>
      <c r="K409" s="1"/>
    </row>
    <row r="410" spans="3:11" ht="13.5">
      <c r="C410" s="39"/>
      <c r="K410" s="1"/>
    </row>
    <row r="411" spans="3:11" ht="13.5">
      <c r="C411" s="39"/>
      <c r="K411" s="1"/>
    </row>
    <row r="412" spans="3:11" ht="13.5">
      <c r="C412" s="39"/>
      <c r="K412" s="1"/>
    </row>
    <row r="413" spans="3:11" ht="13.5">
      <c r="C413" s="39"/>
      <c r="K413" s="1"/>
    </row>
    <row r="414" spans="3:11" ht="13.5">
      <c r="C414" s="39"/>
      <c r="K414" s="1"/>
    </row>
    <row r="415" spans="3:11" ht="13.5">
      <c r="C415" s="39"/>
      <c r="K415" s="1"/>
    </row>
    <row r="416" spans="3:11" ht="13.5">
      <c r="C416" s="39"/>
      <c r="K416" s="1"/>
    </row>
    <row r="417" spans="3:11" ht="13.5">
      <c r="C417" s="39"/>
      <c r="K417" s="1"/>
    </row>
    <row r="418" spans="3:11" ht="13.5">
      <c r="C418" s="39"/>
      <c r="K418" s="1"/>
    </row>
    <row r="419" spans="3:11" ht="13.5">
      <c r="C419" s="39"/>
      <c r="K419" s="1"/>
    </row>
    <row r="420" spans="3:11" ht="13.5">
      <c r="C420" s="39"/>
      <c r="K420" s="1"/>
    </row>
    <row r="421" spans="3:11" ht="13.5">
      <c r="C421" s="39"/>
      <c r="K421" s="1"/>
    </row>
    <row r="422" spans="3:11" ht="13.5">
      <c r="C422" s="39"/>
      <c r="K422" s="1"/>
    </row>
    <row r="423" spans="3:11" ht="13.5">
      <c r="C423" s="39"/>
      <c r="K423" s="1"/>
    </row>
    <row r="424" spans="3:11" ht="13.5">
      <c r="C424" s="39"/>
      <c r="K424" s="1"/>
    </row>
    <row r="425" spans="3:11" ht="13.5">
      <c r="C425" s="39"/>
      <c r="K425" s="1"/>
    </row>
    <row r="426" spans="3:11" ht="13.5">
      <c r="C426" s="39"/>
      <c r="K426" s="1"/>
    </row>
    <row r="427" spans="3:11" ht="13.5">
      <c r="C427" s="39"/>
      <c r="K427" s="1"/>
    </row>
    <row r="428" spans="3:11" ht="13.5">
      <c r="C428" s="39"/>
      <c r="K428" s="1"/>
    </row>
    <row r="429" spans="3:11" ht="13.5">
      <c r="C429" s="39"/>
      <c r="K429" s="1"/>
    </row>
    <row r="430" spans="3:11" ht="13.5">
      <c r="C430" s="39"/>
      <c r="K430" s="1"/>
    </row>
    <row r="431" spans="3:11" ht="13.5">
      <c r="C431" s="39"/>
      <c r="K431" s="1"/>
    </row>
    <row r="432" spans="3:11" ht="13.5">
      <c r="C432" s="39"/>
      <c r="K432" s="1"/>
    </row>
    <row r="433" spans="3:11" ht="13.5">
      <c r="C433" s="39"/>
      <c r="K433" s="1"/>
    </row>
    <row r="434" spans="3:11" ht="13.5">
      <c r="C434" s="39"/>
      <c r="K434" s="1"/>
    </row>
    <row r="435" spans="3:11" ht="13.5">
      <c r="C435" s="39"/>
      <c r="K435" s="1"/>
    </row>
    <row r="436" spans="3:11" ht="13.5">
      <c r="C436" s="39"/>
      <c r="K436" s="1"/>
    </row>
    <row r="437" spans="3:11" ht="13.5">
      <c r="C437" s="39"/>
      <c r="K437" s="1"/>
    </row>
    <row r="438" spans="3:11" ht="13.5">
      <c r="C438" s="39"/>
      <c r="K438" s="1"/>
    </row>
    <row r="439" spans="3:11" ht="13.5">
      <c r="C439" s="39"/>
      <c r="K439" s="1"/>
    </row>
    <row r="440" spans="3:11" ht="13.5">
      <c r="C440" s="39"/>
      <c r="K440" s="1"/>
    </row>
    <row r="441" spans="3:11" ht="13.5">
      <c r="C441" s="39"/>
      <c r="K441" s="1"/>
    </row>
    <row r="442" spans="3:11" ht="13.5">
      <c r="C442" s="39"/>
      <c r="K442" s="1"/>
    </row>
    <row r="443" spans="3:11" ht="13.5">
      <c r="C443" s="39"/>
      <c r="K443" s="1"/>
    </row>
    <row r="444" spans="3:11" ht="13.5">
      <c r="C444" s="39"/>
      <c r="K444" s="1"/>
    </row>
    <row r="445" spans="3:11" ht="13.5">
      <c r="C445" s="39"/>
      <c r="K445" s="1"/>
    </row>
    <row r="446" spans="3:11" ht="13.5">
      <c r="C446" s="39"/>
      <c r="K446" s="1"/>
    </row>
    <row r="447" spans="3:11" ht="13.5">
      <c r="C447" s="39"/>
      <c r="K447" s="1"/>
    </row>
    <row r="448" spans="3:11" ht="13.5">
      <c r="C448" s="39"/>
      <c r="K448" s="1"/>
    </row>
    <row r="449" spans="3:11" ht="13.5">
      <c r="C449" s="39"/>
      <c r="K449" s="1"/>
    </row>
    <row r="450" spans="3:11" ht="13.5">
      <c r="C450" s="39"/>
      <c r="K450" s="1"/>
    </row>
    <row r="451" spans="3:11" ht="13.5">
      <c r="C451" s="39"/>
      <c r="K451" s="1"/>
    </row>
    <row r="452" spans="3:11" ht="13.5">
      <c r="C452" s="39"/>
      <c r="K452" s="1"/>
    </row>
    <row r="453" spans="3:11" ht="13.5">
      <c r="C453" s="39"/>
      <c r="K453" s="1"/>
    </row>
    <row r="454" spans="3:11" ht="13.5">
      <c r="C454" s="39"/>
      <c r="K454" s="1"/>
    </row>
    <row r="455" spans="3:11" ht="13.5">
      <c r="C455" s="39"/>
      <c r="K455" s="1"/>
    </row>
    <row r="456" spans="3:11" ht="13.5">
      <c r="C456" s="39"/>
      <c r="K456" s="1"/>
    </row>
    <row r="457" spans="3:11" ht="13.5">
      <c r="C457" s="39"/>
      <c r="K457" s="1"/>
    </row>
    <row r="458" spans="3:11" ht="13.5">
      <c r="C458" s="39"/>
      <c r="K458" s="1"/>
    </row>
    <row r="459" spans="3:11" ht="13.5">
      <c r="C459" s="39"/>
      <c r="K459" s="1"/>
    </row>
    <row r="460" spans="3:11" ht="13.5">
      <c r="C460" s="39"/>
      <c r="K460" s="1"/>
    </row>
    <row r="461" spans="3:11" ht="13.5">
      <c r="C461" s="39"/>
      <c r="K461" s="1"/>
    </row>
    <row r="462" spans="3:11" ht="13.5">
      <c r="C462" s="39"/>
      <c r="K462" s="1"/>
    </row>
    <row r="463" spans="3:11" ht="13.5">
      <c r="C463" s="39"/>
      <c r="K463" s="1"/>
    </row>
    <row r="464" spans="3:11" ht="13.5">
      <c r="C464" s="39"/>
      <c r="K464" s="1"/>
    </row>
    <row r="465" spans="3:11" ht="13.5">
      <c r="C465" s="39"/>
      <c r="K465" s="1"/>
    </row>
    <row r="466" spans="3:11" ht="13.5">
      <c r="C466" s="39"/>
      <c r="K466" s="1"/>
    </row>
    <row r="467" spans="3:11" ht="13.5">
      <c r="C467" s="39"/>
      <c r="K467" s="1"/>
    </row>
    <row r="468" spans="3:11" ht="13.5">
      <c r="C468" s="39"/>
      <c r="K468" s="1"/>
    </row>
    <row r="469" spans="3:11" ht="13.5">
      <c r="C469" s="39"/>
      <c r="K469" s="1"/>
    </row>
    <row r="470" spans="3:11" ht="13.5">
      <c r="C470" s="39"/>
      <c r="K470" s="1"/>
    </row>
    <row r="471" spans="3:11" ht="13.5">
      <c r="C471" s="39"/>
      <c r="K471" s="1"/>
    </row>
    <row r="472" spans="3:11" ht="13.5">
      <c r="C472" s="39"/>
      <c r="K472" s="1"/>
    </row>
    <row r="473" spans="3:11" ht="13.5">
      <c r="C473" s="39"/>
      <c r="K473" s="1"/>
    </row>
    <row r="474" spans="3:11" ht="13.5">
      <c r="C474" s="39"/>
      <c r="K474" s="1"/>
    </row>
    <row r="475" spans="3:11" ht="13.5">
      <c r="C475" s="39"/>
      <c r="K475" s="1"/>
    </row>
  </sheetData>
  <sheetProtection/>
  <mergeCells count="45">
    <mergeCell ref="B327:F327"/>
    <mergeCell ref="D325:F325"/>
    <mergeCell ref="N325:P325"/>
    <mergeCell ref="C326:I326"/>
    <mergeCell ref="N326:Q326"/>
    <mergeCell ref="R300:R337"/>
    <mergeCell ref="R210:R244"/>
    <mergeCell ref="R245:R270"/>
    <mergeCell ref="R142:R159"/>
    <mergeCell ref="R160:R183"/>
    <mergeCell ref="R271:R299"/>
    <mergeCell ref="M327:O327"/>
    <mergeCell ref="R62:R91"/>
    <mergeCell ref="H9:I9"/>
    <mergeCell ref="R92:R130"/>
    <mergeCell ref="R131:R141"/>
    <mergeCell ref="D141:D142"/>
    <mergeCell ref="R184:R209"/>
    <mergeCell ref="B141:B142"/>
    <mergeCell ref="D8:D11"/>
    <mergeCell ref="R31:R61"/>
    <mergeCell ref="G9:G11"/>
    <mergeCell ref="H10:H11"/>
    <mergeCell ref="L9:L11"/>
    <mergeCell ref="P10:P11"/>
    <mergeCell ref="C141:C142"/>
    <mergeCell ref="M9:N9"/>
    <mergeCell ref="R2:R30"/>
    <mergeCell ref="E6:O6"/>
    <mergeCell ref="F8:J8"/>
    <mergeCell ref="E8:E11"/>
    <mergeCell ref="O9:O11"/>
    <mergeCell ref="N10:N11"/>
    <mergeCell ref="K9:K11"/>
    <mergeCell ref="F9:F11"/>
    <mergeCell ref="B8:B11"/>
    <mergeCell ref="C8:C11"/>
    <mergeCell ref="O1:R1"/>
    <mergeCell ref="Q8:Q11"/>
    <mergeCell ref="I10:I11"/>
    <mergeCell ref="M10:M11"/>
    <mergeCell ref="M2:P2"/>
    <mergeCell ref="M4:Q4"/>
    <mergeCell ref="K8:P8"/>
    <mergeCell ref="J9:J11"/>
  </mergeCells>
  <printOptions horizontalCentered="1"/>
  <pageMargins left="0.1968503937007874" right="0.1968503937007874" top="0.7086614173228347" bottom="0.5118110236220472" header="0.5118110236220472" footer="0.2362204724409449"/>
  <pageSetup fitToHeight="12" horizontalDpi="600" verticalDpi="600" orientation="landscape" paperSize="9" scale="43" r:id="rId1"/>
  <headerFooter alignWithMargins="0">
    <oddHeader>&amp;R&amp;20Продовження додатку 3</oddHeader>
  </headerFooter>
  <rowBreaks count="1" manualBreakCount="1">
    <brk id="141" min="1" max="17" man="1"/>
  </rowBreaks>
</worksheet>
</file>

<file path=xl/worksheets/sheet2.xml><?xml version="1.0" encoding="utf-8"?>
<worksheet xmlns="http://schemas.openxmlformats.org/spreadsheetml/2006/main" xmlns:r="http://schemas.openxmlformats.org/officeDocument/2006/relationships">
  <sheetPr>
    <pageSetUpPr fitToPage="1"/>
  </sheetPr>
  <dimension ref="A1:Y597"/>
  <sheetViews>
    <sheetView showGridLines="0" showZeros="0" view="pageBreakPreview" zoomScale="70" zoomScaleNormal="55" zoomScaleSheetLayoutView="70" zoomScalePageLayoutView="0" workbookViewId="0" topLeftCell="B243">
      <selection activeCell="F260" sqref="F260"/>
    </sheetView>
  </sheetViews>
  <sheetFormatPr defaultColWidth="9.16015625" defaultRowHeight="12.75"/>
  <cols>
    <col min="1" max="1" width="3.83203125" style="5" hidden="1" customWidth="1"/>
    <col min="2" max="2" width="19.16015625" style="46" customWidth="1"/>
    <col min="3" max="3" width="18.66015625" style="5" customWidth="1"/>
    <col min="4" max="4" width="76.16015625" style="5" customWidth="1"/>
    <col min="5" max="5" width="24.66015625" style="63" customWidth="1"/>
    <col min="6" max="6" width="25.5" style="64" customWidth="1"/>
    <col min="7" max="7" width="22" style="64" customWidth="1"/>
    <col min="8" max="8" width="22.33203125" style="64" customWidth="1"/>
    <col min="9" max="9" width="23.83203125" style="64" customWidth="1"/>
    <col min="10" max="10" width="27.5" style="63" customWidth="1"/>
    <col min="11" max="11" width="22.83203125" style="64" customWidth="1"/>
    <col min="12" max="12" width="18.66015625" style="64" customWidth="1"/>
    <col min="13" max="13" width="23" style="64" customWidth="1"/>
    <col min="14" max="14" width="23.66015625" style="64" customWidth="1"/>
    <col min="15" max="15" width="24.16015625" style="64" customWidth="1"/>
    <col min="16" max="16" width="26" style="63" customWidth="1"/>
    <col min="17" max="17" width="10" style="198" customWidth="1"/>
    <col min="18" max="19" width="16.16015625" style="6" bestFit="1" customWidth="1"/>
    <col min="20" max="20" width="15.66015625" style="6" customWidth="1"/>
    <col min="21" max="23" width="9.16015625" style="6" customWidth="1"/>
    <col min="24" max="24" width="18.83203125" style="6" customWidth="1"/>
    <col min="25" max="25" width="18.66015625" style="6" customWidth="1"/>
    <col min="26" max="16384" width="9.16015625" style="6" customWidth="1"/>
  </cols>
  <sheetData>
    <row r="1" spans="2:18" ht="12.75" customHeight="1">
      <c r="B1" s="71"/>
      <c r="C1" s="49"/>
      <c r="D1" s="49"/>
      <c r="E1" s="72"/>
      <c r="F1" s="73"/>
      <c r="G1" s="73"/>
      <c r="H1" s="73"/>
      <c r="I1" s="73"/>
      <c r="J1" s="72"/>
      <c r="K1" s="73"/>
      <c r="L1" s="73"/>
      <c r="M1" s="73"/>
      <c r="N1" s="73"/>
      <c r="O1" s="73"/>
      <c r="P1" s="72"/>
      <c r="R1" s="203"/>
    </row>
    <row r="2" spans="2:18" ht="26.25" customHeight="1">
      <c r="B2" s="71"/>
      <c r="C2" s="128"/>
      <c r="D2" s="128"/>
      <c r="E2" s="72"/>
      <c r="F2" s="73"/>
      <c r="G2" s="73"/>
      <c r="H2" s="73"/>
      <c r="I2" s="73"/>
      <c r="J2" s="72"/>
      <c r="K2" s="73"/>
      <c r="L2" s="143"/>
      <c r="M2" s="217" t="s">
        <v>574</v>
      </c>
      <c r="N2" s="217"/>
      <c r="O2" s="217"/>
      <c r="P2" s="217"/>
      <c r="R2" s="203"/>
    </row>
    <row r="3" spans="2:18" ht="26.25" customHeight="1">
      <c r="B3" s="71"/>
      <c r="C3" s="128"/>
      <c r="D3" s="128"/>
      <c r="E3" s="72"/>
      <c r="F3" s="73"/>
      <c r="G3" s="73"/>
      <c r="H3" s="73"/>
      <c r="I3" s="73"/>
      <c r="J3" s="72"/>
      <c r="K3" s="73"/>
      <c r="L3" s="143"/>
      <c r="M3" s="143" t="s">
        <v>575</v>
      </c>
      <c r="N3" s="143"/>
      <c r="O3" s="143"/>
      <c r="P3" s="143"/>
      <c r="R3" s="203"/>
    </row>
    <row r="4" spans="2:18" ht="26.25" customHeight="1">
      <c r="B4" s="71"/>
      <c r="C4" s="128"/>
      <c r="D4" s="128"/>
      <c r="E4" s="72"/>
      <c r="F4" s="73"/>
      <c r="G4" s="73"/>
      <c r="H4" s="73"/>
      <c r="I4" s="73"/>
      <c r="J4" s="72"/>
      <c r="K4" s="73"/>
      <c r="L4" s="143"/>
      <c r="M4" s="221" t="s">
        <v>576</v>
      </c>
      <c r="N4" s="221"/>
      <c r="O4" s="221"/>
      <c r="P4" s="221"/>
      <c r="Q4" s="221"/>
      <c r="R4" s="203"/>
    </row>
    <row r="5" spans="2:18" ht="26.25" customHeight="1">
      <c r="B5" s="71"/>
      <c r="C5" s="128"/>
      <c r="D5" s="128"/>
      <c r="E5" s="72"/>
      <c r="F5" s="73"/>
      <c r="G5" s="73"/>
      <c r="H5" s="73"/>
      <c r="I5" s="73"/>
      <c r="J5" s="72"/>
      <c r="K5" s="73"/>
      <c r="L5" s="196"/>
      <c r="M5" s="196"/>
      <c r="N5" s="196"/>
      <c r="O5" s="196"/>
      <c r="P5" s="196"/>
      <c r="Q5" s="250" t="s">
        <v>580</v>
      </c>
      <c r="R5" s="203"/>
    </row>
    <row r="6" spans="2:18" ht="77.25" customHeight="1">
      <c r="B6" s="223" t="s">
        <v>426</v>
      </c>
      <c r="C6" s="223"/>
      <c r="D6" s="223"/>
      <c r="E6" s="223"/>
      <c r="F6" s="223"/>
      <c r="G6" s="223"/>
      <c r="H6" s="223"/>
      <c r="I6" s="223"/>
      <c r="J6" s="223"/>
      <c r="K6" s="223"/>
      <c r="L6" s="223"/>
      <c r="M6" s="223"/>
      <c r="N6" s="223"/>
      <c r="O6" s="223"/>
      <c r="P6" s="223"/>
      <c r="Q6" s="250"/>
      <c r="R6" s="203"/>
    </row>
    <row r="7" spans="1:18" s="70" customFormat="1" ht="24" customHeight="1">
      <c r="A7" s="49"/>
      <c r="B7" s="71"/>
      <c r="C7" s="97"/>
      <c r="D7" s="97"/>
      <c r="E7" s="72"/>
      <c r="F7" s="73"/>
      <c r="G7" s="73"/>
      <c r="H7" s="73"/>
      <c r="I7" s="73"/>
      <c r="J7" s="72"/>
      <c r="K7" s="73"/>
      <c r="L7" s="73"/>
      <c r="M7" s="73"/>
      <c r="N7" s="73"/>
      <c r="O7" s="73"/>
      <c r="P7" s="207" t="s">
        <v>14</v>
      </c>
      <c r="Q7" s="250"/>
      <c r="R7" s="203"/>
    </row>
    <row r="8" spans="1:18" ht="21.75" customHeight="1">
      <c r="A8" s="47"/>
      <c r="B8" s="253" t="s">
        <v>427</v>
      </c>
      <c r="C8" s="253" t="s">
        <v>251</v>
      </c>
      <c r="D8" s="253" t="s">
        <v>519</v>
      </c>
      <c r="E8" s="241" t="s">
        <v>4</v>
      </c>
      <c r="F8" s="257"/>
      <c r="G8" s="257"/>
      <c r="H8" s="257"/>
      <c r="I8" s="242"/>
      <c r="J8" s="241" t="s">
        <v>5</v>
      </c>
      <c r="K8" s="257"/>
      <c r="L8" s="257"/>
      <c r="M8" s="257"/>
      <c r="N8" s="257"/>
      <c r="O8" s="242"/>
      <c r="P8" s="247" t="s">
        <v>6</v>
      </c>
      <c r="Q8" s="250"/>
      <c r="R8" s="203"/>
    </row>
    <row r="9" spans="1:18" ht="16.5" customHeight="1">
      <c r="A9" s="47"/>
      <c r="B9" s="254"/>
      <c r="C9" s="254"/>
      <c r="D9" s="254"/>
      <c r="E9" s="247" t="s">
        <v>7</v>
      </c>
      <c r="F9" s="244" t="s">
        <v>8</v>
      </c>
      <c r="G9" s="241" t="s">
        <v>9</v>
      </c>
      <c r="H9" s="242"/>
      <c r="I9" s="244" t="s">
        <v>10</v>
      </c>
      <c r="J9" s="247" t="s">
        <v>7</v>
      </c>
      <c r="K9" s="244" t="s">
        <v>8</v>
      </c>
      <c r="L9" s="241" t="s">
        <v>9</v>
      </c>
      <c r="M9" s="242"/>
      <c r="N9" s="244" t="s">
        <v>10</v>
      </c>
      <c r="O9" s="105" t="s">
        <v>9</v>
      </c>
      <c r="P9" s="248"/>
      <c r="Q9" s="250"/>
      <c r="R9" s="203"/>
    </row>
    <row r="10" spans="1:18" ht="20.25" customHeight="1">
      <c r="A10" s="48"/>
      <c r="B10" s="254"/>
      <c r="C10" s="254"/>
      <c r="D10" s="254"/>
      <c r="E10" s="248"/>
      <c r="F10" s="245"/>
      <c r="G10" s="239" t="s">
        <v>11</v>
      </c>
      <c r="H10" s="239" t="s">
        <v>12</v>
      </c>
      <c r="I10" s="245"/>
      <c r="J10" s="248"/>
      <c r="K10" s="245"/>
      <c r="L10" s="239" t="s">
        <v>11</v>
      </c>
      <c r="M10" s="239" t="s">
        <v>12</v>
      </c>
      <c r="N10" s="245"/>
      <c r="O10" s="239" t="s">
        <v>13</v>
      </c>
      <c r="P10" s="248"/>
      <c r="Q10" s="250"/>
      <c r="R10" s="203"/>
    </row>
    <row r="11" spans="1:18" ht="74.25" customHeight="1">
      <c r="A11" s="49"/>
      <c r="B11" s="255"/>
      <c r="C11" s="255"/>
      <c r="D11" s="255"/>
      <c r="E11" s="249"/>
      <c r="F11" s="246"/>
      <c r="G11" s="240"/>
      <c r="H11" s="240"/>
      <c r="I11" s="246"/>
      <c r="J11" s="249"/>
      <c r="K11" s="246"/>
      <c r="L11" s="240"/>
      <c r="M11" s="240"/>
      <c r="N11" s="246"/>
      <c r="O11" s="240"/>
      <c r="P11" s="249"/>
      <c r="Q11" s="250"/>
      <c r="R11" s="203"/>
    </row>
    <row r="12" spans="1:18" s="87" customFormat="1" ht="23.25" customHeight="1">
      <c r="A12" s="86"/>
      <c r="B12" s="88" t="s">
        <v>247</v>
      </c>
      <c r="C12" s="57"/>
      <c r="D12" s="91" t="s">
        <v>248</v>
      </c>
      <c r="E12" s="183">
        <f>E13</f>
        <v>111888348</v>
      </c>
      <c r="F12" s="183">
        <f aca="true" t="shared" si="0" ref="F12:P12">F13</f>
        <v>111888348</v>
      </c>
      <c r="G12" s="183">
        <f t="shared" si="0"/>
        <v>80401042</v>
      </c>
      <c r="H12" s="183">
        <f t="shared" si="0"/>
        <v>3734450</v>
      </c>
      <c r="I12" s="183">
        <f t="shared" si="0"/>
        <v>0</v>
      </c>
      <c r="J12" s="183">
        <f t="shared" si="0"/>
        <v>10745800</v>
      </c>
      <c r="K12" s="183">
        <f t="shared" si="0"/>
        <v>3766500</v>
      </c>
      <c r="L12" s="183">
        <f t="shared" si="0"/>
        <v>2060972</v>
      </c>
      <c r="M12" s="183">
        <f t="shared" si="0"/>
        <v>85300</v>
      </c>
      <c r="N12" s="183">
        <f t="shared" si="0"/>
        <v>6979300</v>
      </c>
      <c r="O12" s="183">
        <f t="shared" si="0"/>
        <v>6698800</v>
      </c>
      <c r="P12" s="183">
        <f t="shared" si="0"/>
        <v>122634148</v>
      </c>
      <c r="Q12" s="250"/>
      <c r="R12" s="203"/>
    </row>
    <row r="13" spans="2:25" ht="35.25" customHeight="1">
      <c r="B13" s="46" t="s">
        <v>249</v>
      </c>
      <c r="C13" s="46" t="s">
        <v>250</v>
      </c>
      <c r="D13" s="60" t="s">
        <v>520</v>
      </c>
      <c r="E13" s="184">
        <f>'дод. 3'!F14+'дод. 3'!F73+'дод. 3'!F102+'дод. 3'!F134+'дод. 3'!F216+'дод. 3'!F221+'дод. 3'!F231+'дод. 3'!F267+'дод. 3'!F274+'дод. 3'!F278+'дод. 3'!F298+'дод. 3'!F307+'дод. 3'!F312+'дод. 3'!F295</f>
        <v>111888348</v>
      </c>
      <c r="F13" s="184">
        <f>'дод. 3'!G14+'дод. 3'!G73+'дод. 3'!G102+'дод. 3'!G134+'дод. 3'!G216+'дод. 3'!G221+'дод. 3'!G231+'дод. 3'!G267+'дод. 3'!G274+'дод. 3'!G278+'дод. 3'!G298+'дод. 3'!G307+'дод. 3'!G312+'дод. 3'!G295</f>
        <v>111888348</v>
      </c>
      <c r="G13" s="184">
        <f>'дод. 3'!H14+'дод. 3'!H73+'дод. 3'!H102+'дод. 3'!H134+'дод. 3'!H216+'дод. 3'!H221+'дод. 3'!H231+'дод. 3'!H267+'дод. 3'!H274+'дод. 3'!H278+'дод. 3'!H298+'дод. 3'!H307+'дод. 3'!H312+'дод. 3'!H295</f>
        <v>80401042</v>
      </c>
      <c r="H13" s="184">
        <f>'дод. 3'!I14+'дод. 3'!I73+'дод. 3'!I102+'дод. 3'!I134+'дод. 3'!I216+'дод. 3'!I221+'дод. 3'!I231+'дод. 3'!I267+'дод. 3'!I274+'дод. 3'!I278+'дод. 3'!I298+'дод. 3'!I307+'дод. 3'!I312+'дод. 3'!I295</f>
        <v>3734450</v>
      </c>
      <c r="I13" s="184">
        <f>'дод. 3'!J14+'дод. 3'!J73+'дод. 3'!J102+'дод. 3'!J134+'дод. 3'!J216+'дод. 3'!J221+'дод. 3'!J231+'дод. 3'!J267+'дод. 3'!J274+'дод. 3'!J278+'дод. 3'!J298+'дод. 3'!J307+'дод. 3'!J312+'дод. 3'!J295</f>
        <v>0</v>
      </c>
      <c r="J13" s="184">
        <f>'дод. 3'!K14+'дод. 3'!K73+'дод. 3'!K102+'дод. 3'!K134+'дод. 3'!K216+'дод. 3'!K221+'дод. 3'!K231+'дод. 3'!K267+'дод. 3'!K274+'дод. 3'!K278+'дод. 3'!K298+'дод. 3'!K307+'дод. 3'!K312+'дод. 3'!K295</f>
        <v>10745800</v>
      </c>
      <c r="K13" s="184">
        <f>'дод. 3'!L14+'дод. 3'!L73+'дод. 3'!L102+'дод. 3'!L134+'дод. 3'!L216+'дод. 3'!L221+'дод. 3'!L231+'дод. 3'!L267+'дод. 3'!L274+'дод. 3'!L278+'дод. 3'!L298+'дод. 3'!L307+'дод. 3'!L312+'дод. 3'!L295</f>
        <v>3766500</v>
      </c>
      <c r="L13" s="184">
        <f>'дод. 3'!M14+'дод. 3'!M73+'дод. 3'!M102+'дод. 3'!M134+'дод. 3'!M216+'дод. 3'!M221+'дод. 3'!M231+'дод. 3'!M267+'дод. 3'!M274+'дод. 3'!M278+'дод. 3'!M298+'дод. 3'!M307+'дод. 3'!M312+'дод. 3'!M295</f>
        <v>2060972</v>
      </c>
      <c r="M13" s="184">
        <f>'дод. 3'!N14+'дод. 3'!N73+'дод. 3'!N102+'дод. 3'!N134+'дод. 3'!N216+'дод. 3'!N221+'дод. 3'!N231+'дод. 3'!N267+'дод. 3'!N274+'дод. 3'!N278+'дод. 3'!N298+'дод. 3'!N307+'дод. 3'!N312+'дод. 3'!N295</f>
        <v>85300</v>
      </c>
      <c r="N13" s="184">
        <f>'дод. 3'!O14+'дод. 3'!O73+'дод. 3'!O102+'дод. 3'!O134+'дод. 3'!O216+'дод. 3'!O221+'дод. 3'!O231+'дод. 3'!O267+'дод. 3'!O274+'дод. 3'!O278+'дод. 3'!O298+'дод. 3'!O307+'дод. 3'!O312+'дод. 3'!O295</f>
        <v>6979300</v>
      </c>
      <c r="O13" s="184">
        <f>'дод. 3'!P14+'дод. 3'!P73+'дод. 3'!P102+'дод. 3'!P134+'дод. 3'!P216+'дод. 3'!P221+'дод. 3'!P231+'дод. 3'!P267+'дод. 3'!P274+'дод. 3'!P278+'дод. 3'!P298+'дод. 3'!P307+'дод. 3'!P312+'дод. 3'!P295</f>
        <v>6698800</v>
      </c>
      <c r="P13" s="184">
        <f>'дод. 3'!Q14+'дод. 3'!Q73+'дод. 3'!Q102+'дод. 3'!Q134+'дод. 3'!Q216+'дод. 3'!Q221+'дод. 3'!Q231+'дод. 3'!Q267+'дод. 3'!Q274+'дод. 3'!Q278+'дод. 3'!Q298+'дод. 3'!Q307+'дод. 3'!Q312+'дод. 3'!Q295</f>
        <v>122634148</v>
      </c>
      <c r="Q13" s="250"/>
      <c r="R13" s="203"/>
      <c r="X13" s="82"/>
      <c r="Y13" s="82"/>
    </row>
    <row r="14" spans="1:25" s="87" customFormat="1" ht="23.25" customHeight="1">
      <c r="A14" s="86"/>
      <c r="B14" s="88" t="s">
        <v>252</v>
      </c>
      <c r="C14" s="57"/>
      <c r="D14" s="91" t="s">
        <v>253</v>
      </c>
      <c r="E14" s="183">
        <f aca="true" t="shared" si="1" ref="E14:P14">E16+E18+E20+E24+E26+E27+E29+E30+E31+E32+E34+E35+E22</f>
        <v>658778879.8</v>
      </c>
      <c r="F14" s="183">
        <f t="shared" si="1"/>
        <v>658778879.8</v>
      </c>
      <c r="G14" s="183">
        <f t="shared" si="1"/>
        <v>411668050</v>
      </c>
      <c r="H14" s="183">
        <f t="shared" si="1"/>
        <v>81981470</v>
      </c>
      <c r="I14" s="183">
        <f t="shared" si="1"/>
        <v>0</v>
      </c>
      <c r="J14" s="183">
        <f t="shared" si="1"/>
        <v>66096620.05</v>
      </c>
      <c r="K14" s="183">
        <f t="shared" si="1"/>
        <v>39235466</v>
      </c>
      <c r="L14" s="183">
        <f t="shared" si="1"/>
        <v>2314390</v>
      </c>
      <c r="M14" s="183">
        <f t="shared" si="1"/>
        <v>2237685</v>
      </c>
      <c r="N14" s="183">
        <f t="shared" si="1"/>
        <v>26861154.05</v>
      </c>
      <c r="O14" s="183">
        <f t="shared" si="1"/>
        <v>22018034.05</v>
      </c>
      <c r="P14" s="183">
        <f t="shared" si="1"/>
        <v>724875499.85</v>
      </c>
      <c r="Q14" s="250"/>
      <c r="R14" s="203"/>
      <c r="X14" s="85"/>
      <c r="Y14" s="85"/>
    </row>
    <row r="15" spans="1:25" s="87" customFormat="1" ht="23.25" customHeight="1">
      <c r="A15" s="86"/>
      <c r="B15" s="88"/>
      <c r="C15" s="57"/>
      <c r="D15" s="91" t="s">
        <v>510</v>
      </c>
      <c r="E15" s="183">
        <f>E19+E21+E25+E28+E23+E17</f>
        <v>227765587.82</v>
      </c>
      <c r="F15" s="183">
        <f aca="true" t="shared" si="2" ref="F15:P15">F19+F21+F25+F28+F23+F17</f>
        <v>227765587.82</v>
      </c>
      <c r="G15" s="183">
        <f t="shared" si="2"/>
        <v>184750800</v>
      </c>
      <c r="H15" s="183">
        <f t="shared" si="2"/>
        <v>0</v>
      </c>
      <c r="I15" s="183">
        <f t="shared" si="2"/>
        <v>0</v>
      </c>
      <c r="J15" s="183">
        <f t="shared" si="2"/>
        <v>9698622.05</v>
      </c>
      <c r="K15" s="183">
        <f t="shared" si="2"/>
        <v>0</v>
      </c>
      <c r="L15" s="183">
        <f t="shared" si="2"/>
        <v>0</v>
      </c>
      <c r="M15" s="183">
        <f t="shared" si="2"/>
        <v>0</v>
      </c>
      <c r="N15" s="183">
        <f t="shared" si="2"/>
        <v>9698622.05</v>
      </c>
      <c r="O15" s="183">
        <f t="shared" si="2"/>
        <v>5023622.05</v>
      </c>
      <c r="P15" s="183">
        <f t="shared" si="2"/>
        <v>237464209.87</v>
      </c>
      <c r="Q15" s="250"/>
      <c r="R15" s="203"/>
      <c r="X15" s="85"/>
      <c r="Y15" s="85"/>
    </row>
    <row r="16" spans="2:25" ht="23.25" customHeight="1">
      <c r="B16" s="46" t="s">
        <v>254</v>
      </c>
      <c r="C16" s="46" t="s">
        <v>255</v>
      </c>
      <c r="D16" s="60" t="s">
        <v>69</v>
      </c>
      <c r="E16" s="184">
        <f>'дод. 3'!F74</f>
        <v>173790362</v>
      </c>
      <c r="F16" s="184">
        <f>'дод. 3'!G74</f>
        <v>173790362</v>
      </c>
      <c r="G16" s="184">
        <f>'дод. 3'!H74</f>
        <v>104365910</v>
      </c>
      <c r="H16" s="184">
        <f>'дод. 3'!I74</f>
        <v>26498635</v>
      </c>
      <c r="I16" s="184">
        <f>'дод. 3'!J74</f>
        <v>0</v>
      </c>
      <c r="J16" s="184">
        <f>'дод. 3'!K74</f>
        <v>20099427</v>
      </c>
      <c r="K16" s="184">
        <f>'дод. 3'!L74</f>
        <v>12650071</v>
      </c>
      <c r="L16" s="184">
        <f>'дод. 3'!M74</f>
        <v>0</v>
      </c>
      <c r="M16" s="184">
        <f>'дод. 3'!N74</f>
        <v>0</v>
      </c>
      <c r="N16" s="184">
        <f>'дод. 3'!O74</f>
        <v>7449356</v>
      </c>
      <c r="O16" s="184">
        <f>'дод. 3'!P74</f>
        <v>5824356</v>
      </c>
      <c r="P16" s="184">
        <f aca="true" t="shared" si="3" ref="P16:P58">E16+J16</f>
        <v>193889789</v>
      </c>
      <c r="Q16" s="250"/>
      <c r="R16" s="203"/>
      <c r="X16" s="82"/>
      <c r="Y16" s="82"/>
    </row>
    <row r="17" spans="3:25" ht="19.5" customHeight="1">
      <c r="C17" s="46"/>
      <c r="D17" s="60" t="s">
        <v>511</v>
      </c>
      <c r="E17" s="184">
        <f>'дод. 3'!F75</f>
        <v>0</v>
      </c>
      <c r="F17" s="184">
        <f>'дод. 3'!G75</f>
        <v>0</v>
      </c>
      <c r="G17" s="184">
        <f>'дод. 3'!H75</f>
        <v>0</v>
      </c>
      <c r="H17" s="184">
        <f>'дод. 3'!I75</f>
        <v>0</v>
      </c>
      <c r="I17" s="184">
        <f>'дод. 3'!J75</f>
        <v>0</v>
      </c>
      <c r="J17" s="184">
        <f>'дод. 3'!K75</f>
        <v>2191532</v>
      </c>
      <c r="K17" s="184">
        <f>'дод. 3'!L75</f>
        <v>0</v>
      </c>
      <c r="L17" s="184">
        <f>'дод. 3'!M75</f>
        <v>0</v>
      </c>
      <c r="M17" s="184">
        <f>'дод. 3'!N75</f>
        <v>0</v>
      </c>
      <c r="N17" s="184">
        <f>'дод. 3'!O75</f>
        <v>2191532</v>
      </c>
      <c r="O17" s="184">
        <f>'дод. 3'!P75</f>
        <v>566532</v>
      </c>
      <c r="P17" s="184">
        <f>'дод. 3'!Q75</f>
        <v>2191532</v>
      </c>
      <c r="Q17" s="250"/>
      <c r="R17" s="203"/>
      <c r="X17" s="82"/>
      <c r="Y17" s="82"/>
    </row>
    <row r="18" spans="2:25" ht="63" customHeight="1">
      <c r="B18" s="46" t="s">
        <v>256</v>
      </c>
      <c r="C18" s="46" t="s">
        <v>257</v>
      </c>
      <c r="D18" s="60" t="s">
        <v>70</v>
      </c>
      <c r="E18" s="184">
        <f>'дод. 3'!F76</f>
        <v>366175892.8</v>
      </c>
      <c r="F18" s="184">
        <f>'дод. 3'!G76</f>
        <v>366175892.8</v>
      </c>
      <c r="G18" s="184">
        <f>'дод. 3'!H76</f>
        <v>238050280</v>
      </c>
      <c r="H18" s="184">
        <f>'дод. 3'!I76</f>
        <v>42548737</v>
      </c>
      <c r="I18" s="184">
        <f>'дод. 3'!J76</f>
        <v>0</v>
      </c>
      <c r="J18" s="184">
        <f>'дод. 3'!K76</f>
        <v>38269398.05</v>
      </c>
      <c r="K18" s="184">
        <f>'дод. 3'!L76</f>
        <v>20411137</v>
      </c>
      <c r="L18" s="184">
        <f>'дод. 3'!M76</f>
        <v>519938</v>
      </c>
      <c r="M18" s="184">
        <f>'дод. 3'!N76</f>
        <v>41716</v>
      </c>
      <c r="N18" s="184">
        <f>'дод. 3'!O76</f>
        <v>17858261.05</v>
      </c>
      <c r="O18" s="184">
        <f>'дод. 3'!P76</f>
        <v>14808261.05</v>
      </c>
      <c r="P18" s="184">
        <f t="shared" si="3"/>
        <v>404445290.85</v>
      </c>
      <c r="Q18" s="250"/>
      <c r="R18" s="203"/>
      <c r="X18" s="82"/>
      <c r="Y18" s="82"/>
    </row>
    <row r="19" spans="3:25" ht="21.75" customHeight="1">
      <c r="C19" s="46"/>
      <c r="D19" s="60" t="s">
        <v>511</v>
      </c>
      <c r="E19" s="184">
        <f>'дод. 3'!F77</f>
        <v>212332237.82</v>
      </c>
      <c r="F19" s="184">
        <f>'дод. 3'!G77</f>
        <v>212332237.82</v>
      </c>
      <c r="G19" s="184">
        <f>'дод. 3'!H77</f>
        <v>174074790</v>
      </c>
      <c r="H19" s="184">
        <f>'дод. 3'!I77</f>
        <v>0</v>
      </c>
      <c r="I19" s="184">
        <f>'дод. 3'!J77</f>
        <v>0</v>
      </c>
      <c r="J19" s="184">
        <f>'дод. 3'!K77</f>
        <v>7100373.05</v>
      </c>
      <c r="K19" s="184">
        <f>'дод. 3'!L77</f>
        <v>0</v>
      </c>
      <c r="L19" s="184">
        <f>'дод. 3'!M77</f>
        <v>0</v>
      </c>
      <c r="M19" s="184">
        <f>'дод. 3'!N77</f>
        <v>0</v>
      </c>
      <c r="N19" s="184">
        <f>'дод. 3'!O77</f>
        <v>7100373.05</v>
      </c>
      <c r="O19" s="184">
        <f>'дод. 3'!P77</f>
        <v>4050373.05</v>
      </c>
      <c r="P19" s="184">
        <f t="shared" si="3"/>
        <v>219432610.87</v>
      </c>
      <c r="Q19" s="250"/>
      <c r="R19" s="203"/>
      <c r="X19" s="82"/>
      <c r="Y19" s="82"/>
    </row>
    <row r="20" spans="2:25" ht="15">
      <c r="B20" s="46" t="s">
        <v>258</v>
      </c>
      <c r="C20" s="46" t="s">
        <v>257</v>
      </c>
      <c r="D20" s="60" t="s">
        <v>71</v>
      </c>
      <c r="E20" s="184">
        <f>'дод. 3'!F78</f>
        <v>638957</v>
      </c>
      <c r="F20" s="184">
        <f>'дод. 3'!G78</f>
        <v>638957</v>
      </c>
      <c r="G20" s="184">
        <f>'дод. 3'!H78</f>
        <v>523390</v>
      </c>
      <c r="H20" s="184">
        <f>'дод. 3'!I78</f>
        <v>0</v>
      </c>
      <c r="I20" s="184">
        <f>'дод. 3'!J78</f>
        <v>0</v>
      </c>
      <c r="J20" s="184">
        <f>'дод. 3'!K78</f>
        <v>0</v>
      </c>
      <c r="K20" s="184">
        <f>'дод. 3'!L78</f>
        <v>0</v>
      </c>
      <c r="L20" s="184">
        <f>'дод. 3'!M78</f>
        <v>0</v>
      </c>
      <c r="M20" s="184">
        <f>'дод. 3'!N78</f>
        <v>0</v>
      </c>
      <c r="N20" s="184">
        <f>'дод. 3'!O78</f>
        <v>0</v>
      </c>
      <c r="O20" s="184">
        <f>'дод. 3'!P78</f>
        <v>0</v>
      </c>
      <c r="P20" s="184">
        <f t="shared" si="3"/>
        <v>638957</v>
      </c>
      <c r="Q20" s="250"/>
      <c r="R20" s="203"/>
      <c r="X20" s="82"/>
      <c r="Y20" s="82"/>
    </row>
    <row r="21" spans="3:25" ht="21" customHeight="1">
      <c r="C21" s="46"/>
      <c r="D21" s="60" t="s">
        <v>511</v>
      </c>
      <c r="E21" s="184">
        <f>'дод. 3'!F79</f>
        <v>638540</v>
      </c>
      <c r="F21" s="184">
        <f>'дод. 3'!G79</f>
        <v>638540</v>
      </c>
      <c r="G21" s="184">
        <f>'дод. 3'!H79</f>
        <v>523390</v>
      </c>
      <c r="H21" s="184">
        <f>'дод. 3'!I79</f>
        <v>0</v>
      </c>
      <c r="I21" s="184">
        <f>'дод. 3'!J79</f>
        <v>0</v>
      </c>
      <c r="J21" s="184">
        <f>'дод. 3'!K79</f>
        <v>0</v>
      </c>
      <c r="K21" s="184">
        <f>'дод. 3'!L79</f>
        <v>0</v>
      </c>
      <c r="L21" s="184">
        <f>'дод. 3'!M79</f>
        <v>0</v>
      </c>
      <c r="M21" s="184">
        <f>'дод. 3'!N79</f>
        <v>0</v>
      </c>
      <c r="N21" s="184">
        <f>'дод. 3'!O79</f>
        <v>0</v>
      </c>
      <c r="O21" s="184">
        <f>'дод. 3'!P79</f>
        <v>0</v>
      </c>
      <c r="P21" s="184">
        <f t="shared" si="3"/>
        <v>638540</v>
      </c>
      <c r="Q21" s="250"/>
      <c r="R21" s="203"/>
      <c r="X21" s="82"/>
      <c r="Y21" s="82"/>
    </row>
    <row r="22" spans="2:25" ht="72" customHeight="1">
      <c r="B22" s="127" t="s">
        <v>259</v>
      </c>
      <c r="C22" s="127" t="s">
        <v>255</v>
      </c>
      <c r="D22" s="60" t="s">
        <v>499</v>
      </c>
      <c r="E22" s="184">
        <f>'дод. 3'!F135</f>
        <v>2415100</v>
      </c>
      <c r="F22" s="184">
        <f>'дод. 3'!G135</f>
        <v>2415100</v>
      </c>
      <c r="G22" s="184">
        <f>'дод. 3'!H135</f>
        <v>0</v>
      </c>
      <c r="H22" s="184">
        <f>'дод. 3'!I135</f>
        <v>0</v>
      </c>
      <c r="I22" s="184">
        <f>'дод. 3'!J135</f>
        <v>0</v>
      </c>
      <c r="J22" s="184">
        <f>'дод. 3'!K135</f>
        <v>0</v>
      </c>
      <c r="K22" s="184">
        <f>'дод. 3'!L135</f>
        <v>0</v>
      </c>
      <c r="L22" s="184">
        <f>'дод. 3'!M135</f>
        <v>0</v>
      </c>
      <c r="M22" s="184">
        <f>'дод. 3'!N135</f>
        <v>0</v>
      </c>
      <c r="N22" s="184">
        <f>'дод. 3'!O135</f>
        <v>0</v>
      </c>
      <c r="O22" s="184">
        <f>'дод. 3'!P135</f>
        <v>0</v>
      </c>
      <c r="P22" s="184">
        <f>'дод. 3'!Q135</f>
        <v>2415100</v>
      </c>
      <c r="Q22" s="250"/>
      <c r="R22" s="203"/>
      <c r="X22" s="82"/>
      <c r="Y22" s="82"/>
    </row>
    <row r="23" spans="2:25" ht="22.5" customHeight="1">
      <c r="B23" s="127"/>
      <c r="C23" s="127"/>
      <c r="D23" s="60" t="s">
        <v>511</v>
      </c>
      <c r="E23" s="184">
        <f>'дод. 3'!F136</f>
        <v>2415100</v>
      </c>
      <c r="F23" s="184">
        <f>'дод. 3'!G136</f>
        <v>2415100</v>
      </c>
      <c r="G23" s="184">
        <f>'дод. 3'!H136</f>
        <v>0</v>
      </c>
      <c r="H23" s="184">
        <f>'дод. 3'!I136</f>
        <v>0</v>
      </c>
      <c r="I23" s="184">
        <f>'дод. 3'!J136</f>
        <v>0</v>
      </c>
      <c r="J23" s="184">
        <f>'дод. 3'!K136</f>
        <v>0</v>
      </c>
      <c r="K23" s="184">
        <f>'дод. 3'!L136</f>
        <v>0</v>
      </c>
      <c r="L23" s="184">
        <f>'дод. 3'!M136</f>
        <v>0</v>
      </c>
      <c r="M23" s="184">
        <f>'дод. 3'!N136</f>
        <v>0</v>
      </c>
      <c r="N23" s="184">
        <f>'дод. 3'!O136</f>
        <v>0</v>
      </c>
      <c r="O23" s="184">
        <f>'дод. 3'!P136</f>
        <v>0</v>
      </c>
      <c r="P23" s="184">
        <f>'дод. 3'!Q136</f>
        <v>2415100</v>
      </c>
      <c r="Q23" s="250"/>
      <c r="R23" s="203"/>
      <c r="X23" s="82"/>
      <c r="Y23" s="82"/>
    </row>
    <row r="24" spans="2:25" ht="71.25" customHeight="1">
      <c r="B24" s="46" t="s">
        <v>260</v>
      </c>
      <c r="C24" s="46" t="s">
        <v>261</v>
      </c>
      <c r="D24" s="60" t="s">
        <v>72</v>
      </c>
      <c r="E24" s="184">
        <f>'дод. 3'!F80</f>
        <v>6897064</v>
      </c>
      <c r="F24" s="184">
        <f>'дод. 3'!G80</f>
        <v>6897064</v>
      </c>
      <c r="G24" s="184">
        <f>'дод. 3'!H80</f>
        <v>4667160</v>
      </c>
      <c r="H24" s="184">
        <f>'дод. 3'!I80</f>
        <v>757636</v>
      </c>
      <c r="I24" s="184">
        <f>'дод. 3'!J80</f>
        <v>0</v>
      </c>
      <c r="J24" s="184">
        <f>'дод. 3'!K80</f>
        <v>226717</v>
      </c>
      <c r="K24" s="184">
        <f>'дод. 3'!L80</f>
        <v>0</v>
      </c>
      <c r="L24" s="184">
        <f>'дод. 3'!M80</f>
        <v>0</v>
      </c>
      <c r="M24" s="184">
        <f>'дод. 3'!N80</f>
        <v>0</v>
      </c>
      <c r="N24" s="184">
        <f>'дод. 3'!O80</f>
        <v>226717</v>
      </c>
      <c r="O24" s="184">
        <f>'дод. 3'!P80</f>
        <v>226717</v>
      </c>
      <c r="P24" s="184">
        <f t="shared" si="3"/>
        <v>7123781</v>
      </c>
      <c r="Q24" s="250"/>
      <c r="R24" s="203"/>
      <c r="X24" s="82"/>
      <c r="Y24" s="82"/>
    </row>
    <row r="25" spans="3:25" ht="18.75" customHeight="1">
      <c r="C25" s="46"/>
      <c r="D25" s="60" t="s">
        <v>511</v>
      </c>
      <c r="E25" s="184">
        <f>'дод. 3'!F81</f>
        <v>4503510</v>
      </c>
      <c r="F25" s="184">
        <f>'дод. 3'!G81</f>
        <v>4503510</v>
      </c>
      <c r="G25" s="184">
        <f>'дод. 3'!H81</f>
        <v>3696640</v>
      </c>
      <c r="H25" s="184">
        <f>'дод. 3'!I81</f>
        <v>0</v>
      </c>
      <c r="I25" s="184">
        <f>'дод. 3'!J81</f>
        <v>0</v>
      </c>
      <c r="J25" s="184">
        <f>'дод. 3'!K81</f>
        <v>76717</v>
      </c>
      <c r="K25" s="184">
        <f>'дод. 3'!L81</f>
        <v>0</v>
      </c>
      <c r="L25" s="184">
        <f>'дод. 3'!M81</f>
        <v>0</v>
      </c>
      <c r="M25" s="184">
        <f>'дод. 3'!N81</f>
        <v>0</v>
      </c>
      <c r="N25" s="184">
        <f>'дод. 3'!O81</f>
        <v>76717</v>
      </c>
      <c r="O25" s="184">
        <f>'дод. 3'!P81</f>
        <v>76717</v>
      </c>
      <c r="P25" s="184">
        <f t="shared" si="3"/>
        <v>4580227</v>
      </c>
      <c r="Q25" s="250"/>
      <c r="R25" s="203"/>
      <c r="X25" s="82"/>
      <c r="Y25" s="82"/>
    </row>
    <row r="26" spans="2:25" ht="39.75" customHeight="1">
      <c r="B26" s="46" t="s">
        <v>262</v>
      </c>
      <c r="C26" s="46" t="s">
        <v>263</v>
      </c>
      <c r="D26" s="60" t="s">
        <v>73</v>
      </c>
      <c r="E26" s="184">
        <f>'дод. 3'!F82</f>
        <v>20062351</v>
      </c>
      <c r="F26" s="184">
        <f>'дод. 3'!G82</f>
        <v>20062351</v>
      </c>
      <c r="G26" s="184">
        <f>'дод. 3'!H82</f>
        <v>13744120</v>
      </c>
      <c r="H26" s="184">
        <f>'дод. 3'!I82</f>
        <v>2853508</v>
      </c>
      <c r="I26" s="184">
        <f>'дод. 3'!J82</f>
        <v>0</v>
      </c>
      <c r="J26" s="184">
        <f>'дод. 3'!K82</f>
        <v>627090</v>
      </c>
      <c r="K26" s="184">
        <f>'дод. 3'!L82</f>
        <v>27090</v>
      </c>
      <c r="L26" s="184">
        <f>'дод. 3'!M82</f>
        <v>21312</v>
      </c>
      <c r="M26" s="184">
        <f>'дод. 3'!N82</f>
        <v>1090</v>
      </c>
      <c r="N26" s="184">
        <f>'дод. 3'!O82</f>
        <v>600000</v>
      </c>
      <c r="O26" s="184">
        <f>'дод. 3'!P82</f>
        <v>600000</v>
      </c>
      <c r="P26" s="184">
        <f t="shared" si="3"/>
        <v>20689441</v>
      </c>
      <c r="Q26" s="250"/>
      <c r="R26" s="203"/>
      <c r="X26" s="82"/>
      <c r="Y26" s="82"/>
    </row>
    <row r="27" spans="2:25" ht="40.5" customHeight="1">
      <c r="B27" s="46" t="s">
        <v>264</v>
      </c>
      <c r="C27" s="46" t="s">
        <v>265</v>
      </c>
      <c r="D27" s="60" t="s">
        <v>485</v>
      </c>
      <c r="E27" s="184">
        <f>'дод. 3'!F83</f>
        <v>79691130</v>
      </c>
      <c r="F27" s="184">
        <f>'дод. 3'!G83</f>
        <v>79691130</v>
      </c>
      <c r="G27" s="184">
        <f>'дод. 3'!H83</f>
        <v>43885100</v>
      </c>
      <c r="H27" s="184">
        <f>'дод. 3'!I83</f>
        <v>8718372</v>
      </c>
      <c r="I27" s="184">
        <f>'дод. 3'!J83</f>
        <v>0</v>
      </c>
      <c r="J27" s="184">
        <f>'дод. 3'!K83</f>
        <v>6645288</v>
      </c>
      <c r="K27" s="184">
        <f>'дод. 3'!L83</f>
        <v>6147168</v>
      </c>
      <c r="L27" s="184">
        <f>'дод. 3'!M83</f>
        <v>1773140</v>
      </c>
      <c r="M27" s="184">
        <f>'дод. 3'!N83</f>
        <v>2194879</v>
      </c>
      <c r="N27" s="184">
        <f>'дод. 3'!O83</f>
        <v>498120</v>
      </c>
      <c r="O27" s="184">
        <f>'дод. 3'!P83</f>
        <v>330000</v>
      </c>
      <c r="P27" s="184">
        <f t="shared" si="3"/>
        <v>86336418</v>
      </c>
      <c r="Q27" s="250"/>
      <c r="R27" s="203"/>
      <c r="X27" s="82"/>
      <c r="Y27" s="82"/>
    </row>
    <row r="28" spans="3:25" ht="15">
      <c r="C28" s="46"/>
      <c r="D28" s="60" t="s">
        <v>511</v>
      </c>
      <c r="E28" s="184">
        <f>'дод. 3'!F84</f>
        <v>7876200</v>
      </c>
      <c r="F28" s="184">
        <f>'дод. 3'!G84</f>
        <v>7876200</v>
      </c>
      <c r="G28" s="184">
        <f>'дод. 3'!H84</f>
        <v>6455980</v>
      </c>
      <c r="H28" s="184">
        <f>'дод. 3'!I84</f>
        <v>0</v>
      </c>
      <c r="I28" s="184">
        <f>'дод. 3'!J84</f>
        <v>0</v>
      </c>
      <c r="J28" s="184">
        <f>'дод. 3'!K84</f>
        <v>330000</v>
      </c>
      <c r="K28" s="184">
        <f>'дод. 3'!L84</f>
        <v>0</v>
      </c>
      <c r="L28" s="184">
        <f>'дод. 3'!M84</f>
        <v>0</v>
      </c>
      <c r="M28" s="184">
        <f>'дод. 3'!N84</f>
        <v>0</v>
      </c>
      <c r="N28" s="184">
        <f>'дод. 3'!O84</f>
        <v>330000</v>
      </c>
      <c r="O28" s="184">
        <f>'дод. 3'!P84</f>
        <v>330000</v>
      </c>
      <c r="P28" s="184">
        <f t="shared" si="3"/>
        <v>8206200</v>
      </c>
      <c r="Q28" s="250"/>
      <c r="R28" s="203"/>
      <c r="X28" s="82"/>
      <c r="Y28" s="82"/>
    </row>
    <row r="29" spans="2:25" ht="42.75" customHeight="1">
      <c r="B29" s="46" t="s">
        <v>266</v>
      </c>
      <c r="C29" s="46" t="s">
        <v>267</v>
      </c>
      <c r="D29" s="60" t="s">
        <v>74</v>
      </c>
      <c r="E29" s="184">
        <f>'дод. 3'!F85</f>
        <v>2817071</v>
      </c>
      <c r="F29" s="184">
        <f>'дод. 3'!G85</f>
        <v>2817071</v>
      </c>
      <c r="G29" s="184">
        <f>'дод. 3'!H85</f>
        <v>2148850</v>
      </c>
      <c r="H29" s="184">
        <f>'дод. 3'!I85</f>
        <v>126740</v>
      </c>
      <c r="I29" s="184">
        <f>'дод. 3'!J85</f>
        <v>0</v>
      </c>
      <c r="J29" s="184">
        <f>'дод. 3'!K85</f>
        <v>11200</v>
      </c>
      <c r="K29" s="184">
        <f>'дод. 3'!L85</f>
        <v>0</v>
      </c>
      <c r="L29" s="184">
        <f>'дод. 3'!M85</f>
        <v>0</v>
      </c>
      <c r="M29" s="184">
        <f>'дод. 3'!N85</f>
        <v>0</v>
      </c>
      <c r="N29" s="184">
        <f>'дод. 3'!O85</f>
        <v>11200</v>
      </c>
      <c r="O29" s="184">
        <f>'дод. 3'!P85</f>
        <v>11200</v>
      </c>
      <c r="P29" s="184">
        <f t="shared" si="3"/>
        <v>2828271</v>
      </c>
      <c r="Q29" s="250"/>
      <c r="R29" s="203"/>
      <c r="X29" s="82"/>
      <c r="Y29" s="82"/>
    </row>
    <row r="30" spans="2:25" ht="25.5" customHeight="1">
      <c r="B30" s="46" t="s">
        <v>268</v>
      </c>
      <c r="C30" s="46" t="s">
        <v>267</v>
      </c>
      <c r="D30" s="60" t="s">
        <v>75</v>
      </c>
      <c r="E30" s="184">
        <f>'дод. 3'!F86</f>
        <v>2314961</v>
      </c>
      <c r="F30" s="184">
        <f>'дод. 3'!G86</f>
        <v>2314961</v>
      </c>
      <c r="G30" s="184">
        <f>'дод. 3'!H86</f>
        <v>1658980</v>
      </c>
      <c r="H30" s="184">
        <f>'дод. 3'!I86</f>
        <v>115910</v>
      </c>
      <c r="I30" s="184">
        <f>'дод. 3'!J86</f>
        <v>0</v>
      </c>
      <c r="J30" s="184">
        <f>'дод. 3'!K86</f>
        <v>50000</v>
      </c>
      <c r="K30" s="184">
        <f>'дод. 3'!L86</f>
        <v>0</v>
      </c>
      <c r="L30" s="184">
        <f>'дод. 3'!M86</f>
        <v>0</v>
      </c>
      <c r="M30" s="184">
        <f>'дод. 3'!N86</f>
        <v>0</v>
      </c>
      <c r="N30" s="184">
        <f>'дод. 3'!O86</f>
        <v>50000</v>
      </c>
      <c r="O30" s="184">
        <f>'дод. 3'!P86</f>
        <v>50000</v>
      </c>
      <c r="P30" s="184">
        <f t="shared" si="3"/>
        <v>2364961</v>
      </c>
      <c r="Q30" s="250"/>
      <c r="R30" s="203"/>
      <c r="X30" s="82"/>
      <c r="Y30" s="82"/>
    </row>
    <row r="31" spans="2:25" ht="26.25" customHeight="1">
      <c r="B31" s="46" t="s">
        <v>269</v>
      </c>
      <c r="C31" s="46" t="s">
        <v>267</v>
      </c>
      <c r="D31" s="60" t="s">
        <v>76</v>
      </c>
      <c r="E31" s="184">
        <f>'дод. 3'!F87</f>
        <v>220658</v>
      </c>
      <c r="F31" s="184">
        <f>'дод. 3'!G87</f>
        <v>220658</v>
      </c>
      <c r="G31" s="184">
        <f>'дод. 3'!H87</f>
        <v>172840</v>
      </c>
      <c r="H31" s="184">
        <f>'дод. 3'!I87</f>
        <v>5897</v>
      </c>
      <c r="I31" s="184">
        <f>'дод. 3'!J87</f>
        <v>0</v>
      </c>
      <c r="J31" s="184">
        <f>'дод. 3'!K87</f>
        <v>0</v>
      </c>
      <c r="K31" s="184">
        <f>'дод. 3'!L87</f>
        <v>0</v>
      </c>
      <c r="L31" s="184">
        <f>'дод. 3'!M87</f>
        <v>0</v>
      </c>
      <c r="M31" s="184">
        <f>'дод. 3'!N87</f>
        <v>0</v>
      </c>
      <c r="N31" s="184">
        <f>'дод. 3'!O87</f>
        <v>0</v>
      </c>
      <c r="O31" s="184">
        <f>'дод. 3'!P87</f>
        <v>0</v>
      </c>
      <c r="P31" s="184">
        <f t="shared" si="3"/>
        <v>220658</v>
      </c>
      <c r="Q31" s="250"/>
      <c r="R31" s="203"/>
      <c r="X31" s="82"/>
      <c r="Y31" s="82"/>
    </row>
    <row r="32" spans="2:25" ht="27" customHeight="1">
      <c r="B32" s="46" t="s">
        <v>270</v>
      </c>
      <c r="C32" s="46" t="s">
        <v>267</v>
      </c>
      <c r="D32" s="60" t="s">
        <v>77</v>
      </c>
      <c r="E32" s="184">
        <f>'дод. 3'!F88</f>
        <v>3623633</v>
      </c>
      <c r="F32" s="184">
        <f>'дод. 3'!G88</f>
        <v>3623633</v>
      </c>
      <c r="G32" s="184">
        <f>'дод. 3'!H88</f>
        <v>2451420</v>
      </c>
      <c r="H32" s="184">
        <f>'дод. 3'!I88</f>
        <v>356035</v>
      </c>
      <c r="I32" s="184">
        <f>'дод. 3'!J88</f>
        <v>0</v>
      </c>
      <c r="J32" s="184">
        <f>'дод. 3'!K88</f>
        <v>167500</v>
      </c>
      <c r="K32" s="184">
        <f>'дод. 3'!L88</f>
        <v>0</v>
      </c>
      <c r="L32" s="184">
        <f>'дод. 3'!M88</f>
        <v>0</v>
      </c>
      <c r="M32" s="184">
        <f>'дод. 3'!N88</f>
        <v>0</v>
      </c>
      <c r="N32" s="184">
        <f>'дод. 3'!O88</f>
        <v>167500</v>
      </c>
      <c r="O32" s="184">
        <f>'дод. 3'!P88</f>
        <v>167500</v>
      </c>
      <c r="P32" s="184">
        <f t="shared" si="3"/>
        <v>3791133</v>
      </c>
      <c r="Q32" s="250"/>
      <c r="R32" s="203"/>
      <c r="X32" s="82"/>
      <c r="Y32" s="82"/>
    </row>
    <row r="33" spans="2:25" ht="24.75" customHeight="1">
      <c r="B33" s="46" t="s">
        <v>271</v>
      </c>
      <c r="C33" s="46" t="s">
        <v>267</v>
      </c>
      <c r="D33" s="60" t="s">
        <v>22</v>
      </c>
      <c r="E33" s="184">
        <f>E34</f>
        <v>73780</v>
      </c>
      <c r="F33" s="184">
        <f aca="true" t="shared" si="4" ref="F33:O33">F34</f>
        <v>73780</v>
      </c>
      <c r="G33" s="184">
        <f t="shared" si="4"/>
        <v>0</v>
      </c>
      <c r="H33" s="184">
        <f t="shared" si="4"/>
        <v>0</v>
      </c>
      <c r="I33" s="184">
        <f t="shared" si="4"/>
        <v>0</v>
      </c>
      <c r="J33" s="184">
        <f t="shared" si="4"/>
        <v>0</v>
      </c>
      <c r="K33" s="184">
        <f t="shared" si="4"/>
        <v>0</v>
      </c>
      <c r="L33" s="184">
        <f t="shared" si="4"/>
        <v>0</v>
      </c>
      <c r="M33" s="184">
        <f t="shared" si="4"/>
        <v>0</v>
      </c>
      <c r="N33" s="184">
        <f t="shared" si="4"/>
        <v>0</v>
      </c>
      <c r="O33" s="184">
        <f t="shared" si="4"/>
        <v>0</v>
      </c>
      <c r="P33" s="184">
        <f t="shared" si="3"/>
        <v>73780</v>
      </c>
      <c r="Q33" s="250"/>
      <c r="R33" s="203"/>
      <c r="X33" s="82"/>
      <c r="Y33" s="82"/>
    </row>
    <row r="34" spans="1:25" s="53" customFormat="1" ht="34.5" customHeight="1">
      <c r="A34" s="51"/>
      <c r="B34" s="50" t="s">
        <v>271</v>
      </c>
      <c r="C34" s="50" t="s">
        <v>267</v>
      </c>
      <c r="D34" s="61" t="s">
        <v>210</v>
      </c>
      <c r="E34" s="137">
        <f>'дод. 3'!F90</f>
        <v>73780</v>
      </c>
      <c r="F34" s="137">
        <f>'дод. 3'!G90</f>
        <v>73780</v>
      </c>
      <c r="G34" s="137">
        <f>'дод. 3'!H90</f>
        <v>0</v>
      </c>
      <c r="H34" s="137">
        <f>'дод. 3'!I90</f>
        <v>0</v>
      </c>
      <c r="I34" s="137">
        <f>'дод. 3'!J90</f>
        <v>0</v>
      </c>
      <c r="J34" s="137">
        <f>'дод. 3'!K90</f>
        <v>0</v>
      </c>
      <c r="K34" s="137">
        <f>'дод. 3'!L90</f>
        <v>0</v>
      </c>
      <c r="L34" s="137">
        <f>'дод. 3'!M90</f>
        <v>0</v>
      </c>
      <c r="M34" s="137">
        <f>'дод. 3'!N90</f>
        <v>0</v>
      </c>
      <c r="N34" s="137">
        <f>'дод. 3'!O90</f>
        <v>0</v>
      </c>
      <c r="O34" s="137">
        <f>'дод. 3'!P90</f>
        <v>0</v>
      </c>
      <c r="P34" s="137">
        <f t="shared" si="3"/>
        <v>73780</v>
      </c>
      <c r="Q34" s="250"/>
      <c r="R34" s="203"/>
      <c r="X34" s="126"/>
      <c r="Y34" s="126"/>
    </row>
    <row r="35" spans="2:25" ht="30.75">
      <c r="B35" s="46" t="s">
        <v>272</v>
      </c>
      <c r="C35" s="46" t="s">
        <v>267</v>
      </c>
      <c r="D35" s="60" t="s">
        <v>90</v>
      </c>
      <c r="E35" s="184">
        <f>'дод. 3'!F91</f>
        <v>57920</v>
      </c>
      <c r="F35" s="184">
        <f>'дод. 3'!G91</f>
        <v>57920</v>
      </c>
      <c r="G35" s="184">
        <f>'дод. 3'!H91</f>
        <v>0</v>
      </c>
      <c r="H35" s="184">
        <f>'дод. 3'!I91</f>
        <v>0</v>
      </c>
      <c r="I35" s="184">
        <f>'дод. 3'!J91</f>
        <v>0</v>
      </c>
      <c r="J35" s="184">
        <f>'дод. 3'!K91</f>
        <v>0</v>
      </c>
      <c r="K35" s="184">
        <f>'дод. 3'!L91</f>
        <v>0</v>
      </c>
      <c r="L35" s="184">
        <f>'дод. 3'!M91</f>
        <v>0</v>
      </c>
      <c r="M35" s="184">
        <f>'дод. 3'!N91</f>
        <v>0</v>
      </c>
      <c r="N35" s="184">
        <f>'дод. 3'!O91</f>
        <v>0</v>
      </c>
      <c r="O35" s="184">
        <f>'дод. 3'!P91</f>
        <v>0</v>
      </c>
      <c r="P35" s="184">
        <f t="shared" si="3"/>
        <v>57920</v>
      </c>
      <c r="Q35" s="250"/>
      <c r="R35" s="203"/>
      <c r="X35" s="82"/>
      <c r="Y35" s="82"/>
    </row>
    <row r="36" spans="1:25" s="87" customFormat="1" ht="23.25" customHeight="1">
      <c r="A36" s="86"/>
      <c r="B36" s="88" t="s">
        <v>273</v>
      </c>
      <c r="C36" s="57"/>
      <c r="D36" s="91" t="s">
        <v>274</v>
      </c>
      <c r="E36" s="183">
        <f>E38+E40+E42+E44+E46+E48+E54+E50</f>
        <v>333809098.45</v>
      </c>
      <c r="F36" s="183">
        <f aca="true" t="shared" si="5" ref="F36:P36">F38+F40+F42+F44+F46+F48+F54+F50</f>
        <v>333809098.45</v>
      </c>
      <c r="G36" s="183">
        <f t="shared" si="5"/>
        <v>0</v>
      </c>
      <c r="H36" s="183">
        <f t="shared" si="5"/>
        <v>0</v>
      </c>
      <c r="I36" s="183">
        <f t="shared" si="5"/>
        <v>0</v>
      </c>
      <c r="J36" s="183">
        <f t="shared" si="5"/>
        <v>60054841</v>
      </c>
      <c r="K36" s="183">
        <f t="shared" si="5"/>
        <v>12622623</v>
      </c>
      <c r="L36" s="183">
        <f t="shared" si="5"/>
        <v>0</v>
      </c>
      <c r="M36" s="183">
        <f t="shared" si="5"/>
        <v>0</v>
      </c>
      <c r="N36" s="183">
        <f t="shared" si="5"/>
        <v>47432218</v>
      </c>
      <c r="O36" s="183">
        <f t="shared" si="5"/>
        <v>43840408</v>
      </c>
      <c r="P36" s="183">
        <f t="shared" si="5"/>
        <v>393863939.45</v>
      </c>
      <c r="Q36" s="250"/>
      <c r="R36" s="203"/>
      <c r="X36" s="85"/>
      <c r="Y36" s="85"/>
    </row>
    <row r="37" spans="1:25" s="87" customFormat="1" ht="19.5" customHeight="1">
      <c r="A37" s="86"/>
      <c r="B37" s="88"/>
      <c r="C37" s="57"/>
      <c r="D37" s="91" t="s">
        <v>510</v>
      </c>
      <c r="E37" s="183">
        <f>E41+E39+E43+E45+E47+E49+E55+E51</f>
        <v>249055056.45</v>
      </c>
      <c r="F37" s="183">
        <f aca="true" t="shared" si="6" ref="F37:P37">F41+F39+F43+F45+F47+F49+F55+F51</f>
        <v>249055056.45</v>
      </c>
      <c r="G37" s="183">
        <f t="shared" si="6"/>
        <v>0</v>
      </c>
      <c r="H37" s="183">
        <f t="shared" si="6"/>
        <v>0</v>
      </c>
      <c r="I37" s="183">
        <f t="shared" si="6"/>
        <v>0</v>
      </c>
      <c r="J37" s="183">
        <f t="shared" si="6"/>
        <v>3400000</v>
      </c>
      <c r="K37" s="183">
        <f t="shared" si="6"/>
        <v>0</v>
      </c>
      <c r="L37" s="183">
        <f t="shared" si="6"/>
        <v>0</v>
      </c>
      <c r="M37" s="183">
        <f t="shared" si="6"/>
        <v>0</v>
      </c>
      <c r="N37" s="183">
        <f t="shared" si="6"/>
        <v>3400000</v>
      </c>
      <c r="O37" s="183">
        <f t="shared" si="6"/>
        <v>0</v>
      </c>
      <c r="P37" s="183">
        <f t="shared" si="6"/>
        <v>252455056.45</v>
      </c>
      <c r="Q37" s="250"/>
      <c r="R37" s="203"/>
      <c r="X37" s="85"/>
      <c r="Y37" s="85"/>
    </row>
    <row r="38" spans="2:25" ht="20.25" customHeight="1">
      <c r="B38" s="46" t="s">
        <v>275</v>
      </c>
      <c r="C38" s="46" t="s">
        <v>276</v>
      </c>
      <c r="D38" s="60" t="s">
        <v>96</v>
      </c>
      <c r="E38" s="184">
        <f>'дод. 3'!F103</f>
        <v>267157388.45</v>
      </c>
      <c r="F38" s="184">
        <f>'дод. 3'!G103</f>
        <v>267157388.45</v>
      </c>
      <c r="G38" s="184">
        <f>'дод. 3'!H103</f>
        <v>0</v>
      </c>
      <c r="H38" s="184">
        <f>'дод. 3'!I103</f>
        <v>0</v>
      </c>
      <c r="I38" s="184">
        <f>'дод. 3'!J103</f>
        <v>0</v>
      </c>
      <c r="J38" s="184">
        <f>'дод. 3'!K103</f>
        <v>49747933</v>
      </c>
      <c r="K38" s="184">
        <f>'дод. 3'!L103</f>
        <v>8677823</v>
      </c>
      <c r="L38" s="184">
        <f>'дод. 3'!M103</f>
        <v>0</v>
      </c>
      <c r="M38" s="184">
        <f>'дод. 3'!N103</f>
        <v>0</v>
      </c>
      <c r="N38" s="184">
        <f>'дод. 3'!O103</f>
        <v>41070110</v>
      </c>
      <c r="O38" s="184">
        <f>'дод. 3'!P103</f>
        <v>37478300</v>
      </c>
      <c r="P38" s="184">
        <f>'дод. 3'!Q103</f>
        <v>316905321.45</v>
      </c>
      <c r="Q38" s="250"/>
      <c r="R38" s="203"/>
      <c r="X38" s="82"/>
      <c r="Y38" s="82"/>
    </row>
    <row r="39" spans="3:25" ht="17.25" customHeight="1">
      <c r="C39" s="46"/>
      <c r="D39" s="60" t="s">
        <v>510</v>
      </c>
      <c r="E39" s="184">
        <f>'дод. 3'!F104</f>
        <v>201342601.45</v>
      </c>
      <c r="F39" s="184">
        <f>'дод. 3'!G104</f>
        <v>201342601.45</v>
      </c>
      <c r="G39" s="184">
        <f>'дод. 3'!H104</f>
        <v>0</v>
      </c>
      <c r="H39" s="184">
        <f>'дод. 3'!I104</f>
        <v>0</v>
      </c>
      <c r="I39" s="184">
        <f>'дод. 3'!J104</f>
        <v>0</v>
      </c>
      <c r="J39" s="184">
        <f>'дод. 3'!K104</f>
        <v>3400000</v>
      </c>
      <c r="K39" s="184">
        <f>'дод. 3'!L104</f>
        <v>0</v>
      </c>
      <c r="L39" s="184">
        <f>'дод. 3'!M104</f>
        <v>0</v>
      </c>
      <c r="M39" s="184">
        <f>'дод. 3'!N104</f>
        <v>0</v>
      </c>
      <c r="N39" s="184">
        <f>'дод. 3'!O104</f>
        <v>3400000</v>
      </c>
      <c r="O39" s="184">
        <f>'дод. 3'!P104</f>
        <v>0</v>
      </c>
      <c r="P39" s="184">
        <f t="shared" si="3"/>
        <v>204742601.45</v>
      </c>
      <c r="Q39" s="250"/>
      <c r="R39" s="203"/>
      <c r="X39" s="82"/>
      <c r="Y39" s="82"/>
    </row>
    <row r="40" spans="2:25" ht="15">
      <c r="B40" s="46" t="s">
        <v>277</v>
      </c>
      <c r="C40" s="46" t="s">
        <v>278</v>
      </c>
      <c r="D40" s="60" t="s">
        <v>98</v>
      </c>
      <c r="E40" s="184">
        <f>'дод. 3'!F105</f>
        <v>30295960</v>
      </c>
      <c r="F40" s="184">
        <f>'дод. 3'!G105</f>
        <v>30295960</v>
      </c>
      <c r="G40" s="184">
        <f>'дод. 3'!H105</f>
        <v>0</v>
      </c>
      <c r="H40" s="184">
        <f>'дод. 3'!I105</f>
        <v>0</v>
      </c>
      <c r="I40" s="184">
        <f>'дод. 3'!J105</f>
        <v>0</v>
      </c>
      <c r="J40" s="184">
        <f>'дод. 3'!K105</f>
        <v>3524000</v>
      </c>
      <c r="K40" s="184">
        <f>'дод. 3'!L105</f>
        <v>24000</v>
      </c>
      <c r="L40" s="184">
        <f>'дод. 3'!M105</f>
        <v>0</v>
      </c>
      <c r="M40" s="184">
        <f>'дод. 3'!N105</f>
        <v>0</v>
      </c>
      <c r="N40" s="184">
        <f>'дод. 3'!O105</f>
        <v>3500000</v>
      </c>
      <c r="O40" s="184">
        <f>'дод. 3'!P105</f>
        <v>3500000</v>
      </c>
      <c r="P40" s="184">
        <f t="shared" si="3"/>
        <v>33819960</v>
      </c>
      <c r="Q40" s="250"/>
      <c r="R40" s="203"/>
      <c r="X40" s="82"/>
      <c r="Y40" s="82"/>
    </row>
    <row r="41" spans="3:25" ht="17.25" customHeight="1">
      <c r="C41" s="46"/>
      <c r="D41" s="60" t="s">
        <v>511</v>
      </c>
      <c r="E41" s="184">
        <f>'дод. 3'!F106</f>
        <v>20455292</v>
      </c>
      <c r="F41" s="184">
        <f>'дод. 3'!G106</f>
        <v>20455292</v>
      </c>
      <c r="G41" s="184">
        <f>'дод. 3'!H106</f>
        <v>0</v>
      </c>
      <c r="H41" s="184">
        <f>'дод. 3'!I106</f>
        <v>0</v>
      </c>
      <c r="I41" s="184">
        <f>'дод. 3'!J106</f>
        <v>0</v>
      </c>
      <c r="J41" s="184">
        <f>'дод. 3'!K106</f>
        <v>0</v>
      </c>
      <c r="K41" s="184">
        <f>'дод. 3'!L106</f>
        <v>0</v>
      </c>
      <c r="L41" s="184">
        <f>'дод. 3'!M106</f>
        <v>0</v>
      </c>
      <c r="M41" s="184">
        <f>'дод. 3'!N106</f>
        <v>0</v>
      </c>
      <c r="N41" s="184">
        <f>'дод. 3'!O106</f>
        <v>0</v>
      </c>
      <c r="O41" s="184">
        <f>'дод. 3'!P106</f>
        <v>0</v>
      </c>
      <c r="P41" s="184">
        <f t="shared" si="3"/>
        <v>20455292</v>
      </c>
      <c r="Q41" s="250"/>
      <c r="R41" s="203"/>
      <c r="X41" s="82"/>
      <c r="Y41" s="82"/>
    </row>
    <row r="42" spans="2:25" ht="21.75" customHeight="1">
      <c r="B42" s="46" t="s">
        <v>279</v>
      </c>
      <c r="C42" s="46" t="s">
        <v>280</v>
      </c>
      <c r="D42" s="60" t="s">
        <v>411</v>
      </c>
      <c r="E42" s="184">
        <f>'дод. 3'!F107</f>
        <v>2282045</v>
      </c>
      <c r="F42" s="184">
        <f>'дод. 3'!G107</f>
        <v>2282045</v>
      </c>
      <c r="G42" s="184">
        <f>'дод. 3'!H107</f>
        <v>0</v>
      </c>
      <c r="H42" s="184">
        <f>'дод. 3'!I107</f>
        <v>0</v>
      </c>
      <c r="I42" s="184">
        <f>'дод. 3'!J107</f>
        <v>0</v>
      </c>
      <c r="J42" s="184">
        <f>'дод. 3'!K107</f>
        <v>412100</v>
      </c>
      <c r="K42" s="184">
        <f>'дод. 3'!L107</f>
        <v>412100</v>
      </c>
      <c r="L42" s="184">
        <f>'дод. 3'!M107</f>
        <v>0</v>
      </c>
      <c r="M42" s="184">
        <f>'дод. 3'!N107</f>
        <v>0</v>
      </c>
      <c r="N42" s="184">
        <f>'дод. 3'!O107</f>
        <v>0</v>
      </c>
      <c r="O42" s="184">
        <f>'дод. 3'!P107</f>
        <v>0</v>
      </c>
      <c r="P42" s="184">
        <f t="shared" si="3"/>
        <v>2694145</v>
      </c>
      <c r="Q42" s="250"/>
      <c r="R42" s="203"/>
      <c r="X42" s="82"/>
      <c r="Y42" s="82"/>
    </row>
    <row r="43" spans="3:25" ht="17.25" customHeight="1">
      <c r="C43" s="46"/>
      <c r="D43" s="60" t="s">
        <v>511</v>
      </c>
      <c r="E43" s="184">
        <f>'дод. 3'!F108</f>
        <v>1744691</v>
      </c>
      <c r="F43" s="184">
        <f>'дод. 3'!G108</f>
        <v>1744691</v>
      </c>
      <c r="G43" s="184">
        <f>'дод. 3'!H108</f>
        <v>0</v>
      </c>
      <c r="H43" s="184">
        <f>'дод. 3'!I108</f>
        <v>0</v>
      </c>
      <c r="I43" s="184">
        <f>'дод. 3'!J108</f>
        <v>0</v>
      </c>
      <c r="J43" s="184">
        <f>'дод. 3'!K108</f>
        <v>0</v>
      </c>
      <c r="K43" s="184">
        <f>'дод. 3'!L108</f>
        <v>0</v>
      </c>
      <c r="L43" s="184">
        <f>'дод. 3'!M108</f>
        <v>0</v>
      </c>
      <c r="M43" s="184">
        <f>'дод. 3'!N108</f>
        <v>0</v>
      </c>
      <c r="N43" s="184">
        <f>'дод. 3'!O108</f>
        <v>0</v>
      </c>
      <c r="O43" s="184">
        <f>'дод. 3'!P108</f>
        <v>0</v>
      </c>
      <c r="P43" s="184">
        <f t="shared" si="3"/>
        <v>1744691</v>
      </c>
      <c r="Q43" s="250"/>
      <c r="R43" s="203"/>
      <c r="X43" s="82"/>
      <c r="Y43" s="82"/>
    </row>
    <row r="44" spans="2:25" ht="20.25" customHeight="1">
      <c r="B44" s="46" t="s">
        <v>281</v>
      </c>
      <c r="C44" s="46" t="s">
        <v>282</v>
      </c>
      <c r="D44" s="60" t="s">
        <v>100</v>
      </c>
      <c r="E44" s="184">
        <f>'дод. 3'!F109</f>
        <v>7106432</v>
      </c>
      <c r="F44" s="184">
        <f>'дод. 3'!G109</f>
        <v>7106432</v>
      </c>
      <c r="G44" s="184">
        <f>'дод. 3'!H109</f>
        <v>0</v>
      </c>
      <c r="H44" s="184">
        <f>'дод. 3'!I109</f>
        <v>0</v>
      </c>
      <c r="I44" s="184">
        <f>'дод. 3'!J109</f>
        <v>0</v>
      </c>
      <c r="J44" s="184">
        <f>'дод. 3'!K109</f>
        <v>4352000</v>
      </c>
      <c r="K44" s="184">
        <f>'дод. 3'!L109</f>
        <v>3352000</v>
      </c>
      <c r="L44" s="184">
        <f>'дод. 3'!M109</f>
        <v>0</v>
      </c>
      <c r="M44" s="184">
        <f>'дод. 3'!N109</f>
        <v>0</v>
      </c>
      <c r="N44" s="184">
        <f>'дод. 3'!O109</f>
        <v>1000000</v>
      </c>
      <c r="O44" s="184">
        <f>'дод. 3'!P109</f>
        <v>1000000</v>
      </c>
      <c r="P44" s="184">
        <f t="shared" si="3"/>
        <v>11458432</v>
      </c>
      <c r="Q44" s="243" t="s">
        <v>581</v>
      </c>
      <c r="R44" s="203"/>
      <c r="X44" s="82"/>
      <c r="Y44" s="82"/>
    </row>
    <row r="45" spans="3:25" ht="15" customHeight="1">
      <c r="C45" s="46"/>
      <c r="D45" s="60" t="s">
        <v>511</v>
      </c>
      <c r="E45" s="184">
        <f>'дод. 3'!F110</f>
        <v>5024130</v>
      </c>
      <c r="F45" s="184">
        <f>'дод. 3'!G110</f>
        <v>5024130</v>
      </c>
      <c r="G45" s="184">
        <f>'дод. 3'!H110</f>
        <v>0</v>
      </c>
      <c r="H45" s="184">
        <f>'дод. 3'!I110</f>
        <v>0</v>
      </c>
      <c r="I45" s="184">
        <f>'дод. 3'!J110</f>
        <v>0</v>
      </c>
      <c r="J45" s="184">
        <f>'дод. 3'!K110</f>
        <v>0</v>
      </c>
      <c r="K45" s="184">
        <f>'дод. 3'!L110</f>
        <v>0</v>
      </c>
      <c r="L45" s="184">
        <f>'дод. 3'!M110</f>
        <v>0</v>
      </c>
      <c r="M45" s="184">
        <f>'дод. 3'!N110</f>
        <v>0</v>
      </c>
      <c r="N45" s="184">
        <f>'дод. 3'!O110</f>
        <v>0</v>
      </c>
      <c r="O45" s="184">
        <f>'дод. 3'!P110</f>
        <v>0</v>
      </c>
      <c r="P45" s="184">
        <f t="shared" si="3"/>
        <v>5024130</v>
      </c>
      <c r="Q45" s="243"/>
      <c r="R45" s="203"/>
      <c r="X45" s="82"/>
      <c r="Y45" s="82"/>
    </row>
    <row r="46" spans="2:25" ht="27" customHeight="1">
      <c r="B46" s="46" t="s">
        <v>283</v>
      </c>
      <c r="C46" s="46" t="s">
        <v>284</v>
      </c>
      <c r="D46" s="60" t="s">
        <v>102</v>
      </c>
      <c r="E46" s="184">
        <f>'дод. 3'!F111</f>
        <v>14739397</v>
      </c>
      <c r="F46" s="184">
        <f>'дод. 3'!G111</f>
        <v>14739397</v>
      </c>
      <c r="G46" s="184">
        <f>'дод. 3'!H111</f>
        <v>0</v>
      </c>
      <c r="H46" s="184">
        <f>'дод. 3'!I111</f>
        <v>0</v>
      </c>
      <c r="I46" s="184">
        <f>'дод. 3'!J111</f>
        <v>0</v>
      </c>
      <c r="J46" s="184">
        <f>'дод. 3'!K111</f>
        <v>2018808</v>
      </c>
      <c r="K46" s="184">
        <f>'дод. 3'!L111</f>
        <v>156700</v>
      </c>
      <c r="L46" s="184">
        <f>'дод. 3'!M111</f>
        <v>0</v>
      </c>
      <c r="M46" s="184">
        <f>'дод. 3'!N111</f>
        <v>0</v>
      </c>
      <c r="N46" s="184">
        <f>'дод. 3'!O111</f>
        <v>1862108</v>
      </c>
      <c r="O46" s="184">
        <f>'дод. 3'!P111</f>
        <v>1862108</v>
      </c>
      <c r="P46" s="184">
        <f t="shared" si="3"/>
        <v>16758205</v>
      </c>
      <c r="Q46" s="243"/>
      <c r="R46" s="203"/>
      <c r="X46" s="82"/>
      <c r="Y46" s="82"/>
    </row>
    <row r="47" spans="3:25" ht="19.5" customHeight="1">
      <c r="C47" s="46"/>
      <c r="D47" s="60" t="s">
        <v>511</v>
      </c>
      <c r="E47" s="184">
        <f>'дод. 3'!F112</f>
        <v>10392711</v>
      </c>
      <c r="F47" s="184">
        <f>'дод. 3'!G112</f>
        <v>10392711</v>
      </c>
      <c r="G47" s="184">
        <f>'дод. 3'!H112</f>
        <v>0</v>
      </c>
      <c r="H47" s="184">
        <f>'дод. 3'!I112</f>
        <v>0</v>
      </c>
      <c r="I47" s="184">
        <f>'дод. 3'!J112</f>
        <v>0</v>
      </c>
      <c r="J47" s="184">
        <f>'дод. 3'!K112</f>
        <v>0</v>
      </c>
      <c r="K47" s="184">
        <f>'дод. 3'!L112</f>
        <v>0</v>
      </c>
      <c r="L47" s="184">
        <f>'дод. 3'!M112</f>
        <v>0</v>
      </c>
      <c r="M47" s="184">
        <f>'дод. 3'!N112</f>
        <v>0</v>
      </c>
      <c r="N47" s="184">
        <f>'дод. 3'!O112</f>
        <v>0</v>
      </c>
      <c r="O47" s="184">
        <f>'дод. 3'!P112</f>
        <v>0</v>
      </c>
      <c r="P47" s="184">
        <f t="shared" si="3"/>
        <v>10392711</v>
      </c>
      <c r="Q47" s="243"/>
      <c r="R47" s="203"/>
      <c r="X47" s="82"/>
      <c r="Y47" s="82"/>
    </row>
    <row r="48" spans="2:25" ht="52.5" customHeight="1">
      <c r="B48" s="46" t="s">
        <v>285</v>
      </c>
      <c r="C48" s="46" t="s">
        <v>286</v>
      </c>
      <c r="D48" s="60" t="s">
        <v>24</v>
      </c>
      <c r="E48" s="184">
        <f>'дод. 3'!F113</f>
        <v>898410</v>
      </c>
      <c r="F48" s="184">
        <f>'дод. 3'!G113</f>
        <v>898410</v>
      </c>
      <c r="G48" s="184">
        <f>'дод. 3'!H113</f>
        <v>0</v>
      </c>
      <c r="H48" s="184">
        <f>'дод. 3'!I113</f>
        <v>0</v>
      </c>
      <c r="I48" s="184">
        <f>'дод. 3'!J113</f>
        <v>0</v>
      </c>
      <c r="J48" s="184">
        <f>'дод. 3'!K113</f>
        <v>0</v>
      </c>
      <c r="K48" s="184">
        <f>'дод. 3'!L113</f>
        <v>0</v>
      </c>
      <c r="L48" s="184">
        <f>'дод. 3'!M113</f>
        <v>0</v>
      </c>
      <c r="M48" s="184">
        <f>'дод. 3'!N113</f>
        <v>0</v>
      </c>
      <c r="N48" s="184">
        <f>'дод. 3'!O113</f>
        <v>0</v>
      </c>
      <c r="O48" s="184">
        <f>'дод. 3'!P113</f>
        <v>0</v>
      </c>
      <c r="P48" s="184">
        <f t="shared" si="3"/>
        <v>898410</v>
      </c>
      <c r="Q48" s="243"/>
      <c r="R48" s="203"/>
      <c r="X48" s="82"/>
      <c r="Y48" s="82"/>
    </row>
    <row r="49" spans="3:25" ht="15">
      <c r="C49" s="46"/>
      <c r="D49" s="60" t="s">
        <v>511</v>
      </c>
      <c r="E49" s="184">
        <f>'дод. 3'!F114</f>
        <v>727608</v>
      </c>
      <c r="F49" s="184">
        <f>'дод. 3'!G114</f>
        <v>727608</v>
      </c>
      <c r="G49" s="184">
        <f>'дод. 3'!H114</f>
        <v>0</v>
      </c>
      <c r="H49" s="184">
        <f>'дод. 3'!I114</f>
        <v>0</v>
      </c>
      <c r="I49" s="184">
        <f>'дод. 3'!J114</f>
        <v>0</v>
      </c>
      <c r="J49" s="184">
        <f>'дод. 3'!K114</f>
        <v>0</v>
      </c>
      <c r="K49" s="184">
        <f>'дод. 3'!L114</f>
        <v>0</v>
      </c>
      <c r="L49" s="184">
        <f>'дод. 3'!M114</f>
        <v>0</v>
      </c>
      <c r="M49" s="184">
        <f>'дод. 3'!N114</f>
        <v>0</v>
      </c>
      <c r="N49" s="184">
        <f>'дод. 3'!O114</f>
        <v>0</v>
      </c>
      <c r="O49" s="184">
        <f>'дод. 3'!P114</f>
        <v>0</v>
      </c>
      <c r="P49" s="184">
        <f t="shared" si="3"/>
        <v>727608</v>
      </c>
      <c r="Q49" s="243"/>
      <c r="R49" s="203"/>
      <c r="X49" s="82"/>
      <c r="Y49" s="82"/>
    </row>
    <row r="50" spans="2:25" ht="26.25" customHeight="1">
      <c r="B50" s="124">
        <v>2210</v>
      </c>
      <c r="C50" s="124"/>
      <c r="D50" s="60" t="s">
        <v>437</v>
      </c>
      <c r="E50" s="184">
        <f>'дод. 3'!F115</f>
        <v>5312308</v>
      </c>
      <c r="F50" s="184">
        <f>'дод. 3'!G115</f>
        <v>5312308</v>
      </c>
      <c r="G50" s="184">
        <f>'дод. 3'!H115</f>
        <v>0</v>
      </c>
      <c r="H50" s="184">
        <f>'дод. 3'!I115</f>
        <v>0</v>
      </c>
      <c r="I50" s="184">
        <f>'дод. 3'!J115</f>
        <v>0</v>
      </c>
      <c r="J50" s="184">
        <f>'дод. 3'!K115</f>
        <v>0</v>
      </c>
      <c r="K50" s="184">
        <f>'дод. 3'!L115</f>
        <v>0</v>
      </c>
      <c r="L50" s="184">
        <f>'дод. 3'!M115</f>
        <v>0</v>
      </c>
      <c r="M50" s="184">
        <f>'дод. 3'!N115</f>
        <v>0</v>
      </c>
      <c r="N50" s="184">
        <f>'дод. 3'!O115</f>
        <v>0</v>
      </c>
      <c r="O50" s="184">
        <f>'дод. 3'!P115</f>
        <v>0</v>
      </c>
      <c r="P50" s="184">
        <f>'дод. 3'!Q115</f>
        <v>5312308</v>
      </c>
      <c r="Q50" s="243"/>
      <c r="R50" s="203"/>
      <c r="X50" s="82"/>
      <c r="Y50" s="82"/>
    </row>
    <row r="51" spans="2:25" ht="15">
      <c r="B51" s="124"/>
      <c r="C51" s="124"/>
      <c r="D51" s="60" t="s">
        <v>511</v>
      </c>
      <c r="E51" s="184">
        <f>'дод. 3'!F116</f>
        <v>5312308</v>
      </c>
      <c r="F51" s="184">
        <f>'дод. 3'!G116</f>
        <v>5312308</v>
      </c>
      <c r="G51" s="184">
        <f>'дод. 3'!H116</f>
        <v>0</v>
      </c>
      <c r="H51" s="184">
        <f>'дод. 3'!I116</f>
        <v>0</v>
      </c>
      <c r="I51" s="184">
        <f>'дод. 3'!J116</f>
        <v>0</v>
      </c>
      <c r="J51" s="184">
        <f>'дод. 3'!K116</f>
        <v>0</v>
      </c>
      <c r="K51" s="184">
        <f>'дод. 3'!L116</f>
        <v>0</v>
      </c>
      <c r="L51" s="184">
        <f>'дод. 3'!M116</f>
        <v>0</v>
      </c>
      <c r="M51" s="184">
        <f>'дод. 3'!N116</f>
        <v>0</v>
      </c>
      <c r="N51" s="184">
        <f>'дод. 3'!O116</f>
        <v>0</v>
      </c>
      <c r="O51" s="184">
        <f>'дод. 3'!P116</f>
        <v>0</v>
      </c>
      <c r="P51" s="184">
        <f>'дод. 3'!Q116</f>
        <v>5312308</v>
      </c>
      <c r="Q51" s="243"/>
      <c r="R51" s="203"/>
      <c r="X51" s="82"/>
      <c r="Y51" s="82"/>
    </row>
    <row r="52" spans="1:25" s="53" customFormat="1" ht="36.75" customHeight="1">
      <c r="A52" s="51"/>
      <c r="B52" s="125">
        <v>2214</v>
      </c>
      <c r="C52" s="50" t="s">
        <v>286</v>
      </c>
      <c r="D52" s="61" t="s">
        <v>438</v>
      </c>
      <c r="E52" s="137">
        <f>'дод. 3'!F117</f>
        <v>5312308</v>
      </c>
      <c r="F52" s="137">
        <f>'дод. 3'!G117</f>
        <v>5312308</v>
      </c>
      <c r="G52" s="137">
        <f>'дод. 3'!H117</f>
        <v>0</v>
      </c>
      <c r="H52" s="137">
        <f>'дод. 3'!I117</f>
        <v>0</v>
      </c>
      <c r="I52" s="137">
        <f>'дод. 3'!J117</f>
        <v>0</v>
      </c>
      <c r="J52" s="137">
        <f>'дод. 3'!K117</f>
        <v>0</v>
      </c>
      <c r="K52" s="137">
        <f>'дод. 3'!L117</f>
        <v>0</v>
      </c>
      <c r="L52" s="137">
        <f>'дод. 3'!M117</f>
        <v>0</v>
      </c>
      <c r="M52" s="137">
        <f>'дод. 3'!N117</f>
        <v>0</v>
      </c>
      <c r="N52" s="137">
        <f>'дод. 3'!O117</f>
        <v>0</v>
      </c>
      <c r="O52" s="137">
        <f>'дод. 3'!P117</f>
        <v>0</v>
      </c>
      <c r="P52" s="137">
        <f>'дод. 3'!Q117</f>
        <v>5312308</v>
      </c>
      <c r="Q52" s="243"/>
      <c r="R52" s="203"/>
      <c r="X52" s="126"/>
      <c r="Y52" s="126"/>
    </row>
    <row r="53" spans="1:25" s="53" customFormat="1" ht="18" customHeight="1">
      <c r="A53" s="51"/>
      <c r="B53" s="125"/>
      <c r="C53" s="50"/>
      <c r="D53" s="61" t="s">
        <v>511</v>
      </c>
      <c r="E53" s="137">
        <f>'дод. 3'!F118</f>
        <v>5312308</v>
      </c>
      <c r="F53" s="137">
        <f>'дод. 3'!G118</f>
        <v>5312308</v>
      </c>
      <c r="G53" s="137">
        <f>'дод. 3'!H118</f>
        <v>0</v>
      </c>
      <c r="H53" s="137">
        <f>'дод. 3'!I118</f>
        <v>0</v>
      </c>
      <c r="I53" s="137">
        <f>'дод. 3'!J118</f>
        <v>0</v>
      </c>
      <c r="J53" s="137">
        <f>'дод. 3'!K118</f>
        <v>0</v>
      </c>
      <c r="K53" s="137">
        <f>'дод. 3'!L118</f>
        <v>0</v>
      </c>
      <c r="L53" s="137">
        <f>'дод. 3'!M118</f>
        <v>0</v>
      </c>
      <c r="M53" s="137">
        <f>'дод. 3'!N118</f>
        <v>0</v>
      </c>
      <c r="N53" s="137">
        <f>'дод. 3'!O118</f>
        <v>0</v>
      </c>
      <c r="O53" s="137">
        <f>'дод. 3'!P118</f>
        <v>0</v>
      </c>
      <c r="P53" s="137">
        <f>'дод. 3'!Q118</f>
        <v>5312308</v>
      </c>
      <c r="Q53" s="243"/>
      <c r="R53" s="203"/>
      <c r="X53" s="126"/>
      <c r="Y53" s="126"/>
    </row>
    <row r="54" spans="2:25" ht="15">
      <c r="B54" s="46" t="s">
        <v>287</v>
      </c>
      <c r="C54" s="46" t="s">
        <v>286</v>
      </c>
      <c r="D54" s="60" t="s">
        <v>104</v>
      </c>
      <c r="E54" s="184">
        <f>E56+E58</f>
        <v>6017158</v>
      </c>
      <c r="F54" s="184">
        <f aca="true" t="shared" si="7" ref="F54:O54">F56+F58</f>
        <v>6017158</v>
      </c>
      <c r="G54" s="184">
        <f t="shared" si="7"/>
        <v>0</v>
      </c>
      <c r="H54" s="184">
        <f t="shared" si="7"/>
        <v>0</v>
      </c>
      <c r="I54" s="184">
        <f t="shared" si="7"/>
        <v>0</v>
      </c>
      <c r="J54" s="184">
        <f t="shared" si="7"/>
        <v>0</v>
      </c>
      <c r="K54" s="184">
        <f t="shared" si="7"/>
        <v>0</v>
      </c>
      <c r="L54" s="184">
        <f t="shared" si="7"/>
        <v>0</v>
      </c>
      <c r="M54" s="184">
        <f t="shared" si="7"/>
        <v>0</v>
      </c>
      <c r="N54" s="184">
        <f t="shared" si="7"/>
        <v>0</v>
      </c>
      <c r="O54" s="184">
        <f t="shared" si="7"/>
        <v>0</v>
      </c>
      <c r="P54" s="184">
        <f t="shared" si="3"/>
        <v>6017158</v>
      </c>
      <c r="Q54" s="243"/>
      <c r="R54" s="203"/>
      <c r="X54" s="82"/>
      <c r="Y54" s="82"/>
    </row>
    <row r="55" spans="3:25" ht="15">
      <c r="C55" s="46"/>
      <c r="D55" s="60" t="s">
        <v>511</v>
      </c>
      <c r="E55" s="184">
        <f>F55</f>
        <v>4055715</v>
      </c>
      <c r="F55" s="184">
        <f>F57+F59</f>
        <v>4055715</v>
      </c>
      <c r="G55" s="184">
        <f aca="true" t="shared" si="8" ref="G55:O55">G57</f>
        <v>0</v>
      </c>
      <c r="H55" s="184">
        <f t="shared" si="8"/>
        <v>0</v>
      </c>
      <c r="I55" s="184">
        <f t="shared" si="8"/>
        <v>0</v>
      </c>
      <c r="J55" s="184">
        <f t="shared" si="8"/>
        <v>0</v>
      </c>
      <c r="K55" s="184">
        <f t="shared" si="8"/>
        <v>0</v>
      </c>
      <c r="L55" s="184">
        <f t="shared" si="8"/>
        <v>0</v>
      </c>
      <c r="M55" s="184">
        <f t="shared" si="8"/>
        <v>0</v>
      </c>
      <c r="N55" s="184">
        <f t="shared" si="8"/>
        <v>0</v>
      </c>
      <c r="O55" s="184">
        <f t="shared" si="8"/>
        <v>0</v>
      </c>
      <c r="P55" s="184">
        <f>P57+P59</f>
        <v>4055715</v>
      </c>
      <c r="Q55" s="243"/>
      <c r="R55" s="203"/>
      <c r="X55" s="82"/>
      <c r="Y55" s="82"/>
    </row>
    <row r="56" spans="1:25" s="53" customFormat="1" ht="15">
      <c r="A56" s="51"/>
      <c r="B56" s="50" t="s">
        <v>287</v>
      </c>
      <c r="C56" s="50" t="s">
        <v>286</v>
      </c>
      <c r="D56" s="61" t="s">
        <v>106</v>
      </c>
      <c r="E56" s="137">
        <f>'дод. 3'!F121</f>
        <v>826395</v>
      </c>
      <c r="F56" s="137">
        <f>'дод. 3'!G121</f>
        <v>826395</v>
      </c>
      <c r="G56" s="137">
        <f>'дод. 3'!H121</f>
        <v>0</v>
      </c>
      <c r="H56" s="137">
        <f>'дод. 3'!I121</f>
        <v>0</v>
      </c>
      <c r="I56" s="137">
        <f>'дод. 3'!J121</f>
        <v>0</v>
      </c>
      <c r="J56" s="137">
        <f>'дод. 3'!K121</f>
        <v>0</v>
      </c>
      <c r="K56" s="137">
        <f>'дод. 3'!L121</f>
        <v>0</v>
      </c>
      <c r="L56" s="137">
        <f>'дод. 3'!M121</f>
        <v>0</v>
      </c>
      <c r="M56" s="137">
        <f>'дод. 3'!N121</f>
        <v>0</v>
      </c>
      <c r="N56" s="137">
        <f>'дод. 3'!O121</f>
        <v>0</v>
      </c>
      <c r="O56" s="137">
        <f>'дод. 3'!P121</f>
        <v>0</v>
      </c>
      <c r="P56" s="137">
        <f t="shared" si="3"/>
        <v>826395</v>
      </c>
      <c r="Q56" s="243"/>
      <c r="R56" s="203"/>
      <c r="X56" s="126"/>
      <c r="Y56" s="126"/>
    </row>
    <row r="57" spans="1:25" s="53" customFormat="1" ht="18.75" customHeight="1">
      <c r="A57" s="51"/>
      <c r="B57" s="50"/>
      <c r="C57" s="50"/>
      <c r="D57" s="61" t="s">
        <v>511</v>
      </c>
      <c r="E57" s="137">
        <f>'дод. 3'!F122</f>
        <v>695315</v>
      </c>
      <c r="F57" s="137">
        <f>'дод. 3'!G122</f>
        <v>695315</v>
      </c>
      <c r="G57" s="137">
        <f>'дод. 3'!H122</f>
        <v>0</v>
      </c>
      <c r="H57" s="137">
        <f>'дод. 3'!I122</f>
        <v>0</v>
      </c>
      <c r="I57" s="137">
        <f>'дод. 3'!J122</f>
        <v>0</v>
      </c>
      <c r="J57" s="137">
        <f>'дод. 3'!K122</f>
        <v>0</v>
      </c>
      <c r="K57" s="137">
        <f>'дод. 3'!L122</f>
        <v>0</v>
      </c>
      <c r="L57" s="137">
        <f>'дод. 3'!M122</f>
        <v>0</v>
      </c>
      <c r="M57" s="137">
        <f>'дод. 3'!N122</f>
        <v>0</v>
      </c>
      <c r="N57" s="137">
        <f>'дод. 3'!O122</f>
        <v>0</v>
      </c>
      <c r="O57" s="137">
        <f>'дод. 3'!P122</f>
        <v>0</v>
      </c>
      <c r="P57" s="137">
        <f t="shared" si="3"/>
        <v>695315</v>
      </c>
      <c r="Q57" s="243"/>
      <c r="R57" s="203"/>
      <c r="X57" s="126"/>
      <c r="Y57" s="126"/>
    </row>
    <row r="58" spans="1:25" s="53" customFormat="1" ht="15">
      <c r="A58" s="51"/>
      <c r="B58" s="50" t="s">
        <v>287</v>
      </c>
      <c r="C58" s="50" t="s">
        <v>286</v>
      </c>
      <c r="D58" s="61" t="s">
        <v>107</v>
      </c>
      <c r="E58" s="137">
        <f>'дод. 3'!F123</f>
        <v>5190763</v>
      </c>
      <c r="F58" s="137">
        <f>'дод. 3'!G123</f>
        <v>5190763</v>
      </c>
      <c r="G58" s="137">
        <f>'дод. 3'!H123</f>
        <v>0</v>
      </c>
      <c r="H58" s="137">
        <f>'дод. 3'!I123</f>
        <v>0</v>
      </c>
      <c r="I58" s="137">
        <f>'дод. 3'!J123</f>
        <v>0</v>
      </c>
      <c r="J58" s="137">
        <f>'дод. 3'!K123</f>
        <v>0</v>
      </c>
      <c r="K58" s="137">
        <f>'дод. 3'!L123</f>
        <v>0</v>
      </c>
      <c r="L58" s="137">
        <f>'дод. 3'!M123</f>
        <v>0</v>
      </c>
      <c r="M58" s="137">
        <f>'дод. 3'!N123</f>
        <v>0</v>
      </c>
      <c r="N58" s="137">
        <f>'дод. 3'!O123</f>
        <v>0</v>
      </c>
      <c r="O58" s="137">
        <f>'дод. 3'!P123</f>
        <v>0</v>
      </c>
      <c r="P58" s="137">
        <f t="shared" si="3"/>
        <v>5190763</v>
      </c>
      <c r="Q58" s="243"/>
      <c r="R58" s="203"/>
      <c r="X58" s="126"/>
      <c r="Y58" s="126"/>
    </row>
    <row r="59" spans="1:25" s="53" customFormat="1" ht="15">
      <c r="A59" s="51"/>
      <c r="B59" s="50"/>
      <c r="C59" s="50"/>
      <c r="D59" s="61" t="s">
        <v>511</v>
      </c>
      <c r="E59" s="137">
        <f>'дод. 3'!F124</f>
        <v>3360400</v>
      </c>
      <c r="F59" s="137">
        <f>'дод. 3'!G124</f>
        <v>3360400</v>
      </c>
      <c r="G59" s="137">
        <f>'дод. 3'!H124</f>
        <v>0</v>
      </c>
      <c r="H59" s="137">
        <f>'дод. 3'!I124</f>
        <v>0</v>
      </c>
      <c r="I59" s="137">
        <f>'дод. 3'!J124</f>
        <v>0</v>
      </c>
      <c r="J59" s="137">
        <f>'дод. 3'!K124</f>
        <v>0</v>
      </c>
      <c r="K59" s="137">
        <f>'дод. 3'!L124</f>
        <v>0</v>
      </c>
      <c r="L59" s="137">
        <f>'дод. 3'!M124</f>
        <v>0</v>
      </c>
      <c r="M59" s="137">
        <f>'дод. 3'!N124</f>
        <v>0</v>
      </c>
      <c r="N59" s="137">
        <f>'дод. 3'!O124</f>
        <v>0</v>
      </c>
      <c r="O59" s="137">
        <f>'дод. 3'!P124</f>
        <v>0</v>
      </c>
      <c r="P59" s="137">
        <f>'дод. 3'!Q124</f>
        <v>3360400</v>
      </c>
      <c r="Q59" s="243"/>
      <c r="R59" s="203"/>
      <c r="X59" s="126"/>
      <c r="Y59" s="126"/>
    </row>
    <row r="60" spans="1:25" s="87" customFormat="1" ht="25.5" customHeight="1">
      <c r="A60" s="86"/>
      <c r="B60" s="88" t="s">
        <v>288</v>
      </c>
      <c r="C60" s="57"/>
      <c r="D60" s="91" t="s">
        <v>289</v>
      </c>
      <c r="E60" s="183">
        <f>E85+E112+E116+E118+E126+E130+E131+E134+E135+E136+E140+E144+E120+E123+E125+E62+E77+E92+E113+E115</f>
        <v>904758742.2</v>
      </c>
      <c r="F60" s="183">
        <f aca="true" t="shared" si="9" ref="F60:P60">F85+F112+F116+F118+F126+F130+F131+F134+F135+F136+F140+F144+F120+F123+F125+F62+F77+F92+F113+F115</f>
        <v>904758742.2</v>
      </c>
      <c r="G60" s="183">
        <f t="shared" si="9"/>
        <v>10554571</v>
      </c>
      <c r="H60" s="183">
        <f t="shared" si="9"/>
        <v>1127600</v>
      </c>
      <c r="I60" s="183">
        <f t="shared" si="9"/>
        <v>0</v>
      </c>
      <c r="J60" s="183">
        <f t="shared" si="9"/>
        <v>1700915</v>
      </c>
      <c r="K60" s="183">
        <f t="shared" si="9"/>
        <v>48900</v>
      </c>
      <c r="L60" s="183">
        <f t="shared" si="9"/>
        <v>39000</v>
      </c>
      <c r="M60" s="183">
        <f t="shared" si="9"/>
        <v>0</v>
      </c>
      <c r="N60" s="183">
        <f t="shared" si="9"/>
        <v>1652015</v>
      </c>
      <c r="O60" s="183">
        <f t="shared" si="9"/>
        <v>1652015</v>
      </c>
      <c r="P60" s="183">
        <f t="shared" si="9"/>
        <v>906459657.2</v>
      </c>
      <c r="Q60" s="243"/>
      <c r="R60" s="203"/>
      <c r="X60" s="85"/>
      <c r="Y60" s="85"/>
    </row>
    <row r="61" spans="1:25" s="87" customFormat="1" ht="17.25" customHeight="1">
      <c r="A61" s="86"/>
      <c r="B61" s="88"/>
      <c r="C61" s="57"/>
      <c r="D61" s="91" t="s">
        <v>510</v>
      </c>
      <c r="E61" s="183">
        <f aca="true" t="shared" si="10" ref="E61:P61">E63+E78+E93+E114+E139</f>
        <v>803918500</v>
      </c>
      <c r="F61" s="183">
        <f t="shared" si="10"/>
        <v>803918500</v>
      </c>
      <c r="G61" s="183">
        <f t="shared" si="10"/>
        <v>0</v>
      </c>
      <c r="H61" s="183">
        <f t="shared" si="10"/>
        <v>0</v>
      </c>
      <c r="I61" s="183">
        <f t="shared" si="10"/>
        <v>0</v>
      </c>
      <c r="J61" s="183">
        <f t="shared" si="10"/>
        <v>600000</v>
      </c>
      <c r="K61" s="183">
        <f t="shared" si="10"/>
        <v>0</v>
      </c>
      <c r="L61" s="183">
        <f t="shared" si="10"/>
        <v>0</v>
      </c>
      <c r="M61" s="183">
        <f t="shared" si="10"/>
        <v>0</v>
      </c>
      <c r="N61" s="183">
        <f t="shared" si="10"/>
        <v>600000</v>
      </c>
      <c r="O61" s="183">
        <f t="shared" si="10"/>
        <v>600000</v>
      </c>
      <c r="P61" s="183">
        <f t="shared" si="10"/>
        <v>804518500</v>
      </c>
      <c r="Q61" s="243"/>
      <c r="R61" s="203"/>
      <c r="X61" s="85"/>
      <c r="Y61" s="85"/>
    </row>
    <row r="62" spans="1:25" s="87" customFormat="1" ht="72.75" customHeight="1">
      <c r="A62" s="86"/>
      <c r="B62" s="127" t="s">
        <v>441</v>
      </c>
      <c r="C62" s="127"/>
      <c r="D62" s="66" t="s">
        <v>442</v>
      </c>
      <c r="E62" s="184">
        <f>'дод. 3'!F137</f>
        <v>486900900</v>
      </c>
      <c r="F62" s="184">
        <f>'дод. 3'!G137</f>
        <v>486900900</v>
      </c>
      <c r="G62" s="184">
        <f>'дод. 3'!H137</f>
        <v>0</v>
      </c>
      <c r="H62" s="184">
        <f>'дод. 3'!I137</f>
        <v>0</v>
      </c>
      <c r="I62" s="184">
        <f>'дод. 3'!J137</f>
        <v>0</v>
      </c>
      <c r="J62" s="184">
        <f>'дод. 3'!K137</f>
        <v>0</v>
      </c>
      <c r="K62" s="184">
        <f>'дод. 3'!L137</f>
        <v>0</v>
      </c>
      <c r="L62" s="184">
        <f>'дод. 3'!M137</f>
        <v>0</v>
      </c>
      <c r="M62" s="184">
        <f>'дод. 3'!N137</f>
        <v>0</v>
      </c>
      <c r="N62" s="184">
        <f>'дод. 3'!O137</f>
        <v>0</v>
      </c>
      <c r="O62" s="184">
        <f>'дод. 3'!P137</f>
        <v>0</v>
      </c>
      <c r="P62" s="184">
        <f>'дод. 3'!Q137</f>
        <v>486900900</v>
      </c>
      <c r="Q62" s="243"/>
      <c r="R62" s="203"/>
      <c r="X62" s="85"/>
      <c r="Y62" s="85"/>
    </row>
    <row r="63" spans="1:25" s="87" customFormat="1" ht="25.5" customHeight="1">
      <c r="A63" s="86"/>
      <c r="B63" s="127"/>
      <c r="C63" s="127"/>
      <c r="D63" s="60" t="s">
        <v>511</v>
      </c>
      <c r="E63" s="184">
        <f>'дод. 3'!F138</f>
        <v>486900900</v>
      </c>
      <c r="F63" s="184">
        <f>'дод. 3'!G138</f>
        <v>486900900</v>
      </c>
      <c r="G63" s="184">
        <f>'дод. 3'!H138</f>
        <v>0</v>
      </c>
      <c r="H63" s="184">
        <f>'дод. 3'!I138</f>
        <v>0</v>
      </c>
      <c r="I63" s="184">
        <f>'дод. 3'!J138</f>
        <v>0</v>
      </c>
      <c r="J63" s="184">
        <f>'дод. 3'!K138</f>
        <v>0</v>
      </c>
      <c r="K63" s="184">
        <f>'дод. 3'!L138</f>
        <v>0</v>
      </c>
      <c r="L63" s="184">
        <f>'дод. 3'!M138</f>
        <v>0</v>
      </c>
      <c r="M63" s="184">
        <f>'дод. 3'!N138</f>
        <v>0</v>
      </c>
      <c r="N63" s="184">
        <f>'дод. 3'!O138</f>
        <v>0</v>
      </c>
      <c r="O63" s="184">
        <f>'дод. 3'!P138</f>
        <v>0</v>
      </c>
      <c r="P63" s="184">
        <f>'дод. 3'!Q138</f>
        <v>486900900</v>
      </c>
      <c r="Q63" s="243"/>
      <c r="R63" s="203"/>
      <c r="X63" s="85"/>
      <c r="Y63" s="85"/>
    </row>
    <row r="64" spans="1:25" s="134" customFormat="1" ht="178.5" customHeight="1">
      <c r="A64" s="132"/>
      <c r="B64" s="129" t="s">
        <v>444</v>
      </c>
      <c r="C64" s="129" t="s">
        <v>258</v>
      </c>
      <c r="D64" s="67" t="s">
        <v>445</v>
      </c>
      <c r="E64" s="137">
        <f>'дод. 3'!F139</f>
        <v>18254500</v>
      </c>
      <c r="F64" s="137">
        <f>'дод. 3'!G139</f>
        <v>18254500</v>
      </c>
      <c r="G64" s="137">
        <f>'дод. 3'!H139</f>
        <v>0</v>
      </c>
      <c r="H64" s="137">
        <f>'дод. 3'!I139</f>
        <v>0</v>
      </c>
      <c r="I64" s="137">
        <f>'дод. 3'!J139</f>
        <v>0</v>
      </c>
      <c r="J64" s="137">
        <f>'дод. 3'!K139</f>
        <v>0</v>
      </c>
      <c r="K64" s="137">
        <f>'дод. 3'!L139</f>
        <v>0</v>
      </c>
      <c r="L64" s="137">
        <f>'дод. 3'!M139</f>
        <v>0</v>
      </c>
      <c r="M64" s="137">
        <f>'дод. 3'!N139</f>
        <v>0</v>
      </c>
      <c r="N64" s="137">
        <f>'дод. 3'!O139</f>
        <v>0</v>
      </c>
      <c r="O64" s="137">
        <f>'дод. 3'!P139</f>
        <v>0</v>
      </c>
      <c r="P64" s="137">
        <f>'дод. 3'!Q139</f>
        <v>18254500</v>
      </c>
      <c r="Q64" s="243"/>
      <c r="R64" s="203"/>
      <c r="X64" s="133"/>
      <c r="Y64" s="133"/>
    </row>
    <row r="65" spans="1:25" s="134" customFormat="1" ht="18" customHeight="1">
      <c r="A65" s="132"/>
      <c r="B65" s="129"/>
      <c r="C65" s="129"/>
      <c r="D65" s="61" t="s">
        <v>511</v>
      </c>
      <c r="E65" s="185">
        <f>'дод. 3'!F140</f>
        <v>18254500</v>
      </c>
      <c r="F65" s="185">
        <f>'дод. 3'!G140</f>
        <v>18254500</v>
      </c>
      <c r="G65" s="185">
        <f>'дод. 3'!H140</f>
        <v>0</v>
      </c>
      <c r="H65" s="185">
        <f>'дод. 3'!I140</f>
        <v>0</v>
      </c>
      <c r="I65" s="185">
        <f>'дод. 3'!J140</f>
        <v>0</v>
      </c>
      <c r="J65" s="185">
        <f>'дод. 3'!K140</f>
        <v>0</v>
      </c>
      <c r="K65" s="185">
        <f>'дод. 3'!L140</f>
        <v>0</v>
      </c>
      <c r="L65" s="185">
        <f>'дод. 3'!M140</f>
        <v>0</v>
      </c>
      <c r="M65" s="185">
        <f>'дод. 3'!N140</f>
        <v>0</v>
      </c>
      <c r="N65" s="185">
        <f>'дод. 3'!O140</f>
        <v>0</v>
      </c>
      <c r="O65" s="185">
        <f>'дод. 3'!P140</f>
        <v>0</v>
      </c>
      <c r="P65" s="185">
        <f>'дод. 3'!Q140</f>
        <v>18254500</v>
      </c>
      <c r="Q65" s="243"/>
      <c r="R65" s="203"/>
      <c r="X65" s="133"/>
      <c r="Y65" s="133"/>
    </row>
    <row r="66" spans="1:25" s="134" customFormat="1" ht="258" customHeight="1">
      <c r="A66" s="132"/>
      <c r="B66" s="251" t="s">
        <v>447</v>
      </c>
      <c r="C66" s="251" t="s">
        <v>258</v>
      </c>
      <c r="D66" s="141" t="s">
        <v>0</v>
      </c>
      <c r="E66" s="186">
        <f>'дод. 3'!F141</f>
        <v>2873400</v>
      </c>
      <c r="F66" s="186">
        <f>'дод. 3'!G141</f>
        <v>2873400</v>
      </c>
      <c r="G66" s="186">
        <f>'дод. 3'!H141</f>
        <v>0</v>
      </c>
      <c r="H66" s="186">
        <f>'дод. 3'!I141</f>
        <v>0</v>
      </c>
      <c r="I66" s="186">
        <f>'дод. 3'!J141</f>
        <v>0</v>
      </c>
      <c r="J66" s="186">
        <f>'дод. 3'!K141</f>
        <v>0</v>
      </c>
      <c r="K66" s="186">
        <f>'дод. 3'!L141</f>
        <v>0</v>
      </c>
      <c r="L66" s="186">
        <f>'дод. 3'!M141</f>
        <v>0</v>
      </c>
      <c r="M66" s="186">
        <f>'дод. 3'!N141</f>
        <v>0</v>
      </c>
      <c r="N66" s="186">
        <f>'дод. 3'!O141</f>
        <v>0</v>
      </c>
      <c r="O66" s="186">
        <f>'дод. 3'!P141</f>
        <v>0</v>
      </c>
      <c r="P66" s="186">
        <f>'дод. 3'!Q141</f>
        <v>2873400</v>
      </c>
      <c r="Q66" s="243"/>
      <c r="R66" s="203"/>
      <c r="X66" s="133"/>
      <c r="Y66" s="133"/>
    </row>
    <row r="67" spans="1:25" s="134" customFormat="1" ht="199.5" customHeight="1">
      <c r="A67" s="132"/>
      <c r="B67" s="252"/>
      <c r="C67" s="252"/>
      <c r="D67" s="52" t="s">
        <v>1</v>
      </c>
      <c r="E67" s="187">
        <f>'дод. 3'!F142</f>
        <v>0</v>
      </c>
      <c r="F67" s="187">
        <f>'дод. 3'!G142</f>
        <v>0</v>
      </c>
      <c r="G67" s="187">
        <f>'дод. 3'!H142</f>
        <v>0</v>
      </c>
      <c r="H67" s="187">
        <f>'дод. 3'!I142</f>
        <v>0</v>
      </c>
      <c r="I67" s="187">
        <f>'дод. 3'!J142</f>
        <v>0</v>
      </c>
      <c r="J67" s="187">
        <f>'дод. 3'!K142</f>
        <v>0</v>
      </c>
      <c r="K67" s="187">
        <f>'дод. 3'!L142</f>
        <v>0</v>
      </c>
      <c r="L67" s="187">
        <f>'дод. 3'!M142</f>
        <v>0</v>
      </c>
      <c r="M67" s="187">
        <f>'дод. 3'!N142</f>
        <v>0</v>
      </c>
      <c r="N67" s="187">
        <f>'дод. 3'!O142</f>
        <v>0</v>
      </c>
      <c r="O67" s="187">
        <f>'дод. 3'!P142</f>
        <v>0</v>
      </c>
      <c r="P67" s="187">
        <f>'дод. 3'!Q142</f>
        <v>0</v>
      </c>
      <c r="Q67" s="243"/>
      <c r="R67" s="203"/>
      <c r="X67" s="133"/>
      <c r="Y67" s="133"/>
    </row>
    <row r="68" spans="1:25" s="134" customFormat="1" ht="25.5" customHeight="1">
      <c r="A68" s="132"/>
      <c r="B68" s="129"/>
      <c r="C68" s="129"/>
      <c r="D68" s="61" t="s">
        <v>511</v>
      </c>
      <c r="E68" s="187">
        <f>'дод. 3'!F143</f>
        <v>2873400</v>
      </c>
      <c r="F68" s="187">
        <f>'дод. 3'!G143</f>
        <v>2873400</v>
      </c>
      <c r="G68" s="187">
        <f>'дод. 3'!H143</f>
        <v>0</v>
      </c>
      <c r="H68" s="187">
        <f>'дод. 3'!I143</f>
        <v>0</v>
      </c>
      <c r="I68" s="187">
        <f>'дод. 3'!J143</f>
        <v>0</v>
      </c>
      <c r="J68" s="187">
        <f>'дод. 3'!K143</f>
        <v>0</v>
      </c>
      <c r="K68" s="187">
        <f>'дод. 3'!L143</f>
        <v>0</v>
      </c>
      <c r="L68" s="187">
        <f>'дод. 3'!M143</f>
        <v>0</v>
      </c>
      <c r="M68" s="187">
        <f>'дод. 3'!N143</f>
        <v>0</v>
      </c>
      <c r="N68" s="187">
        <f>'дод. 3'!O143</f>
        <v>0</v>
      </c>
      <c r="O68" s="187">
        <f>'дод. 3'!P143</f>
        <v>0</v>
      </c>
      <c r="P68" s="187">
        <f>'дод. 3'!Q143</f>
        <v>2873400</v>
      </c>
      <c r="Q68" s="243" t="s">
        <v>582</v>
      </c>
      <c r="R68" s="203"/>
      <c r="X68" s="133"/>
      <c r="Y68" s="133"/>
    </row>
    <row r="69" spans="1:25" s="134" customFormat="1" ht="84" customHeight="1">
      <c r="A69" s="132"/>
      <c r="B69" s="129" t="s">
        <v>449</v>
      </c>
      <c r="C69" s="129" t="s">
        <v>260</v>
      </c>
      <c r="D69" s="67" t="s">
        <v>450</v>
      </c>
      <c r="E69" s="137">
        <f>'дод. 3'!F144</f>
        <v>1834400</v>
      </c>
      <c r="F69" s="137">
        <f>'дод. 3'!G144</f>
        <v>1834400</v>
      </c>
      <c r="G69" s="137">
        <f>'дод. 3'!H144</f>
        <v>0</v>
      </c>
      <c r="H69" s="137">
        <f>'дод. 3'!I144</f>
        <v>0</v>
      </c>
      <c r="I69" s="137">
        <f>'дод. 3'!J144</f>
        <v>0</v>
      </c>
      <c r="J69" s="137">
        <f>'дод. 3'!K144</f>
        <v>0</v>
      </c>
      <c r="K69" s="137">
        <f>'дод. 3'!L144</f>
        <v>0</v>
      </c>
      <c r="L69" s="137">
        <f>'дод. 3'!M144</f>
        <v>0</v>
      </c>
      <c r="M69" s="137">
        <f>'дод. 3'!N144</f>
        <v>0</v>
      </c>
      <c r="N69" s="137">
        <f>'дод. 3'!O144</f>
        <v>0</v>
      </c>
      <c r="O69" s="137">
        <f>'дод. 3'!P144</f>
        <v>0</v>
      </c>
      <c r="P69" s="137">
        <f>'дод. 3'!Q144</f>
        <v>1834400</v>
      </c>
      <c r="Q69" s="243"/>
      <c r="R69" s="203"/>
      <c r="X69" s="133"/>
      <c r="Y69" s="133"/>
    </row>
    <row r="70" spans="1:25" s="134" customFormat="1" ht="18.75" customHeight="1">
      <c r="A70" s="132"/>
      <c r="B70" s="129"/>
      <c r="C70" s="129"/>
      <c r="D70" s="61" t="s">
        <v>511</v>
      </c>
      <c r="E70" s="137">
        <f>'дод. 3'!F145</f>
        <v>1834400</v>
      </c>
      <c r="F70" s="137">
        <f>'дод. 3'!G145</f>
        <v>1834400</v>
      </c>
      <c r="G70" s="137">
        <f>'дод. 3'!H145</f>
        <v>0</v>
      </c>
      <c r="H70" s="137">
        <f>'дод. 3'!I145</f>
        <v>0</v>
      </c>
      <c r="I70" s="137">
        <f>'дод. 3'!J145</f>
        <v>0</v>
      </c>
      <c r="J70" s="137">
        <f>'дод. 3'!K145</f>
        <v>0</v>
      </c>
      <c r="K70" s="137">
        <f>'дод. 3'!L145</f>
        <v>0</v>
      </c>
      <c r="L70" s="137">
        <f>'дод. 3'!M145</f>
        <v>0</v>
      </c>
      <c r="M70" s="137">
        <f>'дод. 3'!N145</f>
        <v>0</v>
      </c>
      <c r="N70" s="137">
        <f>'дод. 3'!O145</f>
        <v>0</v>
      </c>
      <c r="O70" s="137">
        <f>'дод. 3'!P145</f>
        <v>0</v>
      </c>
      <c r="P70" s="137">
        <f>'дод. 3'!Q145</f>
        <v>1834400</v>
      </c>
      <c r="Q70" s="243"/>
      <c r="R70" s="203"/>
      <c r="X70" s="133"/>
      <c r="Y70" s="133"/>
    </row>
    <row r="71" spans="1:25" s="134" customFormat="1" ht="156.75" customHeight="1">
      <c r="A71" s="132"/>
      <c r="B71" s="129" t="s">
        <v>452</v>
      </c>
      <c r="C71" s="129" t="s">
        <v>260</v>
      </c>
      <c r="D71" s="67" t="s">
        <v>453</v>
      </c>
      <c r="E71" s="137">
        <f>'дод. 3'!F146</f>
        <v>64700</v>
      </c>
      <c r="F71" s="137">
        <f>'дод. 3'!G146</f>
        <v>64700</v>
      </c>
      <c r="G71" s="137">
        <f>'дод. 3'!H146</f>
        <v>0</v>
      </c>
      <c r="H71" s="137">
        <f>'дод. 3'!I146</f>
        <v>0</v>
      </c>
      <c r="I71" s="137">
        <f>'дод. 3'!J146</f>
        <v>0</v>
      </c>
      <c r="J71" s="137">
        <f>'дод. 3'!K146</f>
        <v>0</v>
      </c>
      <c r="K71" s="137">
        <f>'дод. 3'!L146</f>
        <v>0</v>
      </c>
      <c r="L71" s="137">
        <f>'дод. 3'!M146</f>
        <v>0</v>
      </c>
      <c r="M71" s="137">
        <f>'дод. 3'!N146</f>
        <v>0</v>
      </c>
      <c r="N71" s="137">
        <f>'дод. 3'!O146</f>
        <v>0</v>
      </c>
      <c r="O71" s="137">
        <f>'дод. 3'!P146</f>
        <v>0</v>
      </c>
      <c r="P71" s="137">
        <f>'дод. 3'!Q146</f>
        <v>64700</v>
      </c>
      <c r="Q71" s="243"/>
      <c r="R71" s="203"/>
      <c r="X71" s="133"/>
      <c r="Y71" s="133"/>
    </row>
    <row r="72" spans="1:25" s="134" customFormat="1" ht="18.75" customHeight="1">
      <c r="A72" s="132"/>
      <c r="B72" s="129"/>
      <c r="C72" s="129"/>
      <c r="D72" s="61" t="s">
        <v>511</v>
      </c>
      <c r="E72" s="137">
        <f>'дод. 3'!F147</f>
        <v>64700</v>
      </c>
      <c r="F72" s="137">
        <f>'дод. 3'!G147</f>
        <v>64700</v>
      </c>
      <c r="G72" s="137">
        <f>'дод. 3'!H147</f>
        <v>0</v>
      </c>
      <c r="H72" s="137">
        <f>'дод. 3'!I147</f>
        <v>0</v>
      </c>
      <c r="I72" s="137">
        <f>'дод. 3'!J147</f>
        <v>0</v>
      </c>
      <c r="J72" s="137">
        <f>'дод. 3'!K147</f>
        <v>0</v>
      </c>
      <c r="K72" s="137">
        <f>'дод. 3'!L147</f>
        <v>0</v>
      </c>
      <c r="L72" s="137">
        <f>'дод. 3'!M147</f>
        <v>0</v>
      </c>
      <c r="M72" s="137">
        <f>'дод. 3'!N147</f>
        <v>0</v>
      </c>
      <c r="N72" s="137">
        <f>'дод. 3'!O147</f>
        <v>0</v>
      </c>
      <c r="O72" s="137">
        <f>'дод. 3'!P147</f>
        <v>0</v>
      </c>
      <c r="P72" s="137">
        <f>'дод. 3'!Q147</f>
        <v>64700</v>
      </c>
      <c r="Q72" s="243"/>
      <c r="R72" s="203"/>
      <c r="X72" s="133"/>
      <c r="Y72" s="133"/>
    </row>
    <row r="73" spans="1:25" s="134" customFormat="1" ht="39" customHeight="1">
      <c r="A73" s="132"/>
      <c r="B73" s="129" t="s">
        <v>455</v>
      </c>
      <c r="C73" s="129" t="s">
        <v>260</v>
      </c>
      <c r="D73" s="67" t="s">
        <v>456</v>
      </c>
      <c r="E73" s="137">
        <f>'дод. 3'!F148</f>
        <v>819400</v>
      </c>
      <c r="F73" s="137">
        <f>'дод. 3'!G148</f>
        <v>819400</v>
      </c>
      <c r="G73" s="137">
        <f>'дод. 3'!H148</f>
        <v>0</v>
      </c>
      <c r="H73" s="137">
        <f>'дод. 3'!I148</f>
        <v>0</v>
      </c>
      <c r="I73" s="137">
        <f>'дод. 3'!J148</f>
        <v>0</v>
      </c>
      <c r="J73" s="137">
        <f>'дод. 3'!K148</f>
        <v>0</v>
      </c>
      <c r="K73" s="137">
        <f>'дод. 3'!L148</f>
        <v>0</v>
      </c>
      <c r="L73" s="137">
        <f>'дод. 3'!M148</f>
        <v>0</v>
      </c>
      <c r="M73" s="137">
        <f>'дод. 3'!N148</f>
        <v>0</v>
      </c>
      <c r="N73" s="137">
        <f>'дод. 3'!O148</f>
        <v>0</v>
      </c>
      <c r="O73" s="137">
        <f>'дод. 3'!P148</f>
        <v>0</v>
      </c>
      <c r="P73" s="137">
        <f>'дод. 3'!Q148</f>
        <v>819400</v>
      </c>
      <c r="Q73" s="243"/>
      <c r="R73" s="203"/>
      <c r="X73" s="133"/>
      <c r="Y73" s="133"/>
    </row>
    <row r="74" spans="1:25" s="134" customFormat="1" ht="17.25" customHeight="1">
      <c r="A74" s="132"/>
      <c r="B74" s="129"/>
      <c r="C74" s="129"/>
      <c r="D74" s="61" t="s">
        <v>511</v>
      </c>
      <c r="E74" s="137">
        <f>'дод. 3'!F149</f>
        <v>819400</v>
      </c>
      <c r="F74" s="137">
        <f>'дод. 3'!G149</f>
        <v>819400</v>
      </c>
      <c r="G74" s="137">
        <f>'дод. 3'!H149</f>
        <v>0</v>
      </c>
      <c r="H74" s="137">
        <f>'дод. 3'!I149</f>
        <v>0</v>
      </c>
      <c r="I74" s="137">
        <f>'дод. 3'!J149</f>
        <v>0</v>
      </c>
      <c r="J74" s="137">
        <f>'дод. 3'!K149</f>
        <v>0</v>
      </c>
      <c r="K74" s="137">
        <f>'дод. 3'!L149</f>
        <v>0</v>
      </c>
      <c r="L74" s="137">
        <f>'дод. 3'!M149</f>
        <v>0</v>
      </c>
      <c r="M74" s="137">
        <f>'дод. 3'!N149</f>
        <v>0</v>
      </c>
      <c r="N74" s="137">
        <f>'дод. 3'!O149</f>
        <v>0</v>
      </c>
      <c r="O74" s="137">
        <f>'дод. 3'!P149</f>
        <v>0</v>
      </c>
      <c r="P74" s="137">
        <f>'дод. 3'!Q149</f>
        <v>819400</v>
      </c>
      <c r="Q74" s="243"/>
      <c r="R74" s="203"/>
      <c r="X74" s="133"/>
      <c r="Y74" s="133"/>
    </row>
    <row r="75" spans="1:25" s="134" customFormat="1" ht="30" customHeight="1">
      <c r="A75" s="132"/>
      <c r="B75" s="129" t="s">
        <v>458</v>
      </c>
      <c r="C75" s="129" t="s">
        <v>259</v>
      </c>
      <c r="D75" s="67" t="s">
        <v>459</v>
      </c>
      <c r="E75" s="137">
        <f>'дод. 3'!F150</f>
        <v>463054500</v>
      </c>
      <c r="F75" s="137">
        <f>'дод. 3'!G150</f>
        <v>463054500</v>
      </c>
      <c r="G75" s="137">
        <f>'дод. 3'!H150</f>
        <v>0</v>
      </c>
      <c r="H75" s="137">
        <f>'дод. 3'!I150</f>
        <v>0</v>
      </c>
      <c r="I75" s="137">
        <f>'дод. 3'!J150</f>
        <v>0</v>
      </c>
      <c r="J75" s="137">
        <f>'дод. 3'!K150</f>
        <v>0</v>
      </c>
      <c r="K75" s="137">
        <f>'дод. 3'!L150</f>
        <v>0</v>
      </c>
      <c r="L75" s="137">
        <f>'дод. 3'!M150</f>
        <v>0</v>
      </c>
      <c r="M75" s="137">
        <f>'дод. 3'!N150</f>
        <v>0</v>
      </c>
      <c r="N75" s="137">
        <f>'дод. 3'!O150</f>
        <v>0</v>
      </c>
      <c r="O75" s="137">
        <f>'дод. 3'!P150</f>
        <v>0</v>
      </c>
      <c r="P75" s="137">
        <f>'дод. 3'!Q150</f>
        <v>463054500</v>
      </c>
      <c r="Q75" s="243"/>
      <c r="R75" s="203"/>
      <c r="X75" s="133"/>
      <c r="Y75" s="133"/>
    </row>
    <row r="76" spans="1:25" s="134" customFormat="1" ht="20.25" customHeight="1">
      <c r="A76" s="132"/>
      <c r="B76" s="129"/>
      <c r="C76" s="129"/>
      <c r="D76" s="61" t="s">
        <v>511</v>
      </c>
      <c r="E76" s="137">
        <f>'дод. 3'!F151</f>
        <v>463054500</v>
      </c>
      <c r="F76" s="137">
        <f>'дод. 3'!G151</f>
        <v>463054500</v>
      </c>
      <c r="G76" s="137">
        <f>'дод. 3'!H151</f>
        <v>0</v>
      </c>
      <c r="H76" s="137">
        <f>'дод. 3'!I151</f>
        <v>0</v>
      </c>
      <c r="I76" s="137">
        <f>'дод. 3'!J151</f>
        <v>0</v>
      </c>
      <c r="J76" s="137">
        <f>'дод. 3'!K151</f>
        <v>0</v>
      </c>
      <c r="K76" s="137">
        <f>'дод. 3'!L151</f>
        <v>0</v>
      </c>
      <c r="L76" s="137">
        <f>'дод. 3'!M151</f>
        <v>0</v>
      </c>
      <c r="M76" s="137">
        <f>'дод. 3'!N151</f>
        <v>0</v>
      </c>
      <c r="N76" s="137">
        <f>'дод. 3'!O151</f>
        <v>0</v>
      </c>
      <c r="O76" s="137">
        <f>'дод. 3'!P151</f>
        <v>0</v>
      </c>
      <c r="P76" s="137">
        <f>'дод. 3'!Q151</f>
        <v>463054500</v>
      </c>
      <c r="Q76" s="243"/>
      <c r="R76" s="203"/>
      <c r="X76" s="133"/>
      <c r="Y76" s="133"/>
    </row>
    <row r="77" spans="1:25" s="87" customFormat="1" ht="38.25" customHeight="1">
      <c r="A77" s="86"/>
      <c r="B77" s="127" t="s">
        <v>461</v>
      </c>
      <c r="C77" s="127"/>
      <c r="D77" s="66" t="s">
        <v>462</v>
      </c>
      <c r="E77" s="184">
        <f>'дод. 3'!F152</f>
        <v>313500</v>
      </c>
      <c r="F77" s="184">
        <f>'дод. 3'!G152</f>
        <v>313500</v>
      </c>
      <c r="G77" s="184">
        <f>'дод. 3'!H152</f>
        <v>0</v>
      </c>
      <c r="H77" s="184">
        <f>'дод. 3'!I152</f>
        <v>0</v>
      </c>
      <c r="I77" s="184">
        <f>'дод. 3'!J152</f>
        <v>0</v>
      </c>
      <c r="J77" s="184">
        <f>'дод. 3'!K152</f>
        <v>0</v>
      </c>
      <c r="K77" s="184">
        <f>'дод. 3'!L152</f>
        <v>0</v>
      </c>
      <c r="L77" s="184">
        <f>'дод. 3'!M152</f>
        <v>0</v>
      </c>
      <c r="M77" s="184">
        <f>'дод. 3'!N152</f>
        <v>0</v>
      </c>
      <c r="N77" s="184">
        <f>'дод. 3'!O152</f>
        <v>0</v>
      </c>
      <c r="O77" s="184">
        <f>'дод. 3'!P152</f>
        <v>0</v>
      </c>
      <c r="P77" s="184">
        <f>'дод. 3'!Q152</f>
        <v>313500</v>
      </c>
      <c r="Q77" s="243"/>
      <c r="R77" s="203"/>
      <c r="X77" s="85"/>
      <c r="Y77" s="85"/>
    </row>
    <row r="78" spans="1:25" s="87" customFormat="1" ht="18.75" customHeight="1">
      <c r="A78" s="86"/>
      <c r="B78" s="127"/>
      <c r="C78" s="127"/>
      <c r="D78" s="60" t="s">
        <v>511</v>
      </c>
      <c r="E78" s="184">
        <f>'дод. 3'!F153</f>
        <v>313500</v>
      </c>
      <c r="F78" s="184">
        <f>'дод. 3'!G153</f>
        <v>313500</v>
      </c>
      <c r="G78" s="184">
        <f>'дод. 3'!H153</f>
        <v>0</v>
      </c>
      <c r="H78" s="184">
        <f>'дод. 3'!I153</f>
        <v>0</v>
      </c>
      <c r="I78" s="184">
        <f>'дод. 3'!J153</f>
        <v>0</v>
      </c>
      <c r="J78" s="184">
        <f>'дод. 3'!K153</f>
        <v>0</v>
      </c>
      <c r="K78" s="184">
        <f>'дод. 3'!L153</f>
        <v>0</v>
      </c>
      <c r="L78" s="184">
        <f>'дод. 3'!M153</f>
        <v>0</v>
      </c>
      <c r="M78" s="184">
        <f>'дод. 3'!N153</f>
        <v>0</v>
      </c>
      <c r="N78" s="184">
        <f>'дод. 3'!O153</f>
        <v>0</v>
      </c>
      <c r="O78" s="184">
        <f>'дод. 3'!P153</f>
        <v>0</v>
      </c>
      <c r="P78" s="184">
        <f>'дод. 3'!Q153</f>
        <v>313500</v>
      </c>
      <c r="Q78" s="243"/>
      <c r="R78" s="203"/>
      <c r="X78" s="85"/>
      <c r="Y78" s="85"/>
    </row>
    <row r="79" spans="1:25" s="134" customFormat="1" ht="175.5" customHeight="1">
      <c r="A79" s="132"/>
      <c r="B79" s="129" t="s">
        <v>464</v>
      </c>
      <c r="C79" s="129" t="s">
        <v>258</v>
      </c>
      <c r="D79" s="67" t="s">
        <v>465</v>
      </c>
      <c r="E79" s="137">
        <f>'дод. 3'!F154</f>
        <v>36189.020000000004</v>
      </c>
      <c r="F79" s="137">
        <f>'дод. 3'!G154</f>
        <v>36189.020000000004</v>
      </c>
      <c r="G79" s="137">
        <f>'дод. 3'!H154</f>
        <v>0</v>
      </c>
      <c r="H79" s="137">
        <f>'дод. 3'!I154</f>
        <v>0</v>
      </c>
      <c r="I79" s="137">
        <f>'дод. 3'!J154</f>
        <v>0</v>
      </c>
      <c r="J79" s="137">
        <f>'дод. 3'!K154</f>
        <v>0</v>
      </c>
      <c r="K79" s="137">
        <f>'дод. 3'!L154</f>
        <v>0</v>
      </c>
      <c r="L79" s="137">
        <f>'дод. 3'!M154</f>
        <v>0</v>
      </c>
      <c r="M79" s="137">
        <f>'дод. 3'!N154</f>
        <v>0</v>
      </c>
      <c r="N79" s="137">
        <f>'дод. 3'!O154</f>
        <v>0</v>
      </c>
      <c r="O79" s="137">
        <f>'дод. 3'!P154</f>
        <v>0</v>
      </c>
      <c r="P79" s="137">
        <f>'дод. 3'!Q154</f>
        <v>36189.020000000004</v>
      </c>
      <c r="Q79" s="243"/>
      <c r="R79" s="203"/>
      <c r="X79" s="133"/>
      <c r="Y79" s="133"/>
    </row>
    <row r="80" spans="1:25" s="134" customFormat="1" ht="17.25" customHeight="1">
      <c r="A80" s="132"/>
      <c r="B80" s="129"/>
      <c r="C80" s="129"/>
      <c r="D80" s="61" t="s">
        <v>511</v>
      </c>
      <c r="E80" s="137">
        <f>'дод. 3'!F155</f>
        <v>36189.020000000004</v>
      </c>
      <c r="F80" s="137">
        <f>'дод. 3'!G155</f>
        <v>36189.020000000004</v>
      </c>
      <c r="G80" s="137">
        <f>'дод. 3'!H155</f>
        <v>0</v>
      </c>
      <c r="H80" s="137">
        <f>'дод. 3'!I155</f>
        <v>0</v>
      </c>
      <c r="I80" s="137">
        <f>'дод. 3'!J155</f>
        <v>0</v>
      </c>
      <c r="J80" s="137">
        <f>'дод. 3'!K155</f>
        <v>0</v>
      </c>
      <c r="K80" s="137">
        <f>'дод. 3'!L155</f>
        <v>0</v>
      </c>
      <c r="L80" s="137">
        <f>'дод. 3'!M155</f>
        <v>0</v>
      </c>
      <c r="M80" s="137">
        <f>'дод. 3'!N155</f>
        <v>0</v>
      </c>
      <c r="N80" s="137">
        <f>'дод. 3'!O155</f>
        <v>0</v>
      </c>
      <c r="O80" s="137">
        <f>'дод. 3'!P155</f>
        <v>0</v>
      </c>
      <c r="P80" s="137">
        <f>'дод. 3'!Q155</f>
        <v>36189.020000000004</v>
      </c>
      <c r="Q80" s="243"/>
      <c r="R80" s="203"/>
      <c r="X80" s="133"/>
      <c r="Y80" s="133"/>
    </row>
    <row r="81" spans="1:25" s="134" customFormat="1" ht="40.5" customHeight="1">
      <c r="A81" s="132"/>
      <c r="B81" s="129" t="s">
        <v>467</v>
      </c>
      <c r="C81" s="129" t="s">
        <v>260</v>
      </c>
      <c r="D81" s="130" t="s">
        <v>468</v>
      </c>
      <c r="E81" s="137">
        <f>'дод. 3'!F156</f>
        <v>8035.26</v>
      </c>
      <c r="F81" s="137">
        <f>'дод. 3'!G156</f>
        <v>8035.26</v>
      </c>
      <c r="G81" s="137">
        <f>'дод. 3'!H156</f>
        <v>0</v>
      </c>
      <c r="H81" s="137">
        <f>'дод. 3'!I156</f>
        <v>0</v>
      </c>
      <c r="I81" s="137">
        <f>'дод. 3'!J156</f>
        <v>0</v>
      </c>
      <c r="J81" s="137">
        <f>'дод. 3'!K156</f>
        <v>0</v>
      </c>
      <c r="K81" s="137">
        <f>'дод. 3'!L156</f>
        <v>0</v>
      </c>
      <c r="L81" s="137">
        <f>'дод. 3'!M156</f>
        <v>0</v>
      </c>
      <c r="M81" s="137">
        <f>'дод. 3'!N156</f>
        <v>0</v>
      </c>
      <c r="N81" s="137">
        <f>'дод. 3'!O156</f>
        <v>0</v>
      </c>
      <c r="O81" s="137">
        <f>'дод. 3'!P156</f>
        <v>0</v>
      </c>
      <c r="P81" s="137">
        <f>'дод. 3'!Q156</f>
        <v>8035.26</v>
      </c>
      <c r="Q81" s="243"/>
      <c r="R81" s="203"/>
      <c r="X81" s="133"/>
      <c r="Y81" s="133"/>
    </row>
    <row r="82" spans="1:25" s="134" customFormat="1" ht="25.5" customHeight="1">
      <c r="A82" s="132"/>
      <c r="B82" s="129"/>
      <c r="C82" s="129"/>
      <c r="D82" s="61" t="s">
        <v>511</v>
      </c>
      <c r="E82" s="137">
        <f>'дод. 3'!F157</f>
        <v>8035.26</v>
      </c>
      <c r="F82" s="137">
        <f>'дод. 3'!G157</f>
        <v>8035.26</v>
      </c>
      <c r="G82" s="137">
        <f>'дод. 3'!H157</f>
        <v>0</v>
      </c>
      <c r="H82" s="137">
        <f>'дод. 3'!I157</f>
        <v>0</v>
      </c>
      <c r="I82" s="137">
        <f>'дод. 3'!J157</f>
        <v>0</v>
      </c>
      <c r="J82" s="137">
        <f>'дод. 3'!K157</f>
        <v>0</v>
      </c>
      <c r="K82" s="137">
        <f>'дод. 3'!L157</f>
        <v>0</v>
      </c>
      <c r="L82" s="137">
        <f>'дод. 3'!M157</f>
        <v>0</v>
      </c>
      <c r="M82" s="137">
        <f>'дод. 3'!N157</f>
        <v>0</v>
      </c>
      <c r="N82" s="137">
        <f>'дод. 3'!O157</f>
        <v>0</v>
      </c>
      <c r="O82" s="137">
        <f>'дод. 3'!P157</f>
        <v>0</v>
      </c>
      <c r="P82" s="137">
        <f>'дод. 3'!Q157</f>
        <v>8035.26</v>
      </c>
      <c r="Q82" s="243"/>
      <c r="R82" s="203"/>
      <c r="X82" s="133"/>
      <c r="Y82" s="133"/>
    </row>
    <row r="83" spans="1:25" s="134" customFormat="1" ht="47.25" customHeight="1">
      <c r="A83" s="132"/>
      <c r="B83" s="129" t="s">
        <v>470</v>
      </c>
      <c r="C83" s="129" t="s">
        <v>259</v>
      </c>
      <c r="D83" s="67" t="s">
        <v>471</v>
      </c>
      <c r="E83" s="137">
        <f>'дод. 3'!F158</f>
        <v>269275.72</v>
      </c>
      <c r="F83" s="137">
        <f>'дод. 3'!G158</f>
        <v>269275.72</v>
      </c>
      <c r="G83" s="137">
        <f>'дод. 3'!H158</f>
        <v>0</v>
      </c>
      <c r="H83" s="137">
        <f>'дод. 3'!I158</f>
        <v>0</v>
      </c>
      <c r="I83" s="137">
        <f>'дод. 3'!J158</f>
        <v>0</v>
      </c>
      <c r="J83" s="137">
        <f>'дод. 3'!K158</f>
        <v>0</v>
      </c>
      <c r="K83" s="137">
        <f>'дод. 3'!L158</f>
        <v>0</v>
      </c>
      <c r="L83" s="137">
        <f>'дод. 3'!M158</f>
        <v>0</v>
      </c>
      <c r="M83" s="137">
        <f>'дод. 3'!N158</f>
        <v>0</v>
      </c>
      <c r="N83" s="137">
        <f>'дод. 3'!O158</f>
        <v>0</v>
      </c>
      <c r="O83" s="137">
        <f>'дод. 3'!P158</f>
        <v>0</v>
      </c>
      <c r="P83" s="137">
        <f>'дод. 3'!Q158</f>
        <v>269275.72</v>
      </c>
      <c r="Q83" s="243"/>
      <c r="R83" s="203"/>
      <c r="X83" s="133"/>
      <c r="Y83" s="133"/>
    </row>
    <row r="84" spans="1:25" s="134" customFormat="1" ht="25.5" customHeight="1">
      <c r="A84" s="132"/>
      <c r="B84" s="129"/>
      <c r="C84" s="129"/>
      <c r="D84" s="61" t="s">
        <v>511</v>
      </c>
      <c r="E84" s="137">
        <f>'дод. 3'!F159</f>
        <v>269275.72</v>
      </c>
      <c r="F84" s="137">
        <f>'дод. 3'!G159</f>
        <v>269275.72</v>
      </c>
      <c r="G84" s="137">
        <f>'дод. 3'!H159</f>
        <v>0</v>
      </c>
      <c r="H84" s="137">
        <f>'дод. 3'!I159</f>
        <v>0</v>
      </c>
      <c r="I84" s="137">
        <f>'дод. 3'!J159</f>
        <v>0</v>
      </c>
      <c r="J84" s="137">
        <f>'дод. 3'!K159</f>
        <v>0</v>
      </c>
      <c r="K84" s="137">
        <f>'дод. 3'!L159</f>
        <v>0</v>
      </c>
      <c r="L84" s="137">
        <f>'дод. 3'!M159</f>
        <v>0</v>
      </c>
      <c r="M84" s="137">
        <f>'дод. 3'!N159</f>
        <v>0</v>
      </c>
      <c r="N84" s="137">
        <f>'дод. 3'!O159</f>
        <v>0</v>
      </c>
      <c r="O84" s="137">
        <f>'дод. 3'!P159</f>
        <v>0</v>
      </c>
      <c r="P84" s="137">
        <f>'дод. 3'!Q159</f>
        <v>269275.72</v>
      </c>
      <c r="Q84" s="243"/>
      <c r="R84" s="203"/>
      <c r="X84" s="133"/>
      <c r="Y84" s="133"/>
    </row>
    <row r="85" spans="2:25" ht="151.5" customHeight="1">
      <c r="B85" s="46" t="s">
        <v>385</v>
      </c>
      <c r="C85" s="68"/>
      <c r="D85" s="66" t="s">
        <v>112</v>
      </c>
      <c r="E85" s="184">
        <f>E86+E87+E88+E89+E91+E90</f>
        <v>38720720.2</v>
      </c>
      <c r="F85" s="184">
        <f>F86+F87+F88+F89+F91+F90</f>
        <v>38720720.2</v>
      </c>
      <c r="G85" s="184">
        <f aca="true" t="shared" si="11" ref="G85:O85">G86+G87+G88+G89+G91</f>
        <v>0</v>
      </c>
      <c r="H85" s="184">
        <f t="shared" si="11"/>
        <v>0</v>
      </c>
      <c r="I85" s="184">
        <f t="shared" si="11"/>
        <v>0</v>
      </c>
      <c r="J85" s="184">
        <f t="shared" si="11"/>
        <v>154612</v>
      </c>
      <c r="K85" s="184">
        <f t="shared" si="11"/>
        <v>0</v>
      </c>
      <c r="L85" s="184">
        <f t="shared" si="11"/>
        <v>0</v>
      </c>
      <c r="M85" s="184">
        <f t="shared" si="11"/>
        <v>0</v>
      </c>
      <c r="N85" s="184">
        <f t="shared" si="11"/>
        <v>154612</v>
      </c>
      <c r="O85" s="184">
        <f t="shared" si="11"/>
        <v>154612</v>
      </c>
      <c r="P85" s="184">
        <f aca="true" t="shared" si="12" ref="P85:P91">E85+J85</f>
        <v>38875332.2</v>
      </c>
      <c r="Q85" s="243"/>
      <c r="R85" s="203"/>
      <c r="X85" s="82"/>
      <c r="Y85" s="82"/>
    </row>
    <row r="86" spans="1:25" s="53" customFormat="1" ht="192.75" customHeight="1">
      <c r="A86" s="51"/>
      <c r="B86" s="50" t="s">
        <v>386</v>
      </c>
      <c r="C86" s="50" t="s">
        <v>258</v>
      </c>
      <c r="D86" s="67" t="s">
        <v>238</v>
      </c>
      <c r="E86" s="137">
        <f>'дод. 3'!F161</f>
        <v>270200</v>
      </c>
      <c r="F86" s="137">
        <f>'дод. 3'!G161</f>
        <v>270200</v>
      </c>
      <c r="G86" s="137">
        <f>'дод. 3'!H161</f>
        <v>0</v>
      </c>
      <c r="H86" s="137">
        <f>'дод. 3'!I161</f>
        <v>0</v>
      </c>
      <c r="I86" s="137">
        <f>'дод. 3'!J161</f>
        <v>0</v>
      </c>
      <c r="J86" s="137">
        <f>'дод. 3'!K161</f>
        <v>154612</v>
      </c>
      <c r="K86" s="137">
        <f>'дод. 3'!L161</f>
        <v>0</v>
      </c>
      <c r="L86" s="137">
        <f>'дод. 3'!M161</f>
        <v>0</v>
      </c>
      <c r="M86" s="137">
        <f>'дод. 3'!N161</f>
        <v>0</v>
      </c>
      <c r="N86" s="137">
        <f>'дод. 3'!O161</f>
        <v>154612</v>
      </c>
      <c r="O86" s="137">
        <f>'дод. 3'!P161</f>
        <v>154612</v>
      </c>
      <c r="P86" s="137">
        <f t="shared" si="12"/>
        <v>424812</v>
      </c>
      <c r="Q86" s="243"/>
      <c r="R86" s="203"/>
      <c r="X86" s="126"/>
      <c r="Y86" s="126"/>
    </row>
    <row r="87" spans="1:25" s="53" customFormat="1" ht="69.75" customHeight="1">
      <c r="A87" s="51"/>
      <c r="B87" s="50" t="s">
        <v>387</v>
      </c>
      <c r="C87" s="50" t="s">
        <v>260</v>
      </c>
      <c r="D87" s="67" t="s">
        <v>239</v>
      </c>
      <c r="E87" s="137">
        <f>'дод. 3'!F162</f>
        <v>74666</v>
      </c>
      <c r="F87" s="137">
        <f>'дод. 3'!G162</f>
        <v>74666</v>
      </c>
      <c r="G87" s="137">
        <f>'дод. 3'!H162</f>
        <v>0</v>
      </c>
      <c r="H87" s="137">
        <f>'дод. 3'!I162</f>
        <v>0</v>
      </c>
      <c r="I87" s="137">
        <f>'дод. 3'!J162</f>
        <v>0</v>
      </c>
      <c r="J87" s="137">
        <f>'дод. 3'!K162</f>
        <v>0</v>
      </c>
      <c r="K87" s="137">
        <f>'дод. 3'!L162</f>
        <v>0</v>
      </c>
      <c r="L87" s="137">
        <f>'дод. 3'!M162</f>
        <v>0</v>
      </c>
      <c r="M87" s="137">
        <f>'дод. 3'!N162</f>
        <v>0</v>
      </c>
      <c r="N87" s="137">
        <f>'дод. 3'!O162</f>
        <v>0</v>
      </c>
      <c r="O87" s="137">
        <f>'дод. 3'!P162</f>
        <v>0</v>
      </c>
      <c r="P87" s="137">
        <f t="shared" si="12"/>
        <v>74666</v>
      </c>
      <c r="Q87" s="243" t="s">
        <v>583</v>
      </c>
      <c r="R87" s="203"/>
      <c r="X87" s="126"/>
      <c r="Y87" s="126"/>
    </row>
    <row r="88" spans="1:25" s="53" customFormat="1" ht="38.25" customHeight="1">
      <c r="A88" s="51"/>
      <c r="B88" s="50" t="s">
        <v>388</v>
      </c>
      <c r="C88" s="50" t="s">
        <v>260</v>
      </c>
      <c r="D88" s="67" t="s">
        <v>231</v>
      </c>
      <c r="E88" s="137">
        <f>'дод. 3'!F163</f>
        <v>1577457</v>
      </c>
      <c r="F88" s="137">
        <f>'дод. 3'!G163</f>
        <v>1577457</v>
      </c>
      <c r="G88" s="137">
        <f>'дод. 3'!H163</f>
        <v>0</v>
      </c>
      <c r="H88" s="137">
        <f>'дод. 3'!I163</f>
        <v>0</v>
      </c>
      <c r="I88" s="137">
        <f>'дод. 3'!J163</f>
        <v>0</v>
      </c>
      <c r="J88" s="137">
        <f>'дод. 3'!K163</f>
        <v>0</v>
      </c>
      <c r="K88" s="137">
        <f>'дод. 3'!L163</f>
        <v>0</v>
      </c>
      <c r="L88" s="137">
        <f>'дод. 3'!M163</f>
        <v>0</v>
      </c>
      <c r="M88" s="137">
        <f>'дод. 3'!N163</f>
        <v>0</v>
      </c>
      <c r="N88" s="137">
        <f>'дод. 3'!O163</f>
        <v>0</v>
      </c>
      <c r="O88" s="137">
        <f>'дод. 3'!P163</f>
        <v>0</v>
      </c>
      <c r="P88" s="137">
        <f t="shared" si="12"/>
        <v>1577457</v>
      </c>
      <c r="Q88" s="243"/>
      <c r="R88" s="203"/>
      <c r="X88" s="126"/>
      <c r="Y88" s="126"/>
    </row>
    <row r="89" spans="1:25" s="53" customFormat="1" ht="39.75" customHeight="1">
      <c r="A89" s="51"/>
      <c r="B89" s="50" t="s">
        <v>335</v>
      </c>
      <c r="C89" s="50" t="s">
        <v>260</v>
      </c>
      <c r="D89" s="61" t="s">
        <v>240</v>
      </c>
      <c r="E89" s="137">
        <f>'дод. 3'!F164</f>
        <v>10065884.2</v>
      </c>
      <c r="F89" s="137">
        <f>'дод. 3'!G164</f>
        <v>10065884.2</v>
      </c>
      <c r="G89" s="137">
        <f>'дод. 3'!H164</f>
        <v>0</v>
      </c>
      <c r="H89" s="137">
        <f>'дод. 3'!I164</f>
        <v>0</v>
      </c>
      <c r="I89" s="137">
        <f>'дод. 3'!J164</f>
        <v>0</v>
      </c>
      <c r="J89" s="137">
        <f>'дод. 3'!K164</f>
        <v>0</v>
      </c>
      <c r="K89" s="137">
        <f>'дод. 3'!L164</f>
        <v>0</v>
      </c>
      <c r="L89" s="137">
        <f>'дод. 3'!M164</f>
        <v>0</v>
      </c>
      <c r="M89" s="137">
        <f>'дод. 3'!N164</f>
        <v>0</v>
      </c>
      <c r="N89" s="137">
        <f>'дод. 3'!O164</f>
        <v>0</v>
      </c>
      <c r="O89" s="137">
        <f>'дод. 3'!P164</f>
        <v>0</v>
      </c>
      <c r="P89" s="137">
        <f t="shared" si="12"/>
        <v>10065884.2</v>
      </c>
      <c r="Q89" s="243"/>
      <c r="R89" s="203"/>
      <c r="X89" s="126"/>
      <c r="Y89" s="126"/>
    </row>
    <row r="90" spans="1:25" s="53" customFormat="1" ht="44.25" customHeight="1">
      <c r="A90" s="51"/>
      <c r="B90" s="50" t="s">
        <v>529</v>
      </c>
      <c r="C90" s="50" t="s">
        <v>260</v>
      </c>
      <c r="D90" s="61" t="s">
        <v>528</v>
      </c>
      <c r="E90" s="137">
        <f>'дод. 3'!F165</f>
        <v>1500000</v>
      </c>
      <c r="F90" s="137">
        <f>'дод. 3'!G165</f>
        <v>1500000</v>
      </c>
      <c r="G90" s="137"/>
      <c r="H90" s="137"/>
      <c r="I90" s="137"/>
      <c r="J90" s="137"/>
      <c r="K90" s="137"/>
      <c r="L90" s="137"/>
      <c r="M90" s="137"/>
      <c r="N90" s="137"/>
      <c r="O90" s="137"/>
      <c r="P90" s="137">
        <f t="shared" si="12"/>
        <v>1500000</v>
      </c>
      <c r="Q90" s="243"/>
      <c r="R90" s="203"/>
      <c r="X90" s="126"/>
      <c r="Y90" s="126"/>
    </row>
    <row r="91" spans="1:25" s="53" customFormat="1" ht="35.25" customHeight="1">
      <c r="A91" s="51"/>
      <c r="B91" s="50" t="s">
        <v>338</v>
      </c>
      <c r="C91" s="50" t="s">
        <v>260</v>
      </c>
      <c r="D91" s="61" t="s">
        <v>27</v>
      </c>
      <c r="E91" s="137">
        <f>'дод. 3'!F166+'дод. 3'!F16</f>
        <v>25232513</v>
      </c>
      <c r="F91" s="137">
        <f>'дод. 3'!G166+'дод. 3'!G16</f>
        <v>25232513</v>
      </c>
      <c r="G91" s="137">
        <f>'дод. 3'!H166+'дод. 3'!H16</f>
        <v>0</v>
      </c>
      <c r="H91" s="137">
        <f>'дод. 3'!I166+'дод. 3'!I16</f>
        <v>0</v>
      </c>
      <c r="I91" s="137">
        <f>'дод. 3'!J166+'дод. 3'!J16</f>
        <v>0</v>
      </c>
      <c r="J91" s="137">
        <f>'дод. 3'!K166+'дод. 3'!K16</f>
        <v>0</v>
      </c>
      <c r="K91" s="137">
        <f>'дод. 3'!L166+'дод. 3'!L16</f>
        <v>0</v>
      </c>
      <c r="L91" s="137">
        <f>'дод. 3'!M166+'дод. 3'!M16</f>
        <v>0</v>
      </c>
      <c r="M91" s="137">
        <f>'дод. 3'!N166+'дод. 3'!N16</f>
        <v>0</v>
      </c>
      <c r="N91" s="137">
        <f>'дод. 3'!O166+'дод. 3'!O16</f>
        <v>0</v>
      </c>
      <c r="O91" s="137">
        <f>'дод. 3'!P166+'дод. 3'!P16</f>
        <v>0</v>
      </c>
      <c r="P91" s="137">
        <f t="shared" si="12"/>
        <v>25232513</v>
      </c>
      <c r="Q91" s="243"/>
      <c r="R91" s="203"/>
      <c r="X91" s="126"/>
      <c r="Y91" s="126"/>
    </row>
    <row r="92" spans="2:25" ht="47.25" customHeight="1">
      <c r="B92" s="124">
        <v>3040</v>
      </c>
      <c r="C92" s="124"/>
      <c r="D92" s="66" t="s">
        <v>472</v>
      </c>
      <c r="E92" s="184">
        <f>'дод. 3'!F167</f>
        <v>307126600</v>
      </c>
      <c r="F92" s="184">
        <f>'дод. 3'!G167</f>
        <v>307126600</v>
      </c>
      <c r="G92" s="184">
        <f>'дод. 3'!H167</f>
        <v>0</v>
      </c>
      <c r="H92" s="184">
        <f>'дод. 3'!I167</f>
        <v>0</v>
      </c>
      <c r="I92" s="184">
        <f>'дод. 3'!J167</f>
        <v>0</v>
      </c>
      <c r="J92" s="184">
        <f>'дод. 3'!K167</f>
        <v>0</v>
      </c>
      <c r="K92" s="184">
        <f>'дод. 3'!L167</f>
        <v>0</v>
      </c>
      <c r="L92" s="184">
        <f>'дод. 3'!M167</f>
        <v>0</v>
      </c>
      <c r="M92" s="184">
        <f>'дод. 3'!N167</f>
        <v>0</v>
      </c>
      <c r="N92" s="184">
        <f>'дод. 3'!O167</f>
        <v>0</v>
      </c>
      <c r="O92" s="184">
        <f>'дод. 3'!P167</f>
        <v>0</v>
      </c>
      <c r="P92" s="184">
        <f>'дод. 3'!Q167</f>
        <v>307126600</v>
      </c>
      <c r="Q92" s="243"/>
      <c r="R92" s="203"/>
      <c r="X92" s="82"/>
      <c r="Y92" s="82"/>
    </row>
    <row r="93" spans="2:25" ht="23.25" customHeight="1">
      <c r="B93" s="124"/>
      <c r="C93" s="124"/>
      <c r="D93" s="60" t="s">
        <v>511</v>
      </c>
      <c r="E93" s="184">
        <f>'дод. 3'!F168</f>
        <v>307126600</v>
      </c>
      <c r="F93" s="184">
        <f>'дод. 3'!G168</f>
        <v>307126600</v>
      </c>
      <c r="G93" s="184">
        <f>'дод. 3'!H168</f>
        <v>0</v>
      </c>
      <c r="H93" s="184">
        <f>'дод. 3'!I168</f>
        <v>0</v>
      </c>
      <c r="I93" s="184">
        <f>'дод. 3'!J168</f>
        <v>0</v>
      </c>
      <c r="J93" s="184">
        <f>'дод. 3'!K168</f>
        <v>0</v>
      </c>
      <c r="K93" s="184">
        <f>'дод. 3'!L168</f>
        <v>0</v>
      </c>
      <c r="L93" s="184">
        <f>'дод. 3'!M168</f>
        <v>0</v>
      </c>
      <c r="M93" s="184">
        <f>'дод. 3'!N168</f>
        <v>0</v>
      </c>
      <c r="N93" s="184">
        <f>'дод. 3'!O168</f>
        <v>0</v>
      </c>
      <c r="O93" s="184">
        <f>'дод. 3'!P168</f>
        <v>0</v>
      </c>
      <c r="P93" s="184">
        <f>'дод. 3'!Q168</f>
        <v>307126600</v>
      </c>
      <c r="Q93" s="243"/>
      <c r="R93" s="203"/>
      <c r="X93" s="82"/>
      <c r="Y93" s="82"/>
    </row>
    <row r="94" spans="1:25" s="53" customFormat="1" ht="20.25" customHeight="1">
      <c r="A94" s="51"/>
      <c r="B94" s="125">
        <v>3041</v>
      </c>
      <c r="C94" s="125">
        <v>1040</v>
      </c>
      <c r="D94" s="67" t="s">
        <v>473</v>
      </c>
      <c r="E94" s="137">
        <f>'дод. 3'!F169</f>
        <v>3435800</v>
      </c>
      <c r="F94" s="137">
        <f>'дод. 3'!G169</f>
        <v>3435800</v>
      </c>
      <c r="G94" s="137">
        <f>'дод. 3'!H169</f>
        <v>0</v>
      </c>
      <c r="H94" s="137">
        <f>'дод. 3'!I169</f>
        <v>0</v>
      </c>
      <c r="I94" s="137">
        <f>'дод. 3'!J169</f>
        <v>0</v>
      </c>
      <c r="J94" s="137">
        <f>'дод. 3'!K169</f>
        <v>0</v>
      </c>
      <c r="K94" s="137">
        <f>'дод. 3'!L169</f>
        <v>0</v>
      </c>
      <c r="L94" s="137">
        <f>'дод. 3'!M169</f>
        <v>0</v>
      </c>
      <c r="M94" s="137">
        <f>'дод. 3'!N169</f>
        <v>0</v>
      </c>
      <c r="N94" s="137">
        <f>'дод. 3'!O169</f>
        <v>0</v>
      </c>
      <c r="O94" s="137">
        <f>'дод. 3'!P169</f>
        <v>0</v>
      </c>
      <c r="P94" s="137">
        <f>'дод. 3'!Q169</f>
        <v>3435800</v>
      </c>
      <c r="Q94" s="243"/>
      <c r="R94" s="203"/>
      <c r="X94" s="126"/>
      <c r="Y94" s="126"/>
    </row>
    <row r="95" spans="1:25" s="53" customFormat="1" ht="20.25" customHeight="1">
      <c r="A95" s="51"/>
      <c r="B95" s="125"/>
      <c r="C95" s="125"/>
      <c r="D95" s="61" t="s">
        <v>511</v>
      </c>
      <c r="E95" s="137">
        <f>'дод. 3'!F170</f>
        <v>3435800</v>
      </c>
      <c r="F95" s="137">
        <f>'дод. 3'!G170</f>
        <v>3435800</v>
      </c>
      <c r="G95" s="137">
        <f>'дод. 3'!H170</f>
        <v>0</v>
      </c>
      <c r="H95" s="137">
        <f>'дод. 3'!I170</f>
        <v>0</v>
      </c>
      <c r="I95" s="137">
        <f>'дод. 3'!J170</f>
        <v>0</v>
      </c>
      <c r="J95" s="137">
        <f>'дод. 3'!K170</f>
        <v>0</v>
      </c>
      <c r="K95" s="137">
        <f>'дод. 3'!L170</f>
        <v>0</v>
      </c>
      <c r="L95" s="137">
        <f>'дод. 3'!M170</f>
        <v>0</v>
      </c>
      <c r="M95" s="137">
        <f>'дод. 3'!N170</f>
        <v>0</v>
      </c>
      <c r="N95" s="137">
        <f>'дод. 3'!O170</f>
        <v>0</v>
      </c>
      <c r="O95" s="137">
        <f>'дод. 3'!P170</f>
        <v>0</v>
      </c>
      <c r="P95" s="137">
        <f>'дод. 3'!Q170</f>
        <v>3435800</v>
      </c>
      <c r="Q95" s="243"/>
      <c r="R95" s="203"/>
      <c r="X95" s="126"/>
      <c r="Y95" s="126"/>
    </row>
    <row r="96" spans="1:25" s="53" customFormat="1" ht="25.5" customHeight="1">
      <c r="A96" s="51"/>
      <c r="B96" s="125">
        <v>3042</v>
      </c>
      <c r="C96" s="125">
        <v>1040</v>
      </c>
      <c r="D96" s="67" t="s">
        <v>521</v>
      </c>
      <c r="E96" s="137">
        <f>'дод. 3'!F171</f>
        <v>468000</v>
      </c>
      <c r="F96" s="137">
        <f>'дод. 3'!G171</f>
        <v>468000</v>
      </c>
      <c r="G96" s="137">
        <f>'дод. 3'!H171</f>
        <v>0</v>
      </c>
      <c r="H96" s="137">
        <f>'дод. 3'!I171</f>
        <v>0</v>
      </c>
      <c r="I96" s="137">
        <f>'дод. 3'!J171</f>
        <v>0</v>
      </c>
      <c r="J96" s="137">
        <f>'дод. 3'!K171</f>
        <v>0</v>
      </c>
      <c r="K96" s="137">
        <f>'дод. 3'!L171</f>
        <v>0</v>
      </c>
      <c r="L96" s="137">
        <f>'дод. 3'!M171</f>
        <v>0</v>
      </c>
      <c r="M96" s="137">
        <f>'дод. 3'!N171</f>
        <v>0</v>
      </c>
      <c r="N96" s="137">
        <f>'дод. 3'!O171</f>
        <v>0</v>
      </c>
      <c r="O96" s="137">
        <f>'дод. 3'!P171</f>
        <v>0</v>
      </c>
      <c r="P96" s="137">
        <f>'дод. 3'!Q171</f>
        <v>468000</v>
      </c>
      <c r="Q96" s="243"/>
      <c r="R96" s="203"/>
      <c r="X96" s="126"/>
      <c r="Y96" s="126"/>
    </row>
    <row r="97" spans="1:25" s="53" customFormat="1" ht="16.5" customHeight="1">
      <c r="A97" s="51"/>
      <c r="B97" s="125"/>
      <c r="C97" s="125"/>
      <c r="D97" s="61" t="s">
        <v>511</v>
      </c>
      <c r="E97" s="137">
        <f>'дод. 3'!F172</f>
        <v>468000</v>
      </c>
      <c r="F97" s="137">
        <f>'дод. 3'!G172</f>
        <v>468000</v>
      </c>
      <c r="G97" s="137">
        <f>'дод. 3'!H172</f>
        <v>0</v>
      </c>
      <c r="H97" s="137">
        <f>'дод. 3'!I172</f>
        <v>0</v>
      </c>
      <c r="I97" s="137">
        <f>'дод. 3'!J172</f>
        <v>0</v>
      </c>
      <c r="J97" s="137">
        <f>'дод. 3'!K172</f>
        <v>0</v>
      </c>
      <c r="K97" s="137">
        <f>'дод. 3'!L172</f>
        <v>0</v>
      </c>
      <c r="L97" s="137">
        <f>'дод. 3'!M172</f>
        <v>0</v>
      </c>
      <c r="M97" s="137">
        <f>'дод. 3'!N172</f>
        <v>0</v>
      </c>
      <c r="N97" s="137">
        <f>'дод. 3'!O172</f>
        <v>0</v>
      </c>
      <c r="O97" s="137">
        <f>'дод. 3'!P172</f>
        <v>0</v>
      </c>
      <c r="P97" s="137">
        <f>'дод. 3'!Q172</f>
        <v>468000</v>
      </c>
      <c r="Q97" s="243"/>
      <c r="R97" s="203"/>
      <c r="X97" s="126"/>
      <c r="Y97" s="126"/>
    </row>
    <row r="98" spans="1:25" s="53" customFormat="1" ht="24" customHeight="1">
      <c r="A98" s="51"/>
      <c r="B98" s="125">
        <v>3043</v>
      </c>
      <c r="C98" s="125">
        <v>1040</v>
      </c>
      <c r="D98" s="67" t="s">
        <v>474</v>
      </c>
      <c r="E98" s="137">
        <f>'дод. 3'!F173</f>
        <v>144214000</v>
      </c>
      <c r="F98" s="137">
        <f>'дод. 3'!G173</f>
        <v>144214000</v>
      </c>
      <c r="G98" s="137">
        <f>'дод. 3'!H173</f>
        <v>0</v>
      </c>
      <c r="H98" s="137">
        <f>'дод. 3'!I173</f>
        <v>0</v>
      </c>
      <c r="I98" s="137">
        <f>'дод. 3'!J173</f>
        <v>0</v>
      </c>
      <c r="J98" s="137">
        <f>'дод. 3'!K173</f>
        <v>0</v>
      </c>
      <c r="K98" s="137">
        <f>'дод. 3'!L173</f>
        <v>0</v>
      </c>
      <c r="L98" s="137">
        <f>'дод. 3'!M173</f>
        <v>0</v>
      </c>
      <c r="M98" s="137">
        <f>'дод. 3'!N173</f>
        <v>0</v>
      </c>
      <c r="N98" s="137">
        <f>'дод. 3'!O173</f>
        <v>0</v>
      </c>
      <c r="O98" s="137">
        <f>'дод. 3'!P173</f>
        <v>0</v>
      </c>
      <c r="P98" s="137">
        <f>'дод. 3'!Q173</f>
        <v>144214000</v>
      </c>
      <c r="Q98" s="243"/>
      <c r="R98" s="203"/>
      <c r="X98" s="126"/>
      <c r="Y98" s="126"/>
    </row>
    <row r="99" spans="1:25" s="53" customFormat="1" ht="18.75" customHeight="1">
      <c r="A99" s="51"/>
      <c r="B99" s="125"/>
      <c r="C99" s="125"/>
      <c r="D99" s="61" t="s">
        <v>511</v>
      </c>
      <c r="E99" s="137">
        <f>'дод. 3'!F174</f>
        <v>144214000</v>
      </c>
      <c r="F99" s="137">
        <f>'дод. 3'!G174</f>
        <v>144214000</v>
      </c>
      <c r="G99" s="137">
        <f>'дод. 3'!H174</f>
        <v>0</v>
      </c>
      <c r="H99" s="137">
        <f>'дод. 3'!I174</f>
        <v>0</v>
      </c>
      <c r="I99" s="137">
        <f>'дод. 3'!J174</f>
        <v>0</v>
      </c>
      <c r="J99" s="137">
        <f>'дод. 3'!K174</f>
        <v>0</v>
      </c>
      <c r="K99" s="137">
        <f>'дод. 3'!L174</f>
        <v>0</v>
      </c>
      <c r="L99" s="137">
        <f>'дод. 3'!M174</f>
        <v>0</v>
      </c>
      <c r="M99" s="137">
        <f>'дод. 3'!N174</f>
        <v>0</v>
      </c>
      <c r="N99" s="137">
        <f>'дод. 3'!O174</f>
        <v>0</v>
      </c>
      <c r="O99" s="137">
        <f>'дод. 3'!P174</f>
        <v>0</v>
      </c>
      <c r="P99" s="137">
        <f>'дод. 3'!Q174</f>
        <v>144214000</v>
      </c>
      <c r="Q99" s="243"/>
      <c r="R99" s="203"/>
      <c r="X99" s="126"/>
      <c r="Y99" s="126"/>
    </row>
    <row r="100" spans="1:25" s="53" customFormat="1" ht="35.25" customHeight="1">
      <c r="A100" s="51"/>
      <c r="B100" s="125">
        <v>3044</v>
      </c>
      <c r="C100" s="125">
        <v>1040</v>
      </c>
      <c r="D100" s="67" t="s">
        <v>475</v>
      </c>
      <c r="E100" s="137">
        <f>'дод. 3'!F175</f>
        <v>9856700</v>
      </c>
      <c r="F100" s="137">
        <f>'дод. 3'!G175</f>
        <v>9856700</v>
      </c>
      <c r="G100" s="137">
        <f>'дод. 3'!H175</f>
        <v>0</v>
      </c>
      <c r="H100" s="137">
        <f>'дод. 3'!I175</f>
        <v>0</v>
      </c>
      <c r="I100" s="137">
        <f>'дод. 3'!J175</f>
        <v>0</v>
      </c>
      <c r="J100" s="137">
        <f>'дод. 3'!K175</f>
        <v>0</v>
      </c>
      <c r="K100" s="137">
        <f>'дод. 3'!L175</f>
        <v>0</v>
      </c>
      <c r="L100" s="137">
        <f>'дод. 3'!M175</f>
        <v>0</v>
      </c>
      <c r="M100" s="137">
        <f>'дод. 3'!N175</f>
        <v>0</v>
      </c>
      <c r="N100" s="137">
        <f>'дод. 3'!O175</f>
        <v>0</v>
      </c>
      <c r="O100" s="137">
        <f>'дод. 3'!P175</f>
        <v>0</v>
      </c>
      <c r="P100" s="137">
        <f>'дод. 3'!Q175</f>
        <v>9856700</v>
      </c>
      <c r="Q100" s="243"/>
      <c r="R100" s="203"/>
      <c r="X100" s="126"/>
      <c r="Y100" s="126"/>
    </row>
    <row r="101" spans="1:25" s="53" customFormat="1" ht="16.5" customHeight="1">
      <c r="A101" s="51"/>
      <c r="B101" s="125"/>
      <c r="C101" s="125"/>
      <c r="D101" s="61" t="s">
        <v>511</v>
      </c>
      <c r="E101" s="137">
        <f>'дод. 3'!F176</f>
        <v>9856700</v>
      </c>
      <c r="F101" s="137">
        <f>'дод. 3'!G176</f>
        <v>9856700</v>
      </c>
      <c r="G101" s="137">
        <f>'дод. 3'!H176</f>
        <v>0</v>
      </c>
      <c r="H101" s="137">
        <f>'дод. 3'!I176</f>
        <v>0</v>
      </c>
      <c r="I101" s="137">
        <f>'дод. 3'!J176</f>
        <v>0</v>
      </c>
      <c r="J101" s="137">
        <f>'дод. 3'!K176</f>
        <v>0</v>
      </c>
      <c r="K101" s="137">
        <f>'дод. 3'!L176</f>
        <v>0</v>
      </c>
      <c r="L101" s="137">
        <f>'дод. 3'!M176</f>
        <v>0</v>
      </c>
      <c r="M101" s="137">
        <f>'дод. 3'!N176</f>
        <v>0</v>
      </c>
      <c r="N101" s="137">
        <f>'дод. 3'!O176</f>
        <v>0</v>
      </c>
      <c r="O101" s="137">
        <f>'дод. 3'!P176</f>
        <v>0</v>
      </c>
      <c r="P101" s="137">
        <f>'дод. 3'!Q176</f>
        <v>9856700</v>
      </c>
      <c r="Q101" s="243"/>
      <c r="R101" s="203"/>
      <c r="X101" s="126"/>
      <c r="Y101" s="126"/>
    </row>
    <row r="102" spans="1:25" s="53" customFormat="1" ht="25.5" customHeight="1">
      <c r="A102" s="51"/>
      <c r="B102" s="125">
        <v>3045</v>
      </c>
      <c r="C102" s="125">
        <v>1040</v>
      </c>
      <c r="D102" s="67" t="s">
        <v>476</v>
      </c>
      <c r="E102" s="137">
        <f>'дод. 3'!F177</f>
        <v>47203000</v>
      </c>
      <c r="F102" s="137">
        <f>'дод. 3'!G177</f>
        <v>47203000</v>
      </c>
      <c r="G102" s="137">
        <f>'дод. 3'!H177</f>
        <v>0</v>
      </c>
      <c r="H102" s="137">
        <f>'дод. 3'!I177</f>
        <v>0</v>
      </c>
      <c r="I102" s="137">
        <f>'дод. 3'!J177</f>
        <v>0</v>
      </c>
      <c r="J102" s="137">
        <f>'дод. 3'!K177</f>
        <v>0</v>
      </c>
      <c r="K102" s="137">
        <f>'дод. 3'!L177</f>
        <v>0</v>
      </c>
      <c r="L102" s="137">
        <f>'дод. 3'!M177</f>
        <v>0</v>
      </c>
      <c r="M102" s="137">
        <f>'дод. 3'!N177</f>
        <v>0</v>
      </c>
      <c r="N102" s="137">
        <f>'дод. 3'!O177</f>
        <v>0</v>
      </c>
      <c r="O102" s="137">
        <f>'дод. 3'!P177</f>
        <v>0</v>
      </c>
      <c r="P102" s="137">
        <f>'дод. 3'!Q177</f>
        <v>47203000</v>
      </c>
      <c r="Q102" s="243"/>
      <c r="R102" s="203"/>
      <c r="X102" s="126"/>
      <c r="Y102" s="126"/>
    </row>
    <row r="103" spans="1:25" s="53" customFormat="1" ht="17.25" customHeight="1">
      <c r="A103" s="51"/>
      <c r="B103" s="125"/>
      <c r="C103" s="125"/>
      <c r="D103" s="61" t="s">
        <v>511</v>
      </c>
      <c r="E103" s="137">
        <f>'дод. 3'!F178</f>
        <v>47203000</v>
      </c>
      <c r="F103" s="137">
        <f>'дод. 3'!G178</f>
        <v>47203000</v>
      </c>
      <c r="G103" s="137">
        <f>'дод. 3'!H178</f>
        <v>0</v>
      </c>
      <c r="H103" s="137">
        <f>'дод. 3'!I178</f>
        <v>0</v>
      </c>
      <c r="I103" s="137">
        <f>'дод. 3'!J178</f>
        <v>0</v>
      </c>
      <c r="J103" s="137">
        <f>'дод. 3'!K178</f>
        <v>0</v>
      </c>
      <c r="K103" s="137">
        <f>'дод. 3'!L178</f>
        <v>0</v>
      </c>
      <c r="L103" s="137">
        <f>'дод. 3'!M178</f>
        <v>0</v>
      </c>
      <c r="M103" s="137">
        <f>'дод. 3'!N178</f>
        <v>0</v>
      </c>
      <c r="N103" s="137">
        <f>'дод. 3'!O178</f>
        <v>0</v>
      </c>
      <c r="O103" s="137">
        <f>'дод. 3'!P178</f>
        <v>0</v>
      </c>
      <c r="P103" s="137">
        <f>'дод. 3'!Q178</f>
        <v>47203000</v>
      </c>
      <c r="Q103" s="243"/>
      <c r="R103" s="203"/>
      <c r="X103" s="126"/>
      <c r="Y103" s="126"/>
    </row>
    <row r="104" spans="1:25" s="53" customFormat="1" ht="25.5" customHeight="1">
      <c r="A104" s="51"/>
      <c r="B104" s="125">
        <v>3046</v>
      </c>
      <c r="C104" s="125">
        <v>1040</v>
      </c>
      <c r="D104" s="67" t="s">
        <v>477</v>
      </c>
      <c r="E104" s="137">
        <f>'дод. 3'!F179</f>
        <v>2590200</v>
      </c>
      <c r="F104" s="137">
        <f>'дод. 3'!G179</f>
        <v>2590200</v>
      </c>
      <c r="G104" s="137">
        <f>'дод. 3'!H179</f>
        <v>0</v>
      </c>
      <c r="H104" s="137">
        <f>'дод. 3'!I179</f>
        <v>0</v>
      </c>
      <c r="I104" s="137">
        <f>'дод. 3'!J179</f>
        <v>0</v>
      </c>
      <c r="J104" s="137">
        <f>'дод. 3'!K179</f>
        <v>0</v>
      </c>
      <c r="K104" s="137">
        <f>'дод. 3'!L179</f>
        <v>0</v>
      </c>
      <c r="L104" s="137">
        <f>'дод. 3'!M179</f>
        <v>0</v>
      </c>
      <c r="M104" s="137">
        <f>'дод. 3'!N179</f>
        <v>0</v>
      </c>
      <c r="N104" s="137">
        <f>'дод. 3'!O179</f>
        <v>0</v>
      </c>
      <c r="O104" s="137">
        <f>'дод. 3'!P179</f>
        <v>0</v>
      </c>
      <c r="P104" s="137">
        <f>'дод. 3'!Q179</f>
        <v>2590200</v>
      </c>
      <c r="Q104" s="243"/>
      <c r="R104" s="203"/>
      <c r="X104" s="126"/>
      <c r="Y104" s="126"/>
    </row>
    <row r="105" spans="1:25" s="53" customFormat="1" ht="13.5" customHeight="1">
      <c r="A105" s="51"/>
      <c r="B105" s="125"/>
      <c r="C105" s="125"/>
      <c r="D105" s="61" t="s">
        <v>511</v>
      </c>
      <c r="E105" s="137">
        <f>'дод. 3'!F180</f>
        <v>2590200</v>
      </c>
      <c r="F105" s="137">
        <f>'дод. 3'!G180</f>
        <v>2590200</v>
      </c>
      <c r="G105" s="137">
        <f>'дод. 3'!H180</f>
        <v>0</v>
      </c>
      <c r="H105" s="137">
        <f>'дод. 3'!I180</f>
        <v>0</v>
      </c>
      <c r="I105" s="137">
        <f>'дод. 3'!J180</f>
        <v>0</v>
      </c>
      <c r="J105" s="137">
        <f>'дод. 3'!K180</f>
        <v>0</v>
      </c>
      <c r="K105" s="137">
        <f>'дод. 3'!L180</f>
        <v>0</v>
      </c>
      <c r="L105" s="137">
        <f>'дод. 3'!M180</f>
        <v>0</v>
      </c>
      <c r="M105" s="137">
        <f>'дод. 3'!N180</f>
        <v>0</v>
      </c>
      <c r="N105" s="137">
        <f>'дод. 3'!O180</f>
        <v>0</v>
      </c>
      <c r="O105" s="137">
        <f>'дод. 3'!P180</f>
        <v>0</v>
      </c>
      <c r="P105" s="137">
        <f>'дод. 3'!Q180</f>
        <v>2590200</v>
      </c>
      <c r="Q105" s="243"/>
      <c r="R105" s="203"/>
      <c r="X105" s="126"/>
      <c r="Y105" s="126"/>
    </row>
    <row r="106" spans="1:25" s="53" customFormat="1" ht="18.75" customHeight="1">
      <c r="A106" s="51"/>
      <c r="B106" s="125">
        <v>3047</v>
      </c>
      <c r="C106" s="125">
        <v>1040</v>
      </c>
      <c r="D106" s="67" t="s">
        <v>478</v>
      </c>
      <c r="E106" s="137">
        <f>'дод. 3'!F181</f>
        <v>354300</v>
      </c>
      <c r="F106" s="137">
        <f>'дод. 3'!G181</f>
        <v>354300</v>
      </c>
      <c r="G106" s="137">
        <f>'дод. 3'!H181</f>
        <v>0</v>
      </c>
      <c r="H106" s="137">
        <f>'дод. 3'!I181</f>
        <v>0</v>
      </c>
      <c r="I106" s="137">
        <f>'дод. 3'!J181</f>
        <v>0</v>
      </c>
      <c r="J106" s="137">
        <f>'дод. 3'!K181</f>
        <v>0</v>
      </c>
      <c r="K106" s="137">
        <f>'дод. 3'!L181</f>
        <v>0</v>
      </c>
      <c r="L106" s="137">
        <f>'дод. 3'!M181</f>
        <v>0</v>
      </c>
      <c r="M106" s="137">
        <f>'дод. 3'!N181</f>
        <v>0</v>
      </c>
      <c r="N106" s="137">
        <f>'дод. 3'!O181</f>
        <v>0</v>
      </c>
      <c r="O106" s="137">
        <f>'дод. 3'!P181</f>
        <v>0</v>
      </c>
      <c r="P106" s="137">
        <f>'дод. 3'!Q181</f>
        <v>354300</v>
      </c>
      <c r="Q106" s="243"/>
      <c r="R106" s="203"/>
      <c r="X106" s="126"/>
      <c r="Y106" s="126"/>
    </row>
    <row r="107" spans="1:25" s="53" customFormat="1" ht="18" customHeight="1">
      <c r="A107" s="51"/>
      <c r="B107" s="125"/>
      <c r="C107" s="125"/>
      <c r="D107" s="61" t="s">
        <v>511</v>
      </c>
      <c r="E107" s="137">
        <f>'дод. 3'!F182</f>
        <v>354300</v>
      </c>
      <c r="F107" s="137">
        <f>'дод. 3'!G182</f>
        <v>354300</v>
      </c>
      <c r="G107" s="137">
        <f>'дод. 3'!H182</f>
        <v>0</v>
      </c>
      <c r="H107" s="137">
        <f>'дод. 3'!I182</f>
        <v>0</v>
      </c>
      <c r="I107" s="137">
        <f>'дод. 3'!J182</f>
        <v>0</v>
      </c>
      <c r="J107" s="137">
        <f>'дод. 3'!K182</f>
        <v>0</v>
      </c>
      <c r="K107" s="137">
        <f>'дод. 3'!L182</f>
        <v>0</v>
      </c>
      <c r="L107" s="137">
        <f>'дод. 3'!M182</f>
        <v>0</v>
      </c>
      <c r="M107" s="137">
        <f>'дод. 3'!N182</f>
        <v>0</v>
      </c>
      <c r="N107" s="137">
        <f>'дод. 3'!O182</f>
        <v>0</v>
      </c>
      <c r="O107" s="137">
        <f>'дод. 3'!P182</f>
        <v>0</v>
      </c>
      <c r="P107" s="137">
        <f>'дод. 3'!Q182</f>
        <v>354300</v>
      </c>
      <c r="Q107" s="243"/>
      <c r="R107" s="203"/>
      <c r="X107" s="126"/>
      <c r="Y107" s="126"/>
    </row>
    <row r="108" spans="1:25" s="53" customFormat="1" ht="36.75" customHeight="1">
      <c r="A108" s="51"/>
      <c r="B108" s="125">
        <v>3048</v>
      </c>
      <c r="C108" s="125">
        <v>1040</v>
      </c>
      <c r="D108" s="67" t="s">
        <v>479</v>
      </c>
      <c r="E108" s="137">
        <f>'дод. 3'!F183</f>
        <v>48309400</v>
      </c>
      <c r="F108" s="137">
        <f>'дод. 3'!G183</f>
        <v>48309400</v>
      </c>
      <c r="G108" s="137">
        <f>'дод. 3'!H183</f>
        <v>0</v>
      </c>
      <c r="H108" s="137">
        <f>'дод. 3'!I183</f>
        <v>0</v>
      </c>
      <c r="I108" s="137">
        <f>'дод. 3'!J183</f>
        <v>0</v>
      </c>
      <c r="J108" s="137">
        <f>'дод. 3'!K183</f>
        <v>0</v>
      </c>
      <c r="K108" s="137">
        <f>'дод. 3'!L183</f>
        <v>0</v>
      </c>
      <c r="L108" s="137">
        <f>'дод. 3'!M183</f>
        <v>0</v>
      </c>
      <c r="M108" s="137">
        <f>'дод. 3'!N183</f>
        <v>0</v>
      </c>
      <c r="N108" s="137">
        <f>'дод. 3'!O183</f>
        <v>0</v>
      </c>
      <c r="O108" s="137">
        <f>'дод. 3'!P183</f>
        <v>0</v>
      </c>
      <c r="P108" s="137">
        <f>'дод. 3'!Q183</f>
        <v>48309400</v>
      </c>
      <c r="Q108" s="243"/>
      <c r="R108" s="203"/>
      <c r="X108" s="126"/>
      <c r="Y108" s="126"/>
    </row>
    <row r="109" spans="1:25" s="53" customFormat="1" ht="18" customHeight="1">
      <c r="A109" s="51"/>
      <c r="B109" s="125"/>
      <c r="C109" s="125"/>
      <c r="D109" s="61" t="s">
        <v>511</v>
      </c>
      <c r="E109" s="137">
        <f>'дод. 3'!F184</f>
        <v>48309400</v>
      </c>
      <c r="F109" s="137">
        <f>'дод. 3'!G184</f>
        <v>48309400</v>
      </c>
      <c r="G109" s="137">
        <f>'дод. 3'!H184</f>
        <v>0</v>
      </c>
      <c r="H109" s="137">
        <f>'дод. 3'!I184</f>
        <v>0</v>
      </c>
      <c r="I109" s="137">
        <f>'дод. 3'!J184</f>
        <v>0</v>
      </c>
      <c r="J109" s="137">
        <f>'дод. 3'!K184</f>
        <v>0</v>
      </c>
      <c r="K109" s="137">
        <f>'дод. 3'!L184</f>
        <v>0</v>
      </c>
      <c r="L109" s="137">
        <f>'дод. 3'!M184</f>
        <v>0</v>
      </c>
      <c r="M109" s="137">
        <f>'дод. 3'!N184</f>
        <v>0</v>
      </c>
      <c r="N109" s="137">
        <f>'дод. 3'!O184</f>
        <v>0</v>
      </c>
      <c r="O109" s="137">
        <f>'дод. 3'!P184</f>
        <v>0</v>
      </c>
      <c r="P109" s="137">
        <f>'дод. 3'!Q184</f>
        <v>48309400</v>
      </c>
      <c r="Q109" s="243"/>
      <c r="R109" s="203"/>
      <c r="X109" s="126"/>
      <c r="Y109" s="126"/>
    </row>
    <row r="110" spans="1:25" s="53" customFormat="1" ht="32.25" customHeight="1">
      <c r="A110" s="51"/>
      <c r="B110" s="125">
        <v>3049</v>
      </c>
      <c r="C110" s="125">
        <v>1010</v>
      </c>
      <c r="D110" s="67" t="s">
        <v>480</v>
      </c>
      <c r="E110" s="137">
        <f>'дод. 3'!F185</f>
        <v>50695200</v>
      </c>
      <c r="F110" s="137">
        <f>'дод. 3'!G185</f>
        <v>50695200</v>
      </c>
      <c r="G110" s="137">
        <f>'дод. 3'!H185</f>
        <v>0</v>
      </c>
      <c r="H110" s="137">
        <f>'дод. 3'!I185</f>
        <v>0</v>
      </c>
      <c r="I110" s="137">
        <f>'дод. 3'!J185</f>
        <v>0</v>
      </c>
      <c r="J110" s="137">
        <f>'дод. 3'!K185</f>
        <v>0</v>
      </c>
      <c r="K110" s="137">
        <f>'дод. 3'!L185</f>
        <v>0</v>
      </c>
      <c r="L110" s="137">
        <f>'дод. 3'!M185</f>
        <v>0</v>
      </c>
      <c r="M110" s="137">
        <f>'дод. 3'!N185</f>
        <v>0</v>
      </c>
      <c r="N110" s="137">
        <f>'дод. 3'!O185</f>
        <v>0</v>
      </c>
      <c r="O110" s="137">
        <f>'дод. 3'!P185</f>
        <v>0</v>
      </c>
      <c r="P110" s="137">
        <f>'дод. 3'!Q185</f>
        <v>50695200</v>
      </c>
      <c r="Q110" s="243"/>
      <c r="R110" s="203"/>
      <c r="X110" s="126"/>
      <c r="Y110" s="126"/>
    </row>
    <row r="111" spans="1:25" s="53" customFormat="1" ht="18.75" customHeight="1">
      <c r="A111" s="51"/>
      <c r="B111" s="125"/>
      <c r="C111" s="125"/>
      <c r="D111" s="61" t="s">
        <v>511</v>
      </c>
      <c r="E111" s="137">
        <f>'дод. 3'!F186</f>
        <v>50695200</v>
      </c>
      <c r="F111" s="137">
        <f>'дод. 3'!G186</f>
        <v>50695200</v>
      </c>
      <c r="G111" s="137">
        <f>'дод. 3'!H186</f>
        <v>0</v>
      </c>
      <c r="H111" s="137">
        <f>'дод. 3'!I186</f>
        <v>0</v>
      </c>
      <c r="I111" s="137">
        <f>'дод. 3'!J186</f>
        <v>0</v>
      </c>
      <c r="J111" s="137">
        <f>'дод. 3'!K186</f>
        <v>0</v>
      </c>
      <c r="K111" s="137">
        <f>'дод. 3'!L186</f>
        <v>0</v>
      </c>
      <c r="L111" s="137">
        <f>'дод. 3'!M186</f>
        <v>0</v>
      </c>
      <c r="M111" s="137">
        <f>'дод. 3'!N186</f>
        <v>0</v>
      </c>
      <c r="N111" s="137">
        <f>'дод. 3'!O186</f>
        <v>0</v>
      </c>
      <c r="O111" s="137">
        <f>'дод. 3'!P186</f>
        <v>0</v>
      </c>
      <c r="P111" s="137">
        <f>'дод. 3'!Q186</f>
        <v>50695200</v>
      </c>
      <c r="Q111" s="243"/>
      <c r="R111" s="203"/>
      <c r="X111" s="126"/>
      <c r="Y111" s="126"/>
    </row>
    <row r="112" spans="2:25" ht="38.25" customHeight="1">
      <c r="B112" s="46" t="s">
        <v>390</v>
      </c>
      <c r="C112" s="46" t="s">
        <v>260</v>
      </c>
      <c r="D112" s="66" t="s">
        <v>113</v>
      </c>
      <c r="E112" s="184">
        <f>'дод. 3'!F187</f>
        <v>930500</v>
      </c>
      <c r="F112" s="184">
        <f>'дод. 3'!G187</f>
        <v>930500</v>
      </c>
      <c r="G112" s="184">
        <f>'дод. 3'!H187</f>
        <v>0</v>
      </c>
      <c r="H112" s="184">
        <f>'дод. 3'!I187</f>
        <v>0</v>
      </c>
      <c r="I112" s="184">
        <f>'дод. 3'!J187</f>
        <v>0</v>
      </c>
      <c r="J112" s="184">
        <f>'дод. 3'!K187</f>
        <v>0</v>
      </c>
      <c r="K112" s="184">
        <f>'дод. 3'!L187</f>
        <v>0</v>
      </c>
      <c r="L112" s="184">
        <f>'дод. 3'!M187</f>
        <v>0</v>
      </c>
      <c r="M112" s="184">
        <f>'дод. 3'!N187</f>
        <v>0</v>
      </c>
      <c r="N112" s="184">
        <f>'дод. 3'!O187</f>
        <v>0</v>
      </c>
      <c r="O112" s="184">
        <f>'дод. 3'!P187</f>
        <v>0</v>
      </c>
      <c r="P112" s="184">
        <f>E112+J112</f>
        <v>930500</v>
      </c>
      <c r="Q112" s="243"/>
      <c r="R112" s="203"/>
      <c r="X112" s="82"/>
      <c r="Y112" s="82"/>
    </row>
    <row r="113" spans="2:25" ht="41.25" customHeight="1">
      <c r="B113" s="124">
        <v>3080</v>
      </c>
      <c r="C113" s="124">
        <v>1010</v>
      </c>
      <c r="D113" s="66" t="s">
        <v>522</v>
      </c>
      <c r="E113" s="184">
        <f>'дод. 3'!F188</f>
        <v>9577500</v>
      </c>
      <c r="F113" s="184">
        <f>'дод. 3'!G188</f>
        <v>9577500</v>
      </c>
      <c r="G113" s="184">
        <f>'дод. 3'!H188</f>
        <v>0</v>
      </c>
      <c r="H113" s="184">
        <f>'дод. 3'!I188</f>
        <v>0</v>
      </c>
      <c r="I113" s="184">
        <f>'дод. 3'!J188</f>
        <v>0</v>
      </c>
      <c r="J113" s="184">
        <f>'дод. 3'!K188</f>
        <v>0</v>
      </c>
      <c r="K113" s="184">
        <f>'дод. 3'!L188</f>
        <v>0</v>
      </c>
      <c r="L113" s="184">
        <f>'дод. 3'!M188</f>
        <v>0</v>
      </c>
      <c r="M113" s="184">
        <f>'дод. 3'!N188</f>
        <v>0</v>
      </c>
      <c r="N113" s="184">
        <f>'дод. 3'!O188</f>
        <v>0</v>
      </c>
      <c r="O113" s="184">
        <f>'дод. 3'!P188</f>
        <v>0</v>
      </c>
      <c r="P113" s="184">
        <f>'дод. 3'!Q188</f>
        <v>9577500</v>
      </c>
      <c r="Q113" s="243"/>
      <c r="R113" s="203"/>
      <c r="X113" s="82"/>
      <c r="Y113" s="82"/>
    </row>
    <row r="114" spans="2:25" ht="23.25" customHeight="1">
      <c r="B114" s="124"/>
      <c r="C114" s="124"/>
      <c r="D114" s="60" t="s">
        <v>511</v>
      </c>
      <c r="E114" s="184">
        <f>'дод. 3'!F189</f>
        <v>9577500</v>
      </c>
      <c r="F114" s="184">
        <f>'дод. 3'!G189</f>
        <v>9577500</v>
      </c>
      <c r="G114" s="184">
        <f>'дод. 3'!H189</f>
        <v>0</v>
      </c>
      <c r="H114" s="184">
        <f>'дод. 3'!I189</f>
        <v>0</v>
      </c>
      <c r="I114" s="184">
        <f>'дод. 3'!J189</f>
        <v>0</v>
      </c>
      <c r="J114" s="184">
        <f>'дод. 3'!K189</f>
        <v>0</v>
      </c>
      <c r="K114" s="184">
        <f>'дод. 3'!L189</f>
        <v>0</v>
      </c>
      <c r="L114" s="184">
        <f>'дод. 3'!M189</f>
        <v>0</v>
      </c>
      <c r="M114" s="184">
        <f>'дод. 3'!N189</f>
        <v>0</v>
      </c>
      <c r="N114" s="184">
        <f>'дод. 3'!O189</f>
        <v>0</v>
      </c>
      <c r="O114" s="184">
        <f>'дод. 3'!P189</f>
        <v>0</v>
      </c>
      <c r="P114" s="184">
        <f>'дод. 3'!Q189</f>
        <v>9577500</v>
      </c>
      <c r="Q114" s="243"/>
      <c r="R114" s="203"/>
      <c r="X114" s="82"/>
      <c r="Y114" s="82"/>
    </row>
    <row r="115" spans="2:25" ht="23.25" customHeight="1">
      <c r="B115" s="124">
        <v>3090</v>
      </c>
      <c r="C115" s="124">
        <v>1030</v>
      </c>
      <c r="D115" s="131" t="s">
        <v>481</v>
      </c>
      <c r="E115" s="184">
        <f>'дод. 3'!F190</f>
        <v>196100</v>
      </c>
      <c r="F115" s="184">
        <f>'дод. 3'!G190</f>
        <v>196100</v>
      </c>
      <c r="G115" s="184">
        <f>'дод. 3'!H190</f>
        <v>0</v>
      </c>
      <c r="H115" s="184">
        <f>'дод. 3'!I190</f>
        <v>0</v>
      </c>
      <c r="I115" s="184">
        <f>'дод. 3'!J190</f>
        <v>0</v>
      </c>
      <c r="J115" s="184">
        <f>'дод. 3'!K190</f>
        <v>0</v>
      </c>
      <c r="K115" s="184">
        <f>'дод. 3'!L190</f>
        <v>0</v>
      </c>
      <c r="L115" s="184">
        <f>'дод. 3'!M190</f>
        <v>0</v>
      </c>
      <c r="M115" s="184">
        <f>'дод. 3'!N190</f>
        <v>0</v>
      </c>
      <c r="N115" s="184">
        <f>'дод. 3'!O190</f>
        <v>0</v>
      </c>
      <c r="O115" s="184">
        <f>'дод. 3'!P190</f>
        <v>0</v>
      </c>
      <c r="P115" s="184">
        <f>'дод. 3'!Q190</f>
        <v>196100</v>
      </c>
      <c r="Q115" s="243"/>
      <c r="R115" s="203"/>
      <c r="X115" s="82"/>
      <c r="Y115" s="82"/>
    </row>
    <row r="116" spans="2:25" ht="51.75" customHeight="1">
      <c r="B116" s="46" t="s">
        <v>391</v>
      </c>
      <c r="C116" s="68"/>
      <c r="D116" s="66" t="s">
        <v>114</v>
      </c>
      <c r="E116" s="184">
        <f>E117</f>
        <v>8372482</v>
      </c>
      <c r="F116" s="184">
        <f aca="true" t="shared" si="13" ref="F116:O116">F117</f>
        <v>8372482</v>
      </c>
      <c r="G116" s="184">
        <f t="shared" si="13"/>
        <v>6253700</v>
      </c>
      <c r="H116" s="184">
        <f t="shared" si="13"/>
        <v>195000</v>
      </c>
      <c r="I116" s="184">
        <f t="shared" si="13"/>
        <v>0</v>
      </c>
      <c r="J116" s="184">
        <f t="shared" si="13"/>
        <v>66803</v>
      </c>
      <c r="K116" s="184">
        <f t="shared" si="13"/>
        <v>48900</v>
      </c>
      <c r="L116" s="184">
        <f t="shared" si="13"/>
        <v>39000</v>
      </c>
      <c r="M116" s="184">
        <f t="shared" si="13"/>
        <v>0</v>
      </c>
      <c r="N116" s="184">
        <f t="shared" si="13"/>
        <v>17903</v>
      </c>
      <c r="O116" s="184">
        <f t="shared" si="13"/>
        <v>17903</v>
      </c>
      <c r="P116" s="184">
        <f aca="true" t="shared" si="14" ref="P116:P125">E116+J116</f>
        <v>8439285</v>
      </c>
      <c r="Q116" s="243"/>
      <c r="R116" s="203"/>
      <c r="X116" s="82"/>
      <c r="Y116" s="82"/>
    </row>
    <row r="117" spans="1:25" s="53" customFormat="1" ht="50.25" customHeight="1">
      <c r="A117" s="51"/>
      <c r="B117" s="50" t="s">
        <v>392</v>
      </c>
      <c r="C117" s="50" t="s">
        <v>256</v>
      </c>
      <c r="D117" s="67" t="s">
        <v>115</v>
      </c>
      <c r="E117" s="137">
        <f>'дод. 3'!F192</f>
        <v>8372482</v>
      </c>
      <c r="F117" s="137">
        <f>'дод. 3'!G192</f>
        <v>8372482</v>
      </c>
      <c r="G117" s="137">
        <f>'дод. 3'!H192</f>
        <v>6253700</v>
      </c>
      <c r="H117" s="137">
        <f>'дод. 3'!I192</f>
        <v>195000</v>
      </c>
      <c r="I117" s="137">
        <f>'дод. 3'!J192</f>
        <v>0</v>
      </c>
      <c r="J117" s="137">
        <f>'дод. 3'!K192</f>
        <v>66803</v>
      </c>
      <c r="K117" s="137">
        <f>'дод. 3'!L192</f>
        <v>48900</v>
      </c>
      <c r="L117" s="137">
        <f>'дод. 3'!M192</f>
        <v>39000</v>
      </c>
      <c r="M117" s="137">
        <f>'дод. 3'!N192</f>
        <v>0</v>
      </c>
      <c r="N117" s="137">
        <f>'дод. 3'!O192</f>
        <v>17903</v>
      </c>
      <c r="O117" s="137">
        <f>'дод. 3'!P192</f>
        <v>17903</v>
      </c>
      <c r="P117" s="137">
        <f t="shared" si="14"/>
        <v>8439285</v>
      </c>
      <c r="Q117" s="243"/>
      <c r="R117" s="203"/>
      <c r="X117" s="126"/>
      <c r="Y117" s="126"/>
    </row>
    <row r="118" spans="2:25" ht="27.75" customHeight="1">
      <c r="B118" s="46" t="s">
        <v>412</v>
      </c>
      <c r="C118" s="46"/>
      <c r="D118" s="66" t="s">
        <v>129</v>
      </c>
      <c r="E118" s="184">
        <f>E119</f>
        <v>70000</v>
      </c>
      <c r="F118" s="184">
        <f aca="true" t="shared" si="15" ref="F118:O118">F119</f>
        <v>70000</v>
      </c>
      <c r="G118" s="184">
        <f t="shared" si="15"/>
        <v>0</v>
      </c>
      <c r="H118" s="184">
        <f t="shared" si="15"/>
        <v>0</v>
      </c>
      <c r="I118" s="184">
        <f t="shared" si="15"/>
        <v>0</v>
      </c>
      <c r="J118" s="184">
        <f t="shared" si="15"/>
        <v>0</v>
      </c>
      <c r="K118" s="184">
        <f t="shared" si="15"/>
        <v>0</v>
      </c>
      <c r="L118" s="184">
        <f t="shared" si="15"/>
        <v>0</v>
      </c>
      <c r="M118" s="184">
        <f t="shared" si="15"/>
        <v>0</v>
      </c>
      <c r="N118" s="184">
        <f t="shared" si="15"/>
        <v>0</v>
      </c>
      <c r="O118" s="184">
        <f t="shared" si="15"/>
        <v>0</v>
      </c>
      <c r="P118" s="184">
        <f t="shared" si="14"/>
        <v>70000</v>
      </c>
      <c r="Q118" s="243"/>
      <c r="X118" s="82"/>
      <c r="Y118" s="82"/>
    </row>
    <row r="119" spans="1:25" s="53" customFormat="1" ht="41.25" customHeight="1">
      <c r="A119" s="51"/>
      <c r="B119" s="50" t="s">
        <v>393</v>
      </c>
      <c r="C119" s="50" t="s">
        <v>389</v>
      </c>
      <c r="D119" s="67" t="s">
        <v>126</v>
      </c>
      <c r="E119" s="137">
        <f>'дод. 3'!F218</f>
        <v>70000</v>
      </c>
      <c r="F119" s="137">
        <f>'дод. 3'!G218</f>
        <v>70000</v>
      </c>
      <c r="G119" s="137">
        <f>'дод. 3'!H218</f>
        <v>0</v>
      </c>
      <c r="H119" s="137">
        <f>'дод. 3'!I218</f>
        <v>0</v>
      </c>
      <c r="I119" s="137">
        <f>'дод. 3'!J218</f>
        <v>0</v>
      </c>
      <c r="J119" s="137">
        <f>'дод. 3'!K218</f>
        <v>0</v>
      </c>
      <c r="K119" s="137">
        <f>'дод. 3'!L218</f>
        <v>0</v>
      </c>
      <c r="L119" s="137">
        <f>'дод. 3'!M218</f>
        <v>0</v>
      </c>
      <c r="M119" s="137">
        <f>'дод. 3'!N218</f>
        <v>0</v>
      </c>
      <c r="N119" s="137">
        <f>'дод. 3'!O218</f>
        <v>0</v>
      </c>
      <c r="O119" s="137">
        <f>'дод. 3'!P218</f>
        <v>0</v>
      </c>
      <c r="P119" s="137">
        <f t="shared" si="14"/>
        <v>70000</v>
      </c>
      <c r="Q119" s="243"/>
      <c r="X119" s="126"/>
      <c r="Y119" s="126"/>
    </row>
    <row r="120" spans="2:25" ht="15">
      <c r="B120" s="46" t="s">
        <v>405</v>
      </c>
      <c r="C120" s="46"/>
      <c r="D120" s="66" t="s">
        <v>36</v>
      </c>
      <c r="E120" s="184">
        <f>E121+E122</f>
        <v>1507800</v>
      </c>
      <c r="F120" s="184">
        <f aca="true" t="shared" si="16" ref="F120:O120">F121+F122</f>
        <v>1507800</v>
      </c>
      <c r="G120" s="184">
        <f t="shared" si="16"/>
        <v>1114600</v>
      </c>
      <c r="H120" s="184">
        <f t="shared" si="16"/>
        <v>62600</v>
      </c>
      <c r="I120" s="184">
        <f t="shared" si="16"/>
        <v>0</v>
      </c>
      <c r="J120" s="184">
        <f t="shared" si="16"/>
        <v>0</v>
      </c>
      <c r="K120" s="184">
        <f t="shared" si="16"/>
        <v>0</v>
      </c>
      <c r="L120" s="184">
        <f t="shared" si="16"/>
        <v>0</v>
      </c>
      <c r="M120" s="184">
        <f t="shared" si="16"/>
        <v>0</v>
      </c>
      <c r="N120" s="184">
        <f t="shared" si="16"/>
        <v>0</v>
      </c>
      <c r="O120" s="184">
        <f t="shared" si="16"/>
        <v>0</v>
      </c>
      <c r="P120" s="184">
        <f t="shared" si="14"/>
        <v>1507800</v>
      </c>
      <c r="Q120" s="243"/>
      <c r="X120" s="82"/>
      <c r="Y120" s="82"/>
    </row>
    <row r="121" spans="1:25" s="53" customFormat="1" ht="27" customHeight="1">
      <c r="A121" s="51"/>
      <c r="B121" s="50" t="s">
        <v>406</v>
      </c>
      <c r="C121" s="50" t="s">
        <v>389</v>
      </c>
      <c r="D121" s="67" t="s">
        <v>40</v>
      </c>
      <c r="E121" s="137">
        <f>'дод. 3'!F18</f>
        <v>1459800</v>
      </c>
      <c r="F121" s="137">
        <f>'дод. 3'!G18</f>
        <v>1459800</v>
      </c>
      <c r="G121" s="137">
        <f>'дод. 3'!H18</f>
        <v>1114600</v>
      </c>
      <c r="H121" s="137">
        <f>'дод. 3'!I18</f>
        <v>62600</v>
      </c>
      <c r="I121" s="137">
        <f>'дод. 3'!J18</f>
        <v>0</v>
      </c>
      <c r="J121" s="137">
        <f>'дод. 3'!K18</f>
        <v>0</v>
      </c>
      <c r="K121" s="137">
        <f>'дод. 3'!L18</f>
        <v>0</v>
      </c>
      <c r="L121" s="137">
        <f>'дод. 3'!M18</f>
        <v>0</v>
      </c>
      <c r="M121" s="137">
        <f>'дод. 3'!N18</f>
        <v>0</v>
      </c>
      <c r="N121" s="137">
        <f>'дод. 3'!O18</f>
        <v>0</v>
      </c>
      <c r="O121" s="137">
        <f>'дод. 3'!P18</f>
        <v>0</v>
      </c>
      <c r="P121" s="137">
        <f t="shared" si="14"/>
        <v>1459800</v>
      </c>
      <c r="Q121" s="243"/>
      <c r="X121" s="126"/>
      <c r="Y121" s="126"/>
    </row>
    <row r="122" spans="1:25" s="53" customFormat="1" ht="35.25" customHeight="1">
      <c r="A122" s="51"/>
      <c r="B122" s="50" t="s">
        <v>407</v>
      </c>
      <c r="C122" s="50" t="s">
        <v>389</v>
      </c>
      <c r="D122" s="67" t="s">
        <v>41</v>
      </c>
      <c r="E122" s="137">
        <f>'дод. 3'!F19</f>
        <v>48000</v>
      </c>
      <c r="F122" s="137">
        <f>'дод. 3'!G19</f>
        <v>48000</v>
      </c>
      <c r="G122" s="137">
        <f>'дод. 3'!H19</f>
        <v>0</v>
      </c>
      <c r="H122" s="137">
        <f>'дод. 3'!I19</f>
        <v>0</v>
      </c>
      <c r="I122" s="137">
        <f>'дод. 3'!J19</f>
        <v>0</v>
      </c>
      <c r="J122" s="137">
        <f>'дод. 3'!K19</f>
        <v>0</v>
      </c>
      <c r="K122" s="137">
        <f>'дод. 3'!L19</f>
        <v>0</v>
      </c>
      <c r="L122" s="137">
        <f>'дод. 3'!M19</f>
        <v>0</v>
      </c>
      <c r="M122" s="137">
        <f>'дод. 3'!N19</f>
        <v>0</v>
      </c>
      <c r="N122" s="137">
        <f>'дод. 3'!O19</f>
        <v>0</v>
      </c>
      <c r="O122" s="137">
        <f>'дод. 3'!P19</f>
        <v>0</v>
      </c>
      <c r="P122" s="137">
        <f t="shared" si="14"/>
        <v>48000</v>
      </c>
      <c r="Q122" s="243"/>
      <c r="X122" s="126"/>
      <c r="Y122" s="126"/>
    </row>
    <row r="123" spans="2:25" ht="25.5" customHeight="1">
      <c r="B123" s="46" t="s">
        <v>408</v>
      </c>
      <c r="C123" s="46" t="s">
        <v>389</v>
      </c>
      <c r="D123" s="66" t="s">
        <v>486</v>
      </c>
      <c r="E123" s="184">
        <f>'дод. 3'!F20</f>
        <v>744135</v>
      </c>
      <c r="F123" s="184">
        <f>'дод. 3'!G20</f>
        <v>744135</v>
      </c>
      <c r="G123" s="184">
        <f>'дод. 3'!H20</f>
        <v>0</v>
      </c>
      <c r="H123" s="184">
        <f>'дод. 3'!I20</f>
        <v>0</v>
      </c>
      <c r="I123" s="184">
        <f>'дод. 3'!J20</f>
        <v>0</v>
      </c>
      <c r="J123" s="184">
        <f>'дод. 3'!K20</f>
        <v>0</v>
      </c>
      <c r="K123" s="184">
        <f>'дод. 3'!L20</f>
        <v>0</v>
      </c>
      <c r="L123" s="184">
        <f>'дод. 3'!M20</f>
        <v>0</v>
      </c>
      <c r="M123" s="184">
        <f>'дод. 3'!N20</f>
        <v>0</v>
      </c>
      <c r="N123" s="184">
        <f>'дод. 3'!O20</f>
        <v>0</v>
      </c>
      <c r="O123" s="184">
        <f>'дод. 3'!P20</f>
        <v>0</v>
      </c>
      <c r="P123" s="184">
        <f t="shared" si="14"/>
        <v>744135</v>
      </c>
      <c r="Q123" s="243"/>
      <c r="X123" s="82"/>
      <c r="Y123" s="82"/>
    </row>
    <row r="124" spans="2:25" ht="49.5" customHeight="1">
      <c r="B124" s="129" t="s">
        <v>513</v>
      </c>
      <c r="C124" s="129" t="s">
        <v>389</v>
      </c>
      <c r="D124" s="67" t="s">
        <v>514</v>
      </c>
      <c r="E124" s="184">
        <f>'дод. 3'!F21</f>
        <v>744135</v>
      </c>
      <c r="F124" s="184">
        <f>'дод. 3'!G21</f>
        <v>744135</v>
      </c>
      <c r="G124" s="184">
        <f>'дод. 3'!H21</f>
        <v>0</v>
      </c>
      <c r="H124" s="184">
        <f>'дод. 3'!I21</f>
        <v>0</v>
      </c>
      <c r="I124" s="184">
        <f>'дод. 3'!J21</f>
        <v>0</v>
      </c>
      <c r="J124" s="184">
        <f>'дод. 3'!K21</f>
        <v>0</v>
      </c>
      <c r="K124" s="184">
        <f>'дод. 3'!L21</f>
        <v>0</v>
      </c>
      <c r="L124" s="184">
        <f>'дод. 3'!M21</f>
        <v>0</v>
      </c>
      <c r="M124" s="184">
        <f>'дод. 3'!N21</f>
        <v>0</v>
      </c>
      <c r="N124" s="184">
        <f>'дод. 3'!O21</f>
        <v>0</v>
      </c>
      <c r="O124" s="184">
        <f>'дод. 3'!P21</f>
        <v>0</v>
      </c>
      <c r="P124" s="107">
        <f t="shared" si="14"/>
        <v>744135</v>
      </c>
      <c r="Q124" s="243"/>
      <c r="X124" s="82"/>
      <c r="Y124" s="82"/>
    </row>
    <row r="125" spans="2:25" ht="66" customHeight="1">
      <c r="B125" s="46" t="s">
        <v>410</v>
      </c>
      <c r="C125" s="46" t="s">
        <v>389</v>
      </c>
      <c r="D125" s="74" t="s">
        <v>43</v>
      </c>
      <c r="E125" s="184">
        <f>'дод. 3'!F22+'дод. 3'!F92</f>
        <v>7438280</v>
      </c>
      <c r="F125" s="184">
        <f>'дод. 3'!G22+'дод. 3'!G92</f>
        <v>7438280</v>
      </c>
      <c r="G125" s="184">
        <f>'дод. 3'!H22+'дод. 3'!H92</f>
        <v>0</v>
      </c>
      <c r="H125" s="184">
        <f>'дод. 3'!I22+'дод. 3'!I92</f>
        <v>0</v>
      </c>
      <c r="I125" s="184">
        <f>'дод. 3'!J22+'дод. 3'!J92</f>
        <v>0</v>
      </c>
      <c r="J125" s="184">
        <f>'дод. 3'!K22+'дод. 3'!K92</f>
        <v>0</v>
      </c>
      <c r="K125" s="184">
        <f>'дод. 3'!L22+'дод. 3'!L92</f>
        <v>0</v>
      </c>
      <c r="L125" s="184">
        <f>'дод. 3'!M22+'дод. 3'!M92</f>
        <v>0</v>
      </c>
      <c r="M125" s="184">
        <f>'дод. 3'!N22+'дод. 3'!N92</f>
        <v>0</v>
      </c>
      <c r="N125" s="184">
        <f>'дод. 3'!O22+'дод. 3'!O92</f>
        <v>0</v>
      </c>
      <c r="O125" s="184">
        <f>'дод. 3'!P22+'дод. 3'!P92</f>
        <v>0</v>
      </c>
      <c r="P125" s="184">
        <f t="shared" si="14"/>
        <v>7438280</v>
      </c>
      <c r="Q125" s="243" t="s">
        <v>584</v>
      </c>
      <c r="X125" s="82"/>
      <c r="Y125" s="82"/>
    </row>
    <row r="126" spans="2:25" ht="62.25" customHeight="1">
      <c r="B126" s="46" t="s">
        <v>394</v>
      </c>
      <c r="C126" s="68"/>
      <c r="D126" s="66" t="s">
        <v>116</v>
      </c>
      <c r="E126" s="184">
        <f>E127+E128+E129</f>
        <v>1715937</v>
      </c>
      <c r="F126" s="184">
        <f aca="true" t="shared" si="17" ref="F126:P126">F127+F128+F129</f>
        <v>1715937</v>
      </c>
      <c r="G126" s="184">
        <f t="shared" si="17"/>
        <v>0</v>
      </c>
      <c r="H126" s="184">
        <f t="shared" si="17"/>
        <v>0</v>
      </c>
      <c r="I126" s="184">
        <f t="shared" si="17"/>
        <v>0</v>
      </c>
      <c r="J126" s="184">
        <f t="shared" si="17"/>
        <v>0</v>
      </c>
      <c r="K126" s="184">
        <f t="shared" si="17"/>
        <v>0</v>
      </c>
      <c r="L126" s="184">
        <f t="shared" si="17"/>
        <v>0</v>
      </c>
      <c r="M126" s="184">
        <f t="shared" si="17"/>
        <v>0</v>
      </c>
      <c r="N126" s="184">
        <f t="shared" si="17"/>
        <v>0</v>
      </c>
      <c r="O126" s="184">
        <f t="shared" si="17"/>
        <v>0</v>
      </c>
      <c r="P126" s="184">
        <f t="shared" si="17"/>
        <v>1715937</v>
      </c>
      <c r="Q126" s="243"/>
      <c r="X126" s="82"/>
      <c r="Y126" s="82"/>
    </row>
    <row r="127" spans="1:25" s="53" customFormat="1" ht="66.75" customHeight="1">
      <c r="A127" s="51"/>
      <c r="B127" s="50" t="s">
        <v>395</v>
      </c>
      <c r="C127" s="50" t="s">
        <v>254</v>
      </c>
      <c r="D127" s="67" t="s">
        <v>117</v>
      </c>
      <c r="E127" s="137">
        <f>'дод. 3'!F194</f>
        <v>1534100</v>
      </c>
      <c r="F127" s="137">
        <f>'дод. 3'!G194</f>
        <v>1534100</v>
      </c>
      <c r="G127" s="137">
        <f>'дод. 3'!H194</f>
        <v>0</v>
      </c>
      <c r="H127" s="137">
        <f>'дод. 3'!I194</f>
        <v>0</v>
      </c>
      <c r="I127" s="137">
        <f>'дод. 3'!J194</f>
        <v>0</v>
      </c>
      <c r="J127" s="137">
        <f>'дод. 3'!K194</f>
        <v>0</v>
      </c>
      <c r="K127" s="137">
        <f>'дод. 3'!L194</f>
        <v>0</v>
      </c>
      <c r="L127" s="137">
        <f>'дод. 3'!M194</f>
        <v>0</v>
      </c>
      <c r="M127" s="137">
        <f>'дод. 3'!N194</f>
        <v>0</v>
      </c>
      <c r="N127" s="137">
        <f>'дод. 3'!O194</f>
        <v>0</v>
      </c>
      <c r="O127" s="137">
        <f>'дод. 3'!P194</f>
        <v>0</v>
      </c>
      <c r="P127" s="137">
        <f>E127+J127</f>
        <v>1534100</v>
      </c>
      <c r="Q127" s="243"/>
      <c r="X127" s="126"/>
      <c r="Y127" s="126"/>
    </row>
    <row r="128" spans="1:25" s="53" customFormat="1" ht="54.75" customHeight="1">
      <c r="A128" s="51"/>
      <c r="B128" s="125">
        <v>3182</v>
      </c>
      <c r="C128" s="125">
        <v>1010</v>
      </c>
      <c r="D128" s="67" t="s">
        <v>482</v>
      </c>
      <c r="E128" s="137">
        <f>'дод. 3'!F195</f>
        <v>176637</v>
      </c>
      <c r="F128" s="137">
        <f>'дод. 3'!G195</f>
        <v>176637</v>
      </c>
      <c r="G128" s="137">
        <f>'дод. 3'!H195</f>
        <v>0</v>
      </c>
      <c r="H128" s="137">
        <f>'дод. 3'!I195</f>
        <v>0</v>
      </c>
      <c r="I128" s="137">
        <f>'дод. 3'!J195</f>
        <v>0</v>
      </c>
      <c r="J128" s="137">
        <f>'дод. 3'!K195</f>
        <v>0</v>
      </c>
      <c r="K128" s="137">
        <f>'дод. 3'!L195</f>
        <v>0</v>
      </c>
      <c r="L128" s="137">
        <f>'дод. 3'!M195</f>
        <v>0</v>
      </c>
      <c r="M128" s="137">
        <f>'дод. 3'!N195</f>
        <v>0</v>
      </c>
      <c r="N128" s="137">
        <f>'дод. 3'!O195</f>
        <v>0</v>
      </c>
      <c r="O128" s="137">
        <f>'дод. 3'!P195</f>
        <v>0</v>
      </c>
      <c r="P128" s="137">
        <f>'дод. 3'!Q195</f>
        <v>176637</v>
      </c>
      <c r="Q128" s="243"/>
      <c r="X128" s="126"/>
      <c r="Y128" s="126"/>
    </row>
    <row r="129" spans="1:25" s="53" customFormat="1" ht="23.25" customHeight="1">
      <c r="A129" s="51"/>
      <c r="B129" s="125">
        <v>3183</v>
      </c>
      <c r="C129" s="125">
        <v>1010</v>
      </c>
      <c r="D129" s="67" t="s">
        <v>483</v>
      </c>
      <c r="E129" s="137">
        <f>'дод. 3'!F196</f>
        <v>5200</v>
      </c>
      <c r="F129" s="137">
        <f>'дод. 3'!G196</f>
        <v>5200</v>
      </c>
      <c r="G129" s="137">
        <f>'дод. 3'!H196</f>
        <v>0</v>
      </c>
      <c r="H129" s="137">
        <f>'дод. 3'!I196</f>
        <v>0</v>
      </c>
      <c r="I129" s="137">
        <f>'дод. 3'!J196</f>
        <v>0</v>
      </c>
      <c r="J129" s="137">
        <f>'дод. 3'!K196</f>
        <v>0</v>
      </c>
      <c r="K129" s="137">
        <f>'дод. 3'!L196</f>
        <v>0</v>
      </c>
      <c r="L129" s="137">
        <f>'дод. 3'!M196</f>
        <v>0</v>
      </c>
      <c r="M129" s="137">
        <f>'дод. 3'!N196</f>
        <v>0</v>
      </c>
      <c r="N129" s="137">
        <f>'дод. 3'!O196</f>
        <v>0</v>
      </c>
      <c r="O129" s="137">
        <f>'дод. 3'!P196</f>
        <v>0</v>
      </c>
      <c r="P129" s="137">
        <f>'дод. 3'!Q196</f>
        <v>5200</v>
      </c>
      <c r="Q129" s="243"/>
      <c r="X129" s="126"/>
      <c r="Y129" s="126"/>
    </row>
    <row r="130" spans="2:25" ht="71.25" customHeight="1">
      <c r="B130" s="46" t="s">
        <v>396</v>
      </c>
      <c r="C130" s="46" t="s">
        <v>259</v>
      </c>
      <c r="D130" s="66" t="s">
        <v>118</v>
      </c>
      <c r="E130" s="184">
        <f>'дод. 3'!F197</f>
        <v>1832454</v>
      </c>
      <c r="F130" s="184">
        <f>'дод. 3'!G197</f>
        <v>1832454</v>
      </c>
      <c r="G130" s="184">
        <f>'дод. 3'!H197</f>
        <v>0</v>
      </c>
      <c r="H130" s="184">
        <f>'дод. 3'!I197</f>
        <v>0</v>
      </c>
      <c r="I130" s="184">
        <f>'дод. 3'!J197</f>
        <v>0</v>
      </c>
      <c r="J130" s="184">
        <f>'дод. 3'!K197</f>
        <v>0</v>
      </c>
      <c r="K130" s="184">
        <f>'дод. 3'!L197</f>
        <v>0</v>
      </c>
      <c r="L130" s="184">
        <f>'дод. 3'!M197</f>
        <v>0</v>
      </c>
      <c r="M130" s="184">
        <f>'дод. 3'!N197</f>
        <v>0</v>
      </c>
      <c r="N130" s="184">
        <f>'дод. 3'!O197</f>
        <v>0</v>
      </c>
      <c r="O130" s="184">
        <f>'дод. 3'!P197</f>
        <v>0</v>
      </c>
      <c r="P130" s="184">
        <f aca="true" t="shared" si="18" ref="P130:P139">E130+J130</f>
        <v>1832454</v>
      </c>
      <c r="Q130" s="243"/>
      <c r="X130" s="82"/>
      <c r="Y130" s="82"/>
    </row>
    <row r="131" spans="2:25" ht="15">
      <c r="B131" s="46" t="s">
        <v>397</v>
      </c>
      <c r="C131" s="68"/>
      <c r="D131" s="66" t="s">
        <v>119</v>
      </c>
      <c r="E131" s="184">
        <f>E132+E133</f>
        <v>2493045</v>
      </c>
      <c r="F131" s="184">
        <f aca="true" t="shared" si="19" ref="F131:O131">F132+F133</f>
        <v>2493045</v>
      </c>
      <c r="G131" s="184">
        <f t="shared" si="19"/>
        <v>0</v>
      </c>
      <c r="H131" s="184">
        <f t="shared" si="19"/>
        <v>0</v>
      </c>
      <c r="I131" s="184">
        <f t="shared" si="19"/>
        <v>0</v>
      </c>
      <c r="J131" s="184">
        <f t="shared" si="19"/>
        <v>0</v>
      </c>
      <c r="K131" s="184">
        <f t="shared" si="19"/>
        <v>0</v>
      </c>
      <c r="L131" s="184">
        <f t="shared" si="19"/>
        <v>0</v>
      </c>
      <c r="M131" s="184">
        <f t="shared" si="19"/>
        <v>0</v>
      </c>
      <c r="N131" s="184">
        <f t="shared" si="19"/>
        <v>0</v>
      </c>
      <c r="O131" s="184">
        <f t="shared" si="19"/>
        <v>0</v>
      </c>
      <c r="P131" s="184">
        <f t="shared" si="18"/>
        <v>2493045</v>
      </c>
      <c r="Q131" s="243"/>
      <c r="X131" s="82"/>
      <c r="Y131" s="82"/>
    </row>
    <row r="132" spans="1:25" s="53" customFormat="1" ht="33.75" customHeight="1">
      <c r="A132" s="51"/>
      <c r="B132" s="50" t="s">
        <v>398</v>
      </c>
      <c r="C132" s="50" t="s">
        <v>258</v>
      </c>
      <c r="D132" s="67" t="s">
        <v>25</v>
      </c>
      <c r="E132" s="137">
        <f>'дод. 3'!F199</f>
        <v>1379035</v>
      </c>
      <c r="F132" s="137">
        <f>'дод. 3'!G199</f>
        <v>1379035</v>
      </c>
      <c r="G132" s="137">
        <f>'дод. 3'!H199</f>
        <v>0</v>
      </c>
      <c r="H132" s="137">
        <f>'дод. 3'!I199</f>
        <v>0</v>
      </c>
      <c r="I132" s="137">
        <f>'дод. 3'!J199</f>
        <v>0</v>
      </c>
      <c r="J132" s="137">
        <f>'дод. 3'!K199</f>
        <v>0</v>
      </c>
      <c r="K132" s="137">
        <f>'дод. 3'!L199</f>
        <v>0</v>
      </c>
      <c r="L132" s="137">
        <f>'дод. 3'!M199</f>
        <v>0</v>
      </c>
      <c r="M132" s="137">
        <f>'дод. 3'!N199</f>
        <v>0</v>
      </c>
      <c r="N132" s="137">
        <f>'дод. 3'!O199</f>
        <v>0</v>
      </c>
      <c r="O132" s="137">
        <f>'дод. 3'!P199</f>
        <v>0</v>
      </c>
      <c r="P132" s="137">
        <f t="shared" si="18"/>
        <v>1379035</v>
      </c>
      <c r="Q132" s="243"/>
      <c r="X132" s="126"/>
      <c r="Y132" s="126"/>
    </row>
    <row r="133" spans="1:25" s="53" customFormat="1" ht="30.75">
      <c r="A133" s="51"/>
      <c r="B133" s="50" t="s">
        <v>399</v>
      </c>
      <c r="C133" s="50" t="s">
        <v>258</v>
      </c>
      <c r="D133" s="67" t="s">
        <v>120</v>
      </c>
      <c r="E133" s="137">
        <f>'дод. 3'!F200</f>
        <v>1114010</v>
      </c>
      <c r="F133" s="137">
        <f>'дод. 3'!G200</f>
        <v>1114010</v>
      </c>
      <c r="G133" s="137">
        <f>'дод. 3'!H200</f>
        <v>0</v>
      </c>
      <c r="H133" s="137">
        <f>'дод. 3'!I200</f>
        <v>0</v>
      </c>
      <c r="I133" s="137">
        <f>'дод. 3'!J200</f>
        <v>0</v>
      </c>
      <c r="J133" s="137">
        <f>'дод. 3'!K200</f>
        <v>0</v>
      </c>
      <c r="K133" s="137">
        <f>'дод. 3'!L200</f>
        <v>0</v>
      </c>
      <c r="L133" s="137">
        <f>'дод. 3'!M200</f>
        <v>0</v>
      </c>
      <c r="M133" s="137">
        <f>'дод. 3'!N200</f>
        <v>0</v>
      </c>
      <c r="N133" s="137">
        <f>'дод. 3'!O200</f>
        <v>0</v>
      </c>
      <c r="O133" s="137">
        <f>'дод. 3'!P200</f>
        <v>0</v>
      </c>
      <c r="P133" s="137">
        <f t="shared" si="18"/>
        <v>1114010</v>
      </c>
      <c r="Q133" s="243"/>
      <c r="X133" s="126"/>
      <c r="Y133" s="126"/>
    </row>
    <row r="134" spans="2:25" ht="30.75">
      <c r="B134" s="46" t="s">
        <v>400</v>
      </c>
      <c r="C134" s="46" t="s">
        <v>262</v>
      </c>
      <c r="D134" s="66" t="s">
        <v>214</v>
      </c>
      <c r="E134" s="184">
        <f>'дод. 3'!F201</f>
        <v>160000</v>
      </c>
      <c r="F134" s="184">
        <f>'дод. 3'!G201</f>
        <v>160000</v>
      </c>
      <c r="G134" s="184">
        <f>'дод. 3'!H201</f>
        <v>0</v>
      </c>
      <c r="H134" s="184">
        <f>'дод. 3'!I201</f>
        <v>0</v>
      </c>
      <c r="I134" s="184">
        <f>'дод. 3'!J201</f>
        <v>0</v>
      </c>
      <c r="J134" s="184">
        <f>'дод. 3'!K201</f>
        <v>0</v>
      </c>
      <c r="K134" s="184">
        <f>'дод. 3'!L201</f>
        <v>0</v>
      </c>
      <c r="L134" s="184">
        <f>'дод. 3'!M201</f>
        <v>0</v>
      </c>
      <c r="M134" s="184">
        <f>'дод. 3'!N201</f>
        <v>0</v>
      </c>
      <c r="N134" s="184">
        <f>'дод. 3'!O201</f>
        <v>0</v>
      </c>
      <c r="O134" s="184">
        <f>'дод. 3'!P201</f>
        <v>0</v>
      </c>
      <c r="P134" s="184">
        <f t="shared" si="18"/>
        <v>160000</v>
      </c>
      <c r="Q134" s="243"/>
      <c r="X134" s="82"/>
      <c r="Y134" s="82"/>
    </row>
    <row r="135" spans="2:25" ht="22.5" customHeight="1">
      <c r="B135" s="46" t="s">
        <v>401</v>
      </c>
      <c r="C135" s="46" t="s">
        <v>402</v>
      </c>
      <c r="D135" s="66" t="s">
        <v>209</v>
      </c>
      <c r="E135" s="184">
        <f>'дод. 3'!F232+'дод. 3'!F202</f>
        <v>950000</v>
      </c>
      <c r="F135" s="184">
        <f>'дод. 3'!G232+'дод. 3'!G202</f>
        <v>950000</v>
      </c>
      <c r="G135" s="184">
        <f>'дод. 3'!H232+'дод. 3'!H202</f>
        <v>327965</v>
      </c>
      <c r="H135" s="184">
        <f>'дод. 3'!I232+'дод. 3'!I202</f>
        <v>0</v>
      </c>
      <c r="I135" s="184">
        <f>'дод. 3'!J232+'дод. 3'!J202</f>
        <v>0</v>
      </c>
      <c r="J135" s="184">
        <f>'дод. 3'!K232+'дод. 3'!K202</f>
        <v>0</v>
      </c>
      <c r="K135" s="184">
        <f>'дод. 3'!L232+'дод. 3'!L202</f>
        <v>0</v>
      </c>
      <c r="L135" s="184">
        <f>'дод. 3'!M232+'дод. 3'!M202</f>
        <v>0</v>
      </c>
      <c r="M135" s="184">
        <f>'дод. 3'!N232+'дод. 3'!N202</f>
        <v>0</v>
      </c>
      <c r="N135" s="184">
        <f>'дод. 3'!O232+'дод. 3'!O202</f>
        <v>0</v>
      </c>
      <c r="O135" s="184">
        <f>'дод. 3'!P232+'дод. 3'!P202</f>
        <v>0</v>
      </c>
      <c r="P135" s="184">
        <f t="shared" si="18"/>
        <v>950000</v>
      </c>
      <c r="Q135" s="243"/>
      <c r="X135" s="82"/>
      <c r="Y135" s="82"/>
    </row>
    <row r="136" spans="2:25" ht="29.25" customHeight="1">
      <c r="B136" s="46" t="s">
        <v>403</v>
      </c>
      <c r="C136" s="46" t="s">
        <v>262</v>
      </c>
      <c r="D136" s="66" t="s">
        <v>26</v>
      </c>
      <c r="E136" s="184">
        <f>E137+E138</f>
        <v>4072100</v>
      </c>
      <c r="F136" s="184">
        <f aca="true" t="shared" si="20" ref="F136:O136">F137+F138</f>
        <v>4072100</v>
      </c>
      <c r="G136" s="184">
        <f t="shared" si="20"/>
        <v>2374100</v>
      </c>
      <c r="H136" s="184">
        <f t="shared" si="20"/>
        <v>760100</v>
      </c>
      <c r="I136" s="184">
        <f t="shared" si="20"/>
        <v>0</v>
      </c>
      <c r="J136" s="184">
        <f t="shared" si="20"/>
        <v>1469500</v>
      </c>
      <c r="K136" s="184">
        <f t="shared" si="20"/>
        <v>0</v>
      </c>
      <c r="L136" s="184">
        <f t="shared" si="20"/>
        <v>0</v>
      </c>
      <c r="M136" s="184">
        <f t="shared" si="20"/>
        <v>0</v>
      </c>
      <c r="N136" s="184">
        <f t="shared" si="20"/>
        <v>1469500</v>
      </c>
      <c r="O136" s="184">
        <f t="shared" si="20"/>
        <v>1469500</v>
      </c>
      <c r="P136" s="184">
        <f t="shared" si="18"/>
        <v>5541600</v>
      </c>
      <c r="Q136" s="243"/>
      <c r="X136" s="82"/>
      <c r="Y136" s="82"/>
    </row>
    <row r="137" spans="1:25" s="53" customFormat="1" ht="33" customHeight="1">
      <c r="A137" s="51"/>
      <c r="B137" s="50" t="s">
        <v>403</v>
      </c>
      <c r="C137" s="50" t="s">
        <v>262</v>
      </c>
      <c r="D137" s="67" t="s">
        <v>215</v>
      </c>
      <c r="E137" s="137">
        <f>'дод. 3'!F205</f>
        <v>1610100</v>
      </c>
      <c r="F137" s="137">
        <f>'дод. 3'!G205</f>
        <v>1610100</v>
      </c>
      <c r="G137" s="137">
        <f>'дод. 3'!H205</f>
        <v>992200</v>
      </c>
      <c r="H137" s="137">
        <f>'дод. 3'!I205</f>
        <v>178100</v>
      </c>
      <c r="I137" s="137">
        <f>'дод. 3'!J205</f>
        <v>0</v>
      </c>
      <c r="J137" s="137">
        <f>'дод. 3'!K205</f>
        <v>251500</v>
      </c>
      <c r="K137" s="137">
        <f>'дод. 3'!L205</f>
        <v>0</v>
      </c>
      <c r="L137" s="137">
        <f>'дод. 3'!M205</f>
        <v>0</v>
      </c>
      <c r="M137" s="137">
        <f>'дод. 3'!N205</f>
        <v>0</v>
      </c>
      <c r="N137" s="137">
        <f>'дод. 3'!O205</f>
        <v>251500</v>
      </c>
      <c r="O137" s="137">
        <f>'дод. 3'!P205</f>
        <v>251500</v>
      </c>
      <c r="P137" s="137">
        <f t="shared" si="18"/>
        <v>1861600</v>
      </c>
      <c r="Q137" s="243"/>
      <c r="X137" s="126"/>
      <c r="Y137" s="126"/>
    </row>
    <row r="138" spans="1:25" s="53" customFormat="1" ht="54.75" customHeight="1">
      <c r="A138" s="51"/>
      <c r="B138" s="50" t="s">
        <v>403</v>
      </c>
      <c r="C138" s="50" t="s">
        <v>262</v>
      </c>
      <c r="D138" s="67" t="s">
        <v>243</v>
      </c>
      <c r="E138" s="137">
        <f>'дод. 3'!F206</f>
        <v>2462000</v>
      </c>
      <c r="F138" s="137">
        <f>'дод. 3'!G206</f>
        <v>2462000</v>
      </c>
      <c r="G138" s="137">
        <f>'дод. 3'!H206</f>
        <v>1381900</v>
      </c>
      <c r="H138" s="137">
        <f>'дод. 3'!I206</f>
        <v>582000</v>
      </c>
      <c r="I138" s="137">
        <f>'дод. 3'!J206</f>
        <v>0</v>
      </c>
      <c r="J138" s="137">
        <f>'дод. 3'!K206</f>
        <v>1218000</v>
      </c>
      <c r="K138" s="137">
        <f>'дод. 3'!L206</f>
        <v>0</v>
      </c>
      <c r="L138" s="137">
        <f>'дод. 3'!M206</f>
        <v>0</v>
      </c>
      <c r="M138" s="137">
        <f>'дод. 3'!N206</f>
        <v>0</v>
      </c>
      <c r="N138" s="137">
        <f>'дод. 3'!O206</f>
        <v>1218000</v>
      </c>
      <c r="O138" s="137">
        <f>'дод. 3'!P206</f>
        <v>1218000</v>
      </c>
      <c r="P138" s="137">
        <f t="shared" si="18"/>
        <v>3680000</v>
      </c>
      <c r="Q138" s="243"/>
      <c r="X138" s="126"/>
      <c r="Y138" s="126"/>
    </row>
    <row r="139" spans="1:25" s="53" customFormat="1" ht="22.5" customHeight="1">
      <c r="A139" s="51"/>
      <c r="B139" s="50"/>
      <c r="C139" s="50"/>
      <c r="D139" s="60" t="s">
        <v>511</v>
      </c>
      <c r="E139" s="137">
        <f>'дод. 3'!F207</f>
        <v>0</v>
      </c>
      <c r="F139" s="137">
        <f>'дод. 3'!G207</f>
        <v>0</v>
      </c>
      <c r="G139" s="137">
        <f>'дод. 3'!H207</f>
        <v>0</v>
      </c>
      <c r="H139" s="137">
        <f>'дод. 3'!I207</f>
        <v>0</v>
      </c>
      <c r="I139" s="137">
        <f>'дод. 3'!J207</f>
        <v>0</v>
      </c>
      <c r="J139" s="137">
        <f>'дод. 3'!K207</f>
        <v>600000</v>
      </c>
      <c r="K139" s="137">
        <f>'дод. 3'!L207</f>
        <v>0</v>
      </c>
      <c r="L139" s="137">
        <f>'дод. 3'!M207</f>
        <v>0</v>
      </c>
      <c r="M139" s="137">
        <f>'дод. 3'!N207</f>
        <v>0</v>
      </c>
      <c r="N139" s="137">
        <f>'дод. 3'!O207</f>
        <v>600000</v>
      </c>
      <c r="O139" s="137">
        <f>'дод. 3'!P207</f>
        <v>600000</v>
      </c>
      <c r="P139" s="137">
        <f t="shared" si="18"/>
        <v>600000</v>
      </c>
      <c r="Q139" s="243"/>
      <c r="X139" s="126"/>
      <c r="Y139" s="126"/>
    </row>
    <row r="140" spans="2:25" ht="21" customHeight="1">
      <c r="B140" s="46" t="s">
        <v>404</v>
      </c>
      <c r="C140" s="46" t="s">
        <v>262</v>
      </c>
      <c r="D140" s="66" t="s">
        <v>15</v>
      </c>
      <c r="E140" s="184">
        <f>E141+E142+E143</f>
        <v>30908084</v>
      </c>
      <c r="F140" s="184">
        <f aca="true" t="shared" si="21" ref="F140:P140">F141+F142+F143</f>
        <v>30908084</v>
      </c>
      <c r="G140" s="184">
        <f t="shared" si="21"/>
        <v>0</v>
      </c>
      <c r="H140" s="184">
        <f t="shared" si="21"/>
        <v>0</v>
      </c>
      <c r="I140" s="184">
        <f t="shared" si="21"/>
        <v>0</v>
      </c>
      <c r="J140" s="184">
        <f t="shared" si="21"/>
        <v>0</v>
      </c>
      <c r="K140" s="184">
        <f t="shared" si="21"/>
        <v>0</v>
      </c>
      <c r="L140" s="184">
        <f t="shared" si="21"/>
        <v>0</v>
      </c>
      <c r="M140" s="184">
        <f t="shared" si="21"/>
        <v>0</v>
      </c>
      <c r="N140" s="184">
        <f t="shared" si="21"/>
        <v>0</v>
      </c>
      <c r="O140" s="184">
        <f t="shared" si="21"/>
        <v>0</v>
      </c>
      <c r="P140" s="184">
        <f t="shared" si="21"/>
        <v>30908084</v>
      </c>
      <c r="Q140" s="243"/>
      <c r="X140" s="82"/>
      <c r="Y140" s="82"/>
    </row>
    <row r="141" spans="1:25" s="53" customFormat="1" ht="36.75" customHeight="1">
      <c r="A141" s="51"/>
      <c r="B141" s="50" t="s">
        <v>404</v>
      </c>
      <c r="C141" s="50" t="s">
        <v>262</v>
      </c>
      <c r="D141" s="67" t="s">
        <v>418</v>
      </c>
      <c r="E141" s="137">
        <f>'дод. 3'!F24+'дод. 3'!F209</f>
        <v>5771380</v>
      </c>
      <c r="F141" s="137">
        <f>'дод. 3'!G24+'дод. 3'!G209</f>
        <v>5771380</v>
      </c>
      <c r="G141" s="137">
        <f>'дод. 3'!H24+'дод. 3'!H209</f>
        <v>0</v>
      </c>
      <c r="H141" s="137">
        <f>'дод. 3'!I24+'дод. 3'!I209</f>
        <v>0</v>
      </c>
      <c r="I141" s="137">
        <f>'дод. 3'!J24+'дод. 3'!J209</f>
        <v>0</v>
      </c>
      <c r="J141" s="137">
        <f>'дод. 3'!K24+'дод. 3'!K209</f>
        <v>0</v>
      </c>
      <c r="K141" s="137">
        <f>'дод. 3'!L24+'дод. 3'!L209</f>
        <v>0</v>
      </c>
      <c r="L141" s="137">
        <f>'дод. 3'!M24+'дод. 3'!M209</f>
        <v>0</v>
      </c>
      <c r="M141" s="137">
        <f>'дод. 3'!N24+'дод. 3'!N209</f>
        <v>0</v>
      </c>
      <c r="N141" s="137">
        <f>'дод. 3'!O24+'дод. 3'!O209</f>
        <v>0</v>
      </c>
      <c r="O141" s="137">
        <f>'дод. 3'!P24+'дод. 3'!P209</f>
        <v>0</v>
      </c>
      <c r="P141" s="137">
        <f>E141+J141</f>
        <v>5771380</v>
      </c>
      <c r="Q141" s="243"/>
      <c r="X141" s="126"/>
      <c r="Y141" s="126"/>
    </row>
    <row r="142" spans="1:25" s="53" customFormat="1" ht="48.75" customHeight="1">
      <c r="A142" s="51"/>
      <c r="B142" s="50" t="s">
        <v>404</v>
      </c>
      <c r="C142" s="50" t="s">
        <v>262</v>
      </c>
      <c r="D142" s="67" t="s">
        <v>547</v>
      </c>
      <c r="E142" s="137">
        <f>'дод. 3'!F25+'дод. 3'!F210</f>
        <v>24798704</v>
      </c>
      <c r="F142" s="137">
        <f>'дод. 3'!G25+'дод. 3'!G210</f>
        <v>24798704</v>
      </c>
      <c r="G142" s="137">
        <f>'дод. 3'!H25+'дод. 3'!H210</f>
        <v>0</v>
      </c>
      <c r="H142" s="137">
        <f>'дод. 3'!I25+'дод. 3'!I210</f>
        <v>0</v>
      </c>
      <c r="I142" s="137">
        <f>'дод. 3'!J25+'дод. 3'!J210</f>
        <v>0</v>
      </c>
      <c r="J142" s="137">
        <f>'дод. 3'!K25+'дод. 3'!K210</f>
        <v>0</v>
      </c>
      <c r="K142" s="137">
        <f>'дод. 3'!L25+'дод. 3'!L210</f>
        <v>0</v>
      </c>
      <c r="L142" s="137">
        <f>'дод. 3'!M25+'дод. 3'!M210</f>
        <v>0</v>
      </c>
      <c r="M142" s="137">
        <f>'дод. 3'!N25+'дод. 3'!N210</f>
        <v>0</v>
      </c>
      <c r="N142" s="137">
        <f>'дод. 3'!O25+'дод. 3'!O210</f>
        <v>0</v>
      </c>
      <c r="O142" s="137">
        <f>'дод. 3'!P25+'дод. 3'!P210</f>
        <v>0</v>
      </c>
      <c r="P142" s="137">
        <f>E142+J142</f>
        <v>24798704</v>
      </c>
      <c r="Q142" s="243"/>
      <c r="X142" s="126"/>
      <c r="Y142" s="126"/>
    </row>
    <row r="143" spans="1:25" s="53" customFormat="1" ht="23.25" customHeight="1">
      <c r="A143" s="51"/>
      <c r="B143" s="50" t="s">
        <v>404</v>
      </c>
      <c r="C143" s="50" t="s">
        <v>262</v>
      </c>
      <c r="D143" s="67" t="s">
        <v>484</v>
      </c>
      <c r="E143" s="137">
        <f>'дод. 3'!F211</f>
        <v>338000</v>
      </c>
      <c r="F143" s="137">
        <f>'дод. 3'!G211</f>
        <v>338000</v>
      </c>
      <c r="G143" s="137">
        <f>'дод. 3'!H211</f>
        <v>0</v>
      </c>
      <c r="H143" s="137">
        <f>'дод. 3'!I211</f>
        <v>0</v>
      </c>
      <c r="I143" s="137">
        <f>'дод. 3'!J211</f>
        <v>0</v>
      </c>
      <c r="J143" s="137">
        <f>'дод. 3'!K211</f>
        <v>0</v>
      </c>
      <c r="K143" s="137">
        <f>'дод. 3'!L211</f>
        <v>0</v>
      </c>
      <c r="L143" s="137">
        <f>'дод. 3'!M211</f>
        <v>0</v>
      </c>
      <c r="M143" s="137">
        <f>'дод. 3'!N211</f>
        <v>0</v>
      </c>
      <c r="N143" s="137">
        <f>'дод. 3'!O211</f>
        <v>0</v>
      </c>
      <c r="O143" s="137">
        <f>'дод. 3'!P211</f>
        <v>0</v>
      </c>
      <c r="P143" s="137">
        <f>'дод. 3'!Q211</f>
        <v>338000</v>
      </c>
      <c r="Q143" s="243"/>
      <c r="X143" s="126"/>
      <c r="Y143" s="126"/>
    </row>
    <row r="144" spans="2:25" ht="20.25" customHeight="1">
      <c r="B144" s="46" t="s">
        <v>409</v>
      </c>
      <c r="C144" s="46" t="s">
        <v>389</v>
      </c>
      <c r="D144" s="66" t="s">
        <v>16</v>
      </c>
      <c r="E144" s="184">
        <f>E145</f>
        <v>728605</v>
      </c>
      <c r="F144" s="184">
        <f aca="true" t="shared" si="22" ref="F144:O144">F145</f>
        <v>728605</v>
      </c>
      <c r="G144" s="184">
        <f t="shared" si="22"/>
        <v>484206</v>
      </c>
      <c r="H144" s="184">
        <f t="shared" si="22"/>
        <v>109900</v>
      </c>
      <c r="I144" s="184">
        <f t="shared" si="22"/>
        <v>0</v>
      </c>
      <c r="J144" s="184">
        <f t="shared" si="22"/>
        <v>10000</v>
      </c>
      <c r="K144" s="184">
        <f t="shared" si="22"/>
        <v>0</v>
      </c>
      <c r="L144" s="184">
        <f t="shared" si="22"/>
        <v>0</v>
      </c>
      <c r="M144" s="184">
        <f t="shared" si="22"/>
        <v>0</v>
      </c>
      <c r="N144" s="184">
        <f t="shared" si="22"/>
        <v>10000</v>
      </c>
      <c r="O144" s="184">
        <f t="shared" si="22"/>
        <v>10000</v>
      </c>
      <c r="P144" s="184">
        <f>E144+J144</f>
        <v>738605</v>
      </c>
      <c r="Q144" s="243"/>
      <c r="X144" s="82"/>
      <c r="Y144" s="82"/>
    </row>
    <row r="145" spans="2:25" ht="35.25" customHeight="1">
      <c r="B145" s="50" t="s">
        <v>409</v>
      </c>
      <c r="C145" s="50" t="s">
        <v>389</v>
      </c>
      <c r="D145" s="67" t="s">
        <v>503</v>
      </c>
      <c r="E145" s="184">
        <f>'дод. 3'!F27</f>
        <v>728605</v>
      </c>
      <c r="F145" s="184">
        <f>'дод. 3'!G27</f>
        <v>728605</v>
      </c>
      <c r="G145" s="184">
        <f>'дод. 3'!H27</f>
        <v>484206</v>
      </c>
      <c r="H145" s="184">
        <f>'дод. 3'!I27</f>
        <v>109900</v>
      </c>
      <c r="I145" s="184">
        <f>'дод. 3'!J27</f>
        <v>0</v>
      </c>
      <c r="J145" s="184">
        <f>'дод. 3'!K27</f>
        <v>10000</v>
      </c>
      <c r="K145" s="184">
        <f>'дод. 3'!L27</f>
        <v>0</v>
      </c>
      <c r="L145" s="184">
        <f>'дод. 3'!M27</f>
        <v>0</v>
      </c>
      <c r="M145" s="184">
        <f>'дод. 3'!N27</f>
        <v>0</v>
      </c>
      <c r="N145" s="184">
        <f>'дод. 3'!O27</f>
        <v>10000</v>
      </c>
      <c r="O145" s="184">
        <f>'дод. 3'!P27</f>
        <v>10000</v>
      </c>
      <c r="P145" s="184">
        <f>E145+J145</f>
        <v>738605</v>
      </c>
      <c r="Q145" s="243"/>
      <c r="X145" s="82"/>
      <c r="Y145" s="82"/>
    </row>
    <row r="146" spans="1:25" s="87" customFormat="1" ht="19.5" customHeight="1">
      <c r="A146" s="86"/>
      <c r="B146" s="88" t="s">
        <v>302</v>
      </c>
      <c r="C146" s="57"/>
      <c r="D146" s="91" t="s">
        <v>303</v>
      </c>
      <c r="E146" s="183">
        <f>E147+E148+E149+E150</f>
        <v>46639323</v>
      </c>
      <c r="F146" s="183">
        <f>F147+F148+F149+F150</f>
        <v>46639323</v>
      </c>
      <c r="G146" s="183">
        <f>G147+G148+G149+G150</f>
        <v>32767100</v>
      </c>
      <c r="H146" s="183">
        <f>H147+H148+H149+H150</f>
        <v>2358530</v>
      </c>
      <c r="I146" s="183">
        <f aca="true" t="shared" si="23" ref="I146:P146">I147+I148+I149+I150</f>
        <v>0</v>
      </c>
      <c r="J146" s="183">
        <f t="shared" si="23"/>
        <v>4787007</v>
      </c>
      <c r="K146" s="183">
        <f t="shared" si="23"/>
        <v>1411980</v>
      </c>
      <c r="L146" s="183">
        <f t="shared" si="23"/>
        <v>1136786</v>
      </c>
      <c r="M146" s="183">
        <f t="shared" si="23"/>
        <v>0</v>
      </c>
      <c r="N146" s="183">
        <f t="shared" si="23"/>
        <v>3375027</v>
      </c>
      <c r="O146" s="183">
        <f t="shared" si="23"/>
        <v>3370427</v>
      </c>
      <c r="P146" s="183">
        <f t="shared" si="23"/>
        <v>51426330</v>
      </c>
      <c r="Q146" s="243"/>
      <c r="X146" s="85"/>
      <c r="Y146" s="85"/>
    </row>
    <row r="147" spans="2:25" ht="30.75">
      <c r="B147" s="46" t="s">
        <v>304</v>
      </c>
      <c r="C147" s="46" t="s">
        <v>305</v>
      </c>
      <c r="D147" s="60" t="s">
        <v>134</v>
      </c>
      <c r="E147" s="184">
        <f>'дод. 3'!F222</f>
        <v>1638500</v>
      </c>
      <c r="F147" s="184">
        <f>'дод. 3'!G222</f>
        <v>1638500</v>
      </c>
      <c r="G147" s="184">
        <f>'дод. 3'!H222</f>
        <v>0</v>
      </c>
      <c r="H147" s="184">
        <f>'дод. 3'!I222</f>
        <v>0</v>
      </c>
      <c r="I147" s="184">
        <f>'дод. 3'!J222</f>
        <v>0</v>
      </c>
      <c r="J147" s="184">
        <f>'дод. 3'!K222</f>
        <v>0</v>
      </c>
      <c r="K147" s="184">
        <f>'дод. 3'!L222</f>
        <v>0</v>
      </c>
      <c r="L147" s="184">
        <f>'дод. 3'!M222</f>
        <v>0</v>
      </c>
      <c r="M147" s="184">
        <f>'дод. 3'!N222</f>
        <v>0</v>
      </c>
      <c r="N147" s="184">
        <f>'дод. 3'!O222</f>
        <v>0</v>
      </c>
      <c r="O147" s="184">
        <f>'дод. 3'!P222</f>
        <v>0</v>
      </c>
      <c r="P147" s="184">
        <f aca="true" t="shared" si="24" ref="P147:P153">E147+J147</f>
        <v>1638500</v>
      </c>
      <c r="Q147" s="243"/>
      <c r="X147" s="82"/>
      <c r="Y147" s="82"/>
    </row>
    <row r="148" spans="2:25" ht="15">
      <c r="B148" s="46" t="s">
        <v>306</v>
      </c>
      <c r="C148" s="46" t="s">
        <v>307</v>
      </c>
      <c r="D148" s="60" t="s">
        <v>136</v>
      </c>
      <c r="E148" s="184">
        <f>'дод. 3'!F223</f>
        <v>14701050</v>
      </c>
      <c r="F148" s="184">
        <f>'дод. 3'!G223</f>
        <v>14701050</v>
      </c>
      <c r="G148" s="184">
        <f>'дод. 3'!H223</f>
        <v>10249200</v>
      </c>
      <c r="H148" s="184">
        <f>'дод. 3'!I223</f>
        <v>1307040</v>
      </c>
      <c r="I148" s="184">
        <f>'дод. 3'!J223</f>
        <v>0</v>
      </c>
      <c r="J148" s="184">
        <f>'дод. 3'!K223</f>
        <v>2556500</v>
      </c>
      <c r="K148" s="184">
        <f>'дод. 3'!L223</f>
        <v>25000</v>
      </c>
      <c r="L148" s="184">
        <f>'дод. 3'!M223</f>
        <v>5000</v>
      </c>
      <c r="M148" s="184">
        <f>'дод. 3'!N223</f>
        <v>0</v>
      </c>
      <c r="N148" s="184">
        <f>'дод. 3'!O223</f>
        <v>2531500</v>
      </c>
      <c r="O148" s="184">
        <f>'дод. 3'!P223</f>
        <v>2531500</v>
      </c>
      <c r="P148" s="184">
        <f t="shared" si="24"/>
        <v>17257550</v>
      </c>
      <c r="Q148" s="243"/>
      <c r="X148" s="82"/>
      <c r="Y148" s="82"/>
    </row>
    <row r="149" spans="2:25" ht="15">
      <c r="B149" s="46" t="s">
        <v>308</v>
      </c>
      <c r="C149" s="46" t="s">
        <v>263</v>
      </c>
      <c r="D149" s="60" t="s">
        <v>138</v>
      </c>
      <c r="E149" s="184">
        <f>'дод. 3'!F224</f>
        <v>26220008</v>
      </c>
      <c r="F149" s="184">
        <f>'дод. 3'!G224</f>
        <v>26220008</v>
      </c>
      <c r="G149" s="184">
        <f>'дод. 3'!H224</f>
        <v>20300700</v>
      </c>
      <c r="H149" s="184">
        <f>'дод. 3'!I224</f>
        <v>891310</v>
      </c>
      <c r="I149" s="184">
        <f>'дод. 3'!J224</f>
        <v>0</v>
      </c>
      <c r="J149" s="184">
        <f>'дод. 3'!K224</f>
        <v>1799007</v>
      </c>
      <c r="K149" s="184">
        <f>'дод. 3'!L224</f>
        <v>1386980</v>
      </c>
      <c r="L149" s="184">
        <f>'дод. 3'!M224</f>
        <v>1131786</v>
      </c>
      <c r="M149" s="184">
        <f>'дод. 3'!N224</f>
        <v>0</v>
      </c>
      <c r="N149" s="184">
        <f>'дод. 3'!O224</f>
        <v>412027</v>
      </c>
      <c r="O149" s="184">
        <f>'дод. 3'!P224</f>
        <v>407427</v>
      </c>
      <c r="P149" s="184">
        <f t="shared" si="24"/>
        <v>28019015</v>
      </c>
      <c r="Q149" s="243"/>
      <c r="X149" s="82"/>
      <c r="Y149" s="82"/>
    </row>
    <row r="150" spans="2:25" ht="15">
      <c r="B150" s="46" t="s">
        <v>309</v>
      </c>
      <c r="C150" s="46" t="s">
        <v>310</v>
      </c>
      <c r="D150" s="60" t="s">
        <v>46</v>
      </c>
      <c r="E150" s="184">
        <f>E151+E152+E153</f>
        <v>4079765</v>
      </c>
      <c r="F150" s="184">
        <f aca="true" t="shared" si="25" ref="F150:O150">F151+F152+F153</f>
        <v>4079765</v>
      </c>
      <c r="G150" s="184">
        <f t="shared" si="25"/>
        <v>2217200</v>
      </c>
      <c r="H150" s="184">
        <f t="shared" si="25"/>
        <v>160180</v>
      </c>
      <c r="I150" s="184">
        <f t="shared" si="25"/>
        <v>0</v>
      </c>
      <c r="J150" s="184">
        <f t="shared" si="25"/>
        <v>431500</v>
      </c>
      <c r="K150" s="184">
        <f t="shared" si="25"/>
        <v>0</v>
      </c>
      <c r="L150" s="184">
        <f t="shared" si="25"/>
        <v>0</v>
      </c>
      <c r="M150" s="184">
        <f t="shared" si="25"/>
        <v>0</v>
      </c>
      <c r="N150" s="184">
        <f t="shared" si="25"/>
        <v>431500</v>
      </c>
      <c r="O150" s="184">
        <f t="shared" si="25"/>
        <v>431500</v>
      </c>
      <c r="P150" s="184">
        <f t="shared" si="24"/>
        <v>4511265</v>
      </c>
      <c r="Q150" s="243"/>
      <c r="X150" s="82"/>
      <c r="Y150" s="82"/>
    </row>
    <row r="151" spans="2:25" ht="41.25" customHeight="1">
      <c r="B151" s="50" t="s">
        <v>309</v>
      </c>
      <c r="C151" s="55" t="s">
        <v>310</v>
      </c>
      <c r="D151" s="61" t="s">
        <v>141</v>
      </c>
      <c r="E151" s="137">
        <f>'дод. 3'!F226</f>
        <v>1031424</v>
      </c>
      <c r="F151" s="137">
        <f>'дод. 3'!G226</f>
        <v>1031424</v>
      </c>
      <c r="G151" s="137">
        <f>'дод. 3'!H226</f>
        <v>760300</v>
      </c>
      <c r="H151" s="137">
        <f>'дод. 3'!I226</f>
        <v>22870</v>
      </c>
      <c r="I151" s="137">
        <f>'дод. 3'!J226</f>
        <v>0</v>
      </c>
      <c r="J151" s="137">
        <f>'дод. 3'!K226</f>
        <v>309500</v>
      </c>
      <c r="K151" s="137">
        <f>'дод. 3'!L226</f>
        <v>0</v>
      </c>
      <c r="L151" s="137">
        <f>'дод. 3'!M226</f>
        <v>0</v>
      </c>
      <c r="M151" s="137">
        <f>'дод. 3'!N226</f>
        <v>0</v>
      </c>
      <c r="N151" s="137">
        <f>'дод. 3'!O226</f>
        <v>309500</v>
      </c>
      <c r="O151" s="137">
        <f>'дод. 3'!P226</f>
        <v>309500</v>
      </c>
      <c r="P151" s="137">
        <f t="shared" si="24"/>
        <v>1340924</v>
      </c>
      <c r="Q151" s="243"/>
      <c r="X151" s="82"/>
      <c r="Y151" s="82"/>
    </row>
    <row r="152" spans="2:25" ht="39" customHeight="1">
      <c r="B152" s="50" t="s">
        <v>309</v>
      </c>
      <c r="C152" s="55" t="s">
        <v>310</v>
      </c>
      <c r="D152" s="195" t="s">
        <v>546</v>
      </c>
      <c r="E152" s="137">
        <f>'дод. 3'!F29</f>
        <v>1420705</v>
      </c>
      <c r="F152" s="137">
        <f>'дод. 3'!G29</f>
        <v>1420705</v>
      </c>
      <c r="G152" s="137">
        <f>'дод. 3'!H29</f>
        <v>580400</v>
      </c>
      <c r="H152" s="137">
        <f>'дод. 3'!I29</f>
        <v>44940</v>
      </c>
      <c r="I152" s="137">
        <f>'дод. 3'!J29</f>
        <v>0</v>
      </c>
      <c r="J152" s="137">
        <f>'дод. 3'!K29</f>
        <v>102000</v>
      </c>
      <c r="K152" s="137">
        <f>'дод. 3'!L29</f>
        <v>0</v>
      </c>
      <c r="L152" s="137">
        <f>'дод. 3'!M29</f>
        <v>0</v>
      </c>
      <c r="M152" s="137">
        <f>'дод. 3'!N29</f>
        <v>0</v>
      </c>
      <c r="N152" s="137">
        <f>'дод. 3'!O29</f>
        <v>102000</v>
      </c>
      <c r="O152" s="137">
        <f>'дод. 3'!P29</f>
        <v>102000</v>
      </c>
      <c r="P152" s="137">
        <f t="shared" si="24"/>
        <v>1522705</v>
      </c>
      <c r="Q152" s="243"/>
      <c r="X152" s="82"/>
      <c r="Y152" s="82"/>
    </row>
    <row r="153" spans="2:25" ht="36" customHeight="1">
      <c r="B153" s="50" t="s">
        <v>309</v>
      </c>
      <c r="C153" s="55" t="s">
        <v>310</v>
      </c>
      <c r="D153" s="195" t="s">
        <v>430</v>
      </c>
      <c r="E153" s="137">
        <f>'дод. 3'!F30</f>
        <v>1627636</v>
      </c>
      <c r="F153" s="137">
        <f>'дод. 3'!G30</f>
        <v>1627636</v>
      </c>
      <c r="G153" s="137">
        <f>'дод. 3'!H30</f>
        <v>876500</v>
      </c>
      <c r="H153" s="137">
        <f>'дод. 3'!I30</f>
        <v>92370</v>
      </c>
      <c r="I153" s="137">
        <f>'дод. 3'!J30</f>
        <v>0</v>
      </c>
      <c r="J153" s="137">
        <f>'дод. 3'!K30</f>
        <v>20000</v>
      </c>
      <c r="K153" s="137">
        <f>'дод. 3'!L30</f>
        <v>0</v>
      </c>
      <c r="L153" s="137">
        <f>'дод. 3'!M30</f>
        <v>0</v>
      </c>
      <c r="M153" s="137">
        <f>'дод. 3'!N30</f>
        <v>0</v>
      </c>
      <c r="N153" s="137">
        <f>'дод. 3'!O30</f>
        <v>20000</v>
      </c>
      <c r="O153" s="137">
        <f>'дод. 3'!P30</f>
        <v>20000</v>
      </c>
      <c r="P153" s="137">
        <f t="shared" si="24"/>
        <v>1647636</v>
      </c>
      <c r="Q153" s="243"/>
      <c r="X153" s="82"/>
      <c r="Y153" s="82"/>
    </row>
    <row r="154" spans="1:25" s="87" customFormat="1" ht="21.75" customHeight="1">
      <c r="A154" s="86"/>
      <c r="B154" s="88" t="s">
        <v>316</v>
      </c>
      <c r="C154" s="57"/>
      <c r="D154" s="91" t="s">
        <v>317</v>
      </c>
      <c r="E154" s="183">
        <f>E155+E158+E161</f>
        <v>25636635</v>
      </c>
      <c r="F154" s="183">
        <f aca="true" t="shared" si="26" ref="F154:P154">F155+F158+F161</f>
        <v>25636635</v>
      </c>
      <c r="G154" s="183">
        <f t="shared" si="26"/>
        <v>9391150</v>
      </c>
      <c r="H154" s="183">
        <f t="shared" si="26"/>
        <v>1372150</v>
      </c>
      <c r="I154" s="183">
        <f t="shared" si="26"/>
        <v>0</v>
      </c>
      <c r="J154" s="183">
        <f t="shared" si="26"/>
        <v>703700</v>
      </c>
      <c r="K154" s="183">
        <f t="shared" si="26"/>
        <v>415700</v>
      </c>
      <c r="L154" s="183">
        <f t="shared" si="26"/>
        <v>242690</v>
      </c>
      <c r="M154" s="183">
        <f t="shared" si="26"/>
        <v>99128</v>
      </c>
      <c r="N154" s="183">
        <f t="shared" si="26"/>
        <v>288000</v>
      </c>
      <c r="O154" s="183">
        <f t="shared" si="26"/>
        <v>288000</v>
      </c>
      <c r="P154" s="183">
        <f t="shared" si="26"/>
        <v>26340335</v>
      </c>
      <c r="Q154" s="243"/>
      <c r="X154" s="85"/>
      <c r="Y154" s="85"/>
    </row>
    <row r="155" spans="2:25" ht="24" customHeight="1">
      <c r="B155" s="46" t="s">
        <v>318</v>
      </c>
      <c r="C155" s="58"/>
      <c r="D155" s="62" t="s">
        <v>49</v>
      </c>
      <c r="E155" s="184">
        <f>E156+E157</f>
        <v>2041600</v>
      </c>
      <c r="F155" s="184">
        <f aca="true" t="shared" si="27" ref="F155:O155">F156+F157</f>
        <v>2041600</v>
      </c>
      <c r="G155" s="184">
        <f t="shared" si="27"/>
        <v>0</v>
      </c>
      <c r="H155" s="184">
        <f t="shared" si="27"/>
        <v>0</v>
      </c>
      <c r="I155" s="184">
        <f t="shared" si="27"/>
        <v>0</v>
      </c>
      <c r="J155" s="184">
        <f t="shared" si="27"/>
        <v>0</v>
      </c>
      <c r="K155" s="184">
        <f t="shared" si="27"/>
        <v>0</v>
      </c>
      <c r="L155" s="184">
        <f t="shared" si="27"/>
        <v>0</v>
      </c>
      <c r="M155" s="184">
        <f t="shared" si="27"/>
        <v>0</v>
      </c>
      <c r="N155" s="184">
        <f t="shared" si="27"/>
        <v>0</v>
      </c>
      <c r="O155" s="184">
        <f t="shared" si="27"/>
        <v>0</v>
      </c>
      <c r="P155" s="184">
        <f aca="true" t="shared" si="28" ref="P155:P160">E155+J155</f>
        <v>2041600</v>
      </c>
      <c r="Q155" s="243"/>
      <c r="X155" s="82"/>
      <c r="Y155" s="82"/>
    </row>
    <row r="156" spans="1:25" s="53" customFormat="1" ht="30.75">
      <c r="A156" s="51"/>
      <c r="B156" s="50" t="s">
        <v>319</v>
      </c>
      <c r="C156" s="50" t="s">
        <v>320</v>
      </c>
      <c r="D156" s="52" t="s">
        <v>52</v>
      </c>
      <c r="E156" s="137">
        <f>'дод. 3'!F32</f>
        <v>1133600</v>
      </c>
      <c r="F156" s="137">
        <f>'дод. 3'!G32</f>
        <v>1133600</v>
      </c>
      <c r="G156" s="137">
        <f>'дод. 3'!H32</f>
        <v>0</v>
      </c>
      <c r="H156" s="137">
        <f>'дод. 3'!I32</f>
        <v>0</v>
      </c>
      <c r="I156" s="137">
        <f>'дод. 3'!J32</f>
        <v>0</v>
      </c>
      <c r="J156" s="137">
        <f>'дод. 3'!K32</f>
        <v>0</v>
      </c>
      <c r="K156" s="137">
        <f>'дод. 3'!L32</f>
        <v>0</v>
      </c>
      <c r="L156" s="137">
        <f>'дод. 3'!M32</f>
        <v>0</v>
      </c>
      <c r="M156" s="137">
        <f>'дод. 3'!N32</f>
        <v>0</v>
      </c>
      <c r="N156" s="137">
        <f>'дод. 3'!O32</f>
        <v>0</v>
      </c>
      <c r="O156" s="137">
        <f>'дод. 3'!P32</f>
        <v>0</v>
      </c>
      <c r="P156" s="137">
        <f t="shared" si="28"/>
        <v>1133600</v>
      </c>
      <c r="Q156" s="243"/>
      <c r="X156" s="126"/>
      <c r="Y156" s="126"/>
    </row>
    <row r="157" spans="1:25" s="53" customFormat="1" ht="30.75" customHeight="1">
      <c r="A157" s="51"/>
      <c r="B157" s="50" t="s">
        <v>321</v>
      </c>
      <c r="C157" s="50" t="s">
        <v>320</v>
      </c>
      <c r="D157" s="61" t="s">
        <v>18</v>
      </c>
      <c r="E157" s="137">
        <f>'дод. 3'!F33</f>
        <v>908000</v>
      </c>
      <c r="F157" s="137">
        <f>'дод. 3'!G33</f>
        <v>908000</v>
      </c>
      <c r="G157" s="137">
        <f>'дод. 3'!H33</f>
        <v>0</v>
      </c>
      <c r="H157" s="137">
        <f>'дод. 3'!I33</f>
        <v>0</v>
      </c>
      <c r="I157" s="137">
        <f>'дод. 3'!J33</f>
        <v>0</v>
      </c>
      <c r="J157" s="137">
        <f>'дод. 3'!K33</f>
        <v>0</v>
      </c>
      <c r="K157" s="137">
        <f>'дод. 3'!L33</f>
        <v>0</v>
      </c>
      <c r="L157" s="137">
        <f>'дод. 3'!M33</f>
        <v>0</v>
      </c>
      <c r="M157" s="137">
        <f>'дод. 3'!N33</f>
        <v>0</v>
      </c>
      <c r="N157" s="137">
        <f>'дод. 3'!O33</f>
        <v>0</v>
      </c>
      <c r="O157" s="137">
        <f>'дод. 3'!P33</f>
        <v>0</v>
      </c>
      <c r="P157" s="137">
        <f t="shared" si="28"/>
        <v>908000</v>
      </c>
      <c r="Q157" s="243"/>
      <c r="X157" s="126"/>
      <c r="Y157" s="126"/>
    </row>
    <row r="158" spans="2:25" ht="18.75" customHeight="1">
      <c r="B158" s="46" t="s">
        <v>493</v>
      </c>
      <c r="C158" s="46"/>
      <c r="D158" s="62" t="s">
        <v>500</v>
      </c>
      <c r="E158" s="184">
        <f>E159+E160</f>
        <v>17720598</v>
      </c>
      <c r="F158" s="184">
        <f aca="true" t="shared" si="29" ref="F158:O158">F159+F160</f>
        <v>17720598</v>
      </c>
      <c r="G158" s="184">
        <f t="shared" si="29"/>
        <v>8014191</v>
      </c>
      <c r="H158" s="184">
        <f t="shared" si="29"/>
        <v>859660</v>
      </c>
      <c r="I158" s="184">
        <f t="shared" si="29"/>
        <v>0</v>
      </c>
      <c r="J158" s="184">
        <f t="shared" si="29"/>
        <v>249000</v>
      </c>
      <c r="K158" s="184">
        <f t="shared" si="29"/>
        <v>0</v>
      </c>
      <c r="L158" s="184">
        <f t="shared" si="29"/>
        <v>0</v>
      </c>
      <c r="M158" s="184">
        <f t="shared" si="29"/>
        <v>0</v>
      </c>
      <c r="N158" s="184">
        <f t="shared" si="29"/>
        <v>249000</v>
      </c>
      <c r="O158" s="184">
        <f t="shared" si="29"/>
        <v>249000</v>
      </c>
      <c r="P158" s="184">
        <f t="shared" si="28"/>
        <v>17969598</v>
      </c>
      <c r="Q158" s="243"/>
      <c r="X158" s="82"/>
      <c r="Y158" s="82"/>
    </row>
    <row r="159" spans="1:25" s="53" customFormat="1" ht="38.25" customHeight="1">
      <c r="A159" s="51"/>
      <c r="B159" s="50" t="s">
        <v>495</v>
      </c>
      <c r="C159" s="50" t="s">
        <v>320</v>
      </c>
      <c r="D159" s="52" t="s">
        <v>53</v>
      </c>
      <c r="E159" s="137">
        <f>'дод. 3'!F35+'дод. 3'!F94</f>
        <v>11523075</v>
      </c>
      <c r="F159" s="137">
        <f>'дод. 3'!G35+'дод. 3'!G94</f>
        <v>11523075</v>
      </c>
      <c r="G159" s="137">
        <f>'дод. 3'!H35+'дод. 3'!H94</f>
        <v>8014191</v>
      </c>
      <c r="H159" s="137">
        <f>'дод. 3'!I35+'дод. 3'!I94</f>
        <v>859660</v>
      </c>
      <c r="I159" s="137">
        <f>'дод. 3'!J35+'дод. 3'!J94</f>
        <v>0</v>
      </c>
      <c r="J159" s="137">
        <f>'дод. 3'!K35+'дод. 3'!K94</f>
        <v>249000</v>
      </c>
      <c r="K159" s="137">
        <f>'дод. 3'!L35+'дод. 3'!L94</f>
        <v>0</v>
      </c>
      <c r="L159" s="137">
        <f>'дод. 3'!M35+'дод. 3'!M94</f>
        <v>0</v>
      </c>
      <c r="M159" s="137">
        <f>'дод. 3'!N35+'дод. 3'!N94</f>
        <v>0</v>
      </c>
      <c r="N159" s="137">
        <f>'дод. 3'!O35+'дод. 3'!O94</f>
        <v>249000</v>
      </c>
      <c r="O159" s="137">
        <f>'дод. 3'!P35+'дод. 3'!P94</f>
        <v>249000</v>
      </c>
      <c r="P159" s="137">
        <f t="shared" si="28"/>
        <v>11772075</v>
      </c>
      <c r="Q159" s="243" t="s">
        <v>585</v>
      </c>
      <c r="X159" s="126"/>
      <c r="Y159" s="126"/>
    </row>
    <row r="160" spans="1:25" s="53" customFormat="1" ht="39.75" customHeight="1">
      <c r="A160" s="51"/>
      <c r="B160" s="50" t="s">
        <v>496</v>
      </c>
      <c r="C160" s="50" t="s">
        <v>320</v>
      </c>
      <c r="D160" s="61" t="s">
        <v>54</v>
      </c>
      <c r="E160" s="137">
        <f>'дод. 3'!F36</f>
        <v>6197523</v>
      </c>
      <c r="F160" s="137">
        <f>'дод. 3'!G36</f>
        <v>6197523</v>
      </c>
      <c r="G160" s="137">
        <f>'дод. 3'!H36</f>
        <v>0</v>
      </c>
      <c r="H160" s="137">
        <f>'дод. 3'!I36</f>
        <v>0</v>
      </c>
      <c r="I160" s="137">
        <f>'дод. 3'!J36</f>
        <v>0</v>
      </c>
      <c r="J160" s="137">
        <f>'дод. 3'!K36</f>
        <v>0</v>
      </c>
      <c r="K160" s="137">
        <f>'дод. 3'!L36</f>
        <v>0</v>
      </c>
      <c r="L160" s="137">
        <f>'дод. 3'!M36</f>
        <v>0</v>
      </c>
      <c r="M160" s="137">
        <f>'дод. 3'!N36</f>
        <v>0</v>
      </c>
      <c r="N160" s="137">
        <f>'дод. 3'!O36</f>
        <v>0</v>
      </c>
      <c r="O160" s="137">
        <f>'дод. 3'!P36</f>
        <v>0</v>
      </c>
      <c r="P160" s="137">
        <f t="shared" si="28"/>
        <v>6197523</v>
      </c>
      <c r="Q160" s="243"/>
      <c r="X160" s="126"/>
      <c r="Y160" s="126"/>
    </row>
    <row r="161" spans="2:25" ht="31.5" customHeight="1">
      <c r="B161" s="135" t="s">
        <v>322</v>
      </c>
      <c r="C161" s="135" t="s">
        <v>320</v>
      </c>
      <c r="D161" s="62" t="s">
        <v>487</v>
      </c>
      <c r="E161" s="184">
        <f>E162+E163</f>
        <v>5874437</v>
      </c>
      <c r="F161" s="184">
        <f aca="true" t="shared" si="30" ref="F161:P161">F162+F163</f>
        <v>5874437</v>
      </c>
      <c r="G161" s="184">
        <f t="shared" si="30"/>
        <v>1376959</v>
      </c>
      <c r="H161" s="184">
        <f t="shared" si="30"/>
        <v>512490</v>
      </c>
      <c r="I161" s="184">
        <f t="shared" si="30"/>
        <v>0</v>
      </c>
      <c r="J161" s="184">
        <f t="shared" si="30"/>
        <v>454700</v>
      </c>
      <c r="K161" s="184">
        <f t="shared" si="30"/>
        <v>415700</v>
      </c>
      <c r="L161" s="184">
        <f t="shared" si="30"/>
        <v>242690</v>
      </c>
      <c r="M161" s="184">
        <f t="shared" si="30"/>
        <v>99128</v>
      </c>
      <c r="N161" s="184">
        <f t="shared" si="30"/>
        <v>39000</v>
      </c>
      <c r="O161" s="184">
        <f t="shared" si="30"/>
        <v>39000</v>
      </c>
      <c r="P161" s="184">
        <f t="shared" si="30"/>
        <v>6329137</v>
      </c>
      <c r="Q161" s="243"/>
      <c r="X161" s="82"/>
      <c r="Y161" s="82"/>
    </row>
    <row r="162" spans="1:25" s="53" customFormat="1" ht="48.75" customHeight="1">
      <c r="A162" s="51"/>
      <c r="B162" s="142" t="s">
        <v>489</v>
      </c>
      <c r="C162" s="142" t="s">
        <v>320</v>
      </c>
      <c r="D162" s="52" t="s">
        <v>490</v>
      </c>
      <c r="E162" s="137">
        <f>'дод. 3'!F38</f>
        <v>2724290</v>
      </c>
      <c r="F162" s="137">
        <f>'дод. 3'!G38</f>
        <v>2724290</v>
      </c>
      <c r="G162" s="137">
        <f>'дод. 3'!H38</f>
        <v>1376959</v>
      </c>
      <c r="H162" s="137">
        <f>'дод. 3'!I38</f>
        <v>512490</v>
      </c>
      <c r="I162" s="137">
        <f>'дод. 3'!J38</f>
        <v>0</v>
      </c>
      <c r="J162" s="137">
        <f>'дод. 3'!K38</f>
        <v>454700</v>
      </c>
      <c r="K162" s="137">
        <f>'дод. 3'!L38</f>
        <v>415700</v>
      </c>
      <c r="L162" s="137">
        <f>'дод. 3'!M38</f>
        <v>242690</v>
      </c>
      <c r="M162" s="137">
        <f>'дод. 3'!N38</f>
        <v>99128</v>
      </c>
      <c r="N162" s="137">
        <f>'дод. 3'!O38</f>
        <v>39000</v>
      </c>
      <c r="O162" s="137">
        <f>'дод. 3'!P38</f>
        <v>39000</v>
      </c>
      <c r="P162" s="137">
        <f>'дод. 3'!Q38</f>
        <v>3178990</v>
      </c>
      <c r="Q162" s="243"/>
      <c r="X162" s="126"/>
      <c r="Y162" s="126"/>
    </row>
    <row r="163" spans="1:25" s="53" customFormat="1" ht="52.5" customHeight="1">
      <c r="A163" s="51"/>
      <c r="B163" s="50" t="s">
        <v>492</v>
      </c>
      <c r="C163" s="50" t="s">
        <v>320</v>
      </c>
      <c r="D163" s="61" t="s">
        <v>491</v>
      </c>
      <c r="E163" s="137">
        <f>'дод. 3'!F39</f>
        <v>3150147</v>
      </c>
      <c r="F163" s="137">
        <f>'дод. 3'!G39</f>
        <v>3150147</v>
      </c>
      <c r="G163" s="137">
        <f>'дод. 3'!H39</f>
        <v>0</v>
      </c>
      <c r="H163" s="137">
        <f>'дод. 3'!I39</f>
        <v>0</v>
      </c>
      <c r="I163" s="137">
        <f>'дод. 3'!J39</f>
        <v>0</v>
      </c>
      <c r="J163" s="137">
        <f>'дод. 3'!K39</f>
        <v>0</v>
      </c>
      <c r="K163" s="137">
        <f>'дод. 3'!L39</f>
        <v>0</v>
      </c>
      <c r="L163" s="137">
        <f>'дод. 3'!M39</f>
        <v>0</v>
      </c>
      <c r="M163" s="137">
        <f>'дод. 3'!N39</f>
        <v>0</v>
      </c>
      <c r="N163" s="137">
        <f>'дод. 3'!O39</f>
        <v>0</v>
      </c>
      <c r="O163" s="137">
        <f>'дод. 3'!P39</f>
        <v>0</v>
      </c>
      <c r="P163" s="137">
        <f>E163+J163</f>
        <v>3150147</v>
      </c>
      <c r="Q163" s="243"/>
      <c r="X163" s="126"/>
      <c r="Y163" s="126"/>
    </row>
    <row r="164" spans="1:25" s="87" customFormat="1" ht="20.25" customHeight="1">
      <c r="A164" s="86"/>
      <c r="B164" s="88" t="s">
        <v>290</v>
      </c>
      <c r="C164" s="57"/>
      <c r="D164" s="91" t="s">
        <v>291</v>
      </c>
      <c r="E164" s="183">
        <f>E166+E167+E172+E174+E176+E177+E178</f>
        <v>162969422.1</v>
      </c>
      <c r="F164" s="183">
        <f aca="true" t="shared" si="31" ref="F164:P164">F166+F167+F172+F174+F176+F177+F178</f>
        <v>104991366.02</v>
      </c>
      <c r="G164" s="183">
        <f t="shared" si="31"/>
        <v>0</v>
      </c>
      <c r="H164" s="183">
        <f t="shared" si="31"/>
        <v>18525000</v>
      </c>
      <c r="I164" s="183">
        <f t="shared" si="31"/>
        <v>57978056.08</v>
      </c>
      <c r="J164" s="183">
        <f t="shared" si="31"/>
        <v>273794645.79</v>
      </c>
      <c r="K164" s="183">
        <f t="shared" si="31"/>
        <v>0</v>
      </c>
      <c r="L164" s="183">
        <f t="shared" si="31"/>
        <v>0</v>
      </c>
      <c r="M164" s="183">
        <f t="shared" si="31"/>
        <v>0</v>
      </c>
      <c r="N164" s="183">
        <f t="shared" si="31"/>
        <v>273794645.79</v>
      </c>
      <c r="O164" s="183">
        <f t="shared" si="31"/>
        <v>244544406</v>
      </c>
      <c r="P164" s="183">
        <f t="shared" si="31"/>
        <v>436764067.89</v>
      </c>
      <c r="Q164" s="243"/>
      <c r="X164" s="85"/>
      <c r="Y164" s="85"/>
    </row>
    <row r="165" spans="1:25" s="87" customFormat="1" ht="20.25" customHeight="1">
      <c r="A165" s="86"/>
      <c r="B165" s="88"/>
      <c r="C165" s="57"/>
      <c r="D165" s="91" t="s">
        <v>510</v>
      </c>
      <c r="E165" s="183">
        <f>E168+E179+E175</f>
        <v>22765578.59</v>
      </c>
      <c r="F165" s="183">
        <f aca="true" t="shared" si="32" ref="F165:P165">F168+F179+F175</f>
        <v>0</v>
      </c>
      <c r="G165" s="183">
        <f t="shared" si="32"/>
        <v>0</v>
      </c>
      <c r="H165" s="183">
        <f t="shared" si="32"/>
        <v>0</v>
      </c>
      <c r="I165" s="183">
        <f t="shared" si="32"/>
        <v>22765578.59</v>
      </c>
      <c r="J165" s="183">
        <f t="shared" si="32"/>
        <v>29400239.790000003</v>
      </c>
      <c r="K165" s="183">
        <f t="shared" si="32"/>
        <v>0</v>
      </c>
      <c r="L165" s="183">
        <f t="shared" si="32"/>
        <v>0</v>
      </c>
      <c r="M165" s="183">
        <f t="shared" si="32"/>
        <v>0</v>
      </c>
      <c r="N165" s="183">
        <f t="shared" si="32"/>
        <v>29400239.790000003</v>
      </c>
      <c r="O165" s="183">
        <f t="shared" si="32"/>
        <v>150000</v>
      </c>
      <c r="P165" s="183">
        <f t="shared" si="32"/>
        <v>52165818.38</v>
      </c>
      <c r="Q165" s="243"/>
      <c r="X165" s="85"/>
      <c r="Y165" s="85"/>
    </row>
    <row r="166" spans="2:25" ht="32.25" customHeight="1">
      <c r="B166" s="46" t="s">
        <v>292</v>
      </c>
      <c r="C166" s="46" t="s">
        <v>293</v>
      </c>
      <c r="D166" s="60" t="s">
        <v>212</v>
      </c>
      <c r="E166" s="184">
        <f>'дод. 3'!F233</f>
        <v>1572000</v>
      </c>
      <c r="F166" s="184">
        <f>'дод. 3'!G233</f>
        <v>1572000</v>
      </c>
      <c r="G166" s="184">
        <f>'дод. 3'!H233</f>
        <v>0</v>
      </c>
      <c r="H166" s="184">
        <f>'дод. 3'!I233</f>
        <v>0</v>
      </c>
      <c r="I166" s="184">
        <f>'дод. 3'!J233</f>
        <v>0</v>
      </c>
      <c r="J166" s="184">
        <f>'дод. 3'!K233</f>
        <v>0</v>
      </c>
      <c r="K166" s="184">
        <f>'дод. 3'!L233</f>
        <v>0</v>
      </c>
      <c r="L166" s="184">
        <f>'дод. 3'!M233</f>
        <v>0</v>
      </c>
      <c r="M166" s="184">
        <f>'дод. 3'!N233</f>
        <v>0</v>
      </c>
      <c r="N166" s="184">
        <f>'дод. 3'!O233</f>
        <v>0</v>
      </c>
      <c r="O166" s="184">
        <f>'дод. 3'!P233</f>
        <v>0</v>
      </c>
      <c r="P166" s="184">
        <f>E166+J166</f>
        <v>1572000</v>
      </c>
      <c r="Q166" s="243"/>
      <c r="X166" s="82"/>
      <c r="Y166" s="82"/>
    </row>
    <row r="167" spans="2:25" ht="18" customHeight="1">
      <c r="B167" s="46" t="s">
        <v>294</v>
      </c>
      <c r="C167" s="46"/>
      <c r="D167" s="60" t="s">
        <v>146</v>
      </c>
      <c r="E167" s="184">
        <f>E169+E171</f>
        <v>480000</v>
      </c>
      <c r="F167" s="184">
        <f aca="true" t="shared" si="33" ref="F167:O167">F169+F171</f>
        <v>480000</v>
      </c>
      <c r="G167" s="184">
        <f t="shared" si="33"/>
        <v>0</v>
      </c>
      <c r="H167" s="184">
        <f t="shared" si="33"/>
        <v>0</v>
      </c>
      <c r="I167" s="184">
        <f t="shared" si="33"/>
        <v>0</v>
      </c>
      <c r="J167" s="184">
        <f t="shared" si="33"/>
        <v>66631327</v>
      </c>
      <c r="K167" s="184">
        <f t="shared" si="33"/>
        <v>0</v>
      </c>
      <c r="L167" s="184">
        <f t="shared" si="33"/>
        <v>0</v>
      </c>
      <c r="M167" s="184">
        <f t="shared" si="33"/>
        <v>0</v>
      </c>
      <c r="N167" s="184">
        <f t="shared" si="33"/>
        <v>66631327</v>
      </c>
      <c r="O167" s="184">
        <f t="shared" si="33"/>
        <v>66431327</v>
      </c>
      <c r="P167" s="184">
        <f>E167+J167</f>
        <v>67111327</v>
      </c>
      <c r="Q167" s="243"/>
      <c r="X167" s="82"/>
      <c r="Y167" s="82"/>
    </row>
    <row r="168" spans="3:25" ht="15">
      <c r="C168" s="46"/>
      <c r="D168" s="60" t="s">
        <v>510</v>
      </c>
      <c r="E168" s="184">
        <f>'дод. 3'!F235</f>
        <v>0</v>
      </c>
      <c r="F168" s="184">
        <f>'дод. 3'!G235</f>
        <v>0</v>
      </c>
      <c r="G168" s="184">
        <f>'дод. 3'!H235</f>
        <v>0</v>
      </c>
      <c r="H168" s="184">
        <f>'дод. 3'!I235</f>
        <v>0</v>
      </c>
      <c r="I168" s="184">
        <f>'дод. 3'!J235</f>
        <v>0</v>
      </c>
      <c r="J168" s="184">
        <f>'дод. 3'!K235</f>
        <v>350000</v>
      </c>
      <c r="K168" s="184">
        <f>'дод. 3'!L235</f>
        <v>0</v>
      </c>
      <c r="L168" s="184">
        <f>'дод. 3'!M235</f>
        <v>0</v>
      </c>
      <c r="M168" s="184">
        <f>'дод. 3'!N235</f>
        <v>0</v>
      </c>
      <c r="N168" s="184">
        <f>'дод. 3'!O235</f>
        <v>350000</v>
      </c>
      <c r="O168" s="184">
        <f>'дод. 3'!P235</f>
        <v>150000</v>
      </c>
      <c r="P168" s="184">
        <f>'дод. 3'!Q235</f>
        <v>350000</v>
      </c>
      <c r="Q168" s="243"/>
      <c r="X168" s="82"/>
      <c r="Y168" s="82"/>
    </row>
    <row r="169" spans="1:25" s="53" customFormat="1" ht="22.5" customHeight="1">
      <c r="A169" s="51"/>
      <c r="B169" s="46" t="s">
        <v>295</v>
      </c>
      <c r="C169" s="50" t="s">
        <v>293</v>
      </c>
      <c r="D169" s="61" t="s">
        <v>148</v>
      </c>
      <c r="E169" s="137">
        <f>'дод. 3'!F236</f>
        <v>400000</v>
      </c>
      <c r="F169" s="137">
        <f>'дод. 3'!G236</f>
        <v>400000</v>
      </c>
      <c r="G169" s="137">
        <f>'дод. 3'!H236</f>
        <v>0</v>
      </c>
      <c r="H169" s="137">
        <f>'дод. 3'!I236</f>
        <v>0</v>
      </c>
      <c r="I169" s="137">
        <f>'дод. 3'!J236</f>
        <v>0</v>
      </c>
      <c r="J169" s="137">
        <f>'дод. 3'!K236</f>
        <v>49476527</v>
      </c>
      <c r="K169" s="137">
        <f>'дод. 3'!L236</f>
        <v>0</v>
      </c>
      <c r="L169" s="137">
        <f>'дод. 3'!M236</f>
        <v>0</v>
      </c>
      <c r="M169" s="137">
        <f>'дод. 3'!N236</f>
        <v>0</v>
      </c>
      <c r="N169" s="137">
        <f>'дод. 3'!O236</f>
        <v>49476527</v>
      </c>
      <c r="O169" s="137">
        <f>'дод. 3'!P236</f>
        <v>49276527</v>
      </c>
      <c r="P169" s="137">
        <f>E169+J169</f>
        <v>49876527</v>
      </c>
      <c r="Q169" s="243"/>
      <c r="X169" s="82"/>
      <c r="Y169" s="82"/>
    </row>
    <row r="170" spans="1:25" s="53" customFormat="1" ht="18" customHeight="1">
      <c r="A170" s="51"/>
      <c r="B170" s="46"/>
      <c r="C170" s="50"/>
      <c r="D170" s="61" t="s">
        <v>510</v>
      </c>
      <c r="E170" s="137">
        <f>'дод. 3'!F237</f>
        <v>0</v>
      </c>
      <c r="F170" s="137">
        <f>'дод. 3'!G237</f>
        <v>0</v>
      </c>
      <c r="G170" s="137">
        <f>'дод. 3'!H237</f>
        <v>0</v>
      </c>
      <c r="H170" s="137">
        <f>'дод. 3'!I237</f>
        <v>0</v>
      </c>
      <c r="I170" s="137">
        <f>'дод. 3'!J237</f>
        <v>0</v>
      </c>
      <c r="J170" s="137">
        <f>'дод. 3'!K237</f>
        <v>350000</v>
      </c>
      <c r="K170" s="137">
        <f>'дод. 3'!L237</f>
        <v>0</v>
      </c>
      <c r="L170" s="137">
        <f>'дод. 3'!M237</f>
        <v>0</v>
      </c>
      <c r="M170" s="137">
        <f>'дод. 3'!N237</f>
        <v>0</v>
      </c>
      <c r="N170" s="137">
        <f>'дод. 3'!O237</f>
        <v>350000</v>
      </c>
      <c r="O170" s="137">
        <f>'дод. 3'!P237</f>
        <v>150000</v>
      </c>
      <c r="P170" s="137">
        <f>'дод. 3'!Q237</f>
        <v>350000</v>
      </c>
      <c r="Q170" s="243"/>
      <c r="X170" s="82"/>
      <c r="Y170" s="82"/>
    </row>
    <row r="171" spans="1:25" s="53" customFormat="1" ht="30.75">
      <c r="A171" s="51"/>
      <c r="B171" s="46" t="s">
        <v>296</v>
      </c>
      <c r="C171" s="50" t="s">
        <v>293</v>
      </c>
      <c r="D171" s="61" t="s">
        <v>150</v>
      </c>
      <c r="E171" s="137">
        <f>'дод. 3'!F238</f>
        <v>80000</v>
      </c>
      <c r="F171" s="137">
        <f>'дод. 3'!G238</f>
        <v>80000</v>
      </c>
      <c r="G171" s="137">
        <f>'дод. 3'!H238</f>
        <v>0</v>
      </c>
      <c r="H171" s="137">
        <f>'дод. 3'!I238</f>
        <v>0</v>
      </c>
      <c r="I171" s="137">
        <f>'дод. 3'!J238</f>
        <v>0</v>
      </c>
      <c r="J171" s="137">
        <f>'дод. 3'!K238</f>
        <v>17154800</v>
      </c>
      <c r="K171" s="137">
        <f>'дод. 3'!L238</f>
        <v>0</v>
      </c>
      <c r="L171" s="137">
        <f>'дод. 3'!M238</f>
        <v>0</v>
      </c>
      <c r="M171" s="137">
        <f>'дод. 3'!N238</f>
        <v>0</v>
      </c>
      <c r="N171" s="137">
        <f>'дод. 3'!O238</f>
        <v>17154800</v>
      </c>
      <c r="O171" s="137">
        <f>'дод. 3'!P238</f>
        <v>17154800</v>
      </c>
      <c r="P171" s="137">
        <f>E171+J171</f>
        <v>17234800</v>
      </c>
      <c r="Q171" s="243"/>
      <c r="X171" s="82"/>
      <c r="Y171" s="82"/>
    </row>
    <row r="172" spans="1:25" s="53" customFormat="1" ht="27" customHeight="1">
      <c r="A172" s="51"/>
      <c r="B172" s="46" t="s">
        <v>297</v>
      </c>
      <c r="C172" s="50"/>
      <c r="D172" s="60" t="s">
        <v>153</v>
      </c>
      <c r="E172" s="137">
        <f>E173</f>
        <v>5214597.49</v>
      </c>
      <c r="F172" s="137">
        <f aca="true" t="shared" si="34" ref="F172:O172">F173</f>
        <v>0</v>
      </c>
      <c r="G172" s="137">
        <f t="shared" si="34"/>
        <v>0</v>
      </c>
      <c r="H172" s="137">
        <f t="shared" si="34"/>
        <v>0</v>
      </c>
      <c r="I172" s="137">
        <f t="shared" si="34"/>
        <v>5214597.49</v>
      </c>
      <c r="J172" s="137">
        <f t="shared" si="34"/>
        <v>0</v>
      </c>
      <c r="K172" s="137">
        <f t="shared" si="34"/>
        <v>0</v>
      </c>
      <c r="L172" s="137">
        <f t="shared" si="34"/>
        <v>0</v>
      </c>
      <c r="M172" s="137">
        <f t="shared" si="34"/>
        <v>0</v>
      </c>
      <c r="N172" s="137">
        <f t="shared" si="34"/>
        <v>0</v>
      </c>
      <c r="O172" s="137">
        <f t="shared" si="34"/>
        <v>0</v>
      </c>
      <c r="P172" s="137">
        <f>E172+J172</f>
        <v>5214597.49</v>
      </c>
      <c r="Q172" s="243"/>
      <c r="X172" s="82"/>
      <c r="Y172" s="82"/>
    </row>
    <row r="173" spans="1:25" s="53" customFormat="1" ht="36" customHeight="1">
      <c r="A173" s="51"/>
      <c r="B173" s="46" t="s">
        <v>298</v>
      </c>
      <c r="C173" s="50" t="s">
        <v>299</v>
      </c>
      <c r="D173" s="61" t="s">
        <v>152</v>
      </c>
      <c r="E173" s="137">
        <f>'дод. 3'!F240</f>
        <v>5214597.49</v>
      </c>
      <c r="F173" s="137">
        <f>'дод. 3'!G240</f>
        <v>0</v>
      </c>
      <c r="G173" s="137">
        <f>'дод. 3'!H240</f>
        <v>0</v>
      </c>
      <c r="H173" s="137">
        <f>'дод. 3'!I240</f>
        <v>0</v>
      </c>
      <c r="I173" s="137">
        <f>'дод. 3'!J240</f>
        <v>5214597.49</v>
      </c>
      <c r="J173" s="137">
        <f>'дод. 3'!K240</f>
        <v>0</v>
      </c>
      <c r="K173" s="137">
        <f>'дод. 3'!L240</f>
        <v>0</v>
      </c>
      <c r="L173" s="137">
        <f>'дод. 3'!M240</f>
        <v>0</v>
      </c>
      <c r="M173" s="137">
        <f>'дод. 3'!N240</f>
        <v>0</v>
      </c>
      <c r="N173" s="137">
        <f>'дод. 3'!O240</f>
        <v>0</v>
      </c>
      <c r="O173" s="137">
        <f>'дод. 3'!P240</f>
        <v>0</v>
      </c>
      <c r="P173" s="137">
        <f>E173+J173</f>
        <v>5214597.49</v>
      </c>
      <c r="Q173" s="243"/>
      <c r="X173" s="82"/>
      <c r="Y173" s="82"/>
    </row>
    <row r="174" spans="2:25" ht="28.5" customHeight="1">
      <c r="B174" s="46" t="s">
        <v>300</v>
      </c>
      <c r="C174" s="46" t="s">
        <v>299</v>
      </c>
      <c r="D174" s="60" t="s">
        <v>56</v>
      </c>
      <c r="E174" s="184">
        <f>'дод. 3'!F241+'дод. 3'!F279</f>
        <v>132661297.02</v>
      </c>
      <c r="F174" s="184">
        <f>'дод. 3'!G241+'дод. 3'!G279</f>
        <v>102939366.02</v>
      </c>
      <c r="G174" s="184">
        <f>'дод. 3'!H241+'дод. 3'!H279</f>
        <v>0</v>
      </c>
      <c r="H174" s="184">
        <f>'дод. 3'!I241+'дод. 3'!I279</f>
        <v>18525000</v>
      </c>
      <c r="I174" s="184">
        <f>'дод. 3'!J241+'дод. 3'!J279</f>
        <v>29721931</v>
      </c>
      <c r="J174" s="184">
        <f>'дод. 3'!K241+'дод. 3'!K279</f>
        <v>180338079</v>
      </c>
      <c r="K174" s="184">
        <f>'дод. 3'!L241+'дод. 3'!L279</f>
        <v>0</v>
      </c>
      <c r="L174" s="184">
        <f>'дод. 3'!M241+'дод. 3'!M279</f>
        <v>0</v>
      </c>
      <c r="M174" s="184">
        <f>'дод. 3'!N241+'дод. 3'!N279</f>
        <v>0</v>
      </c>
      <c r="N174" s="184">
        <f>'дод. 3'!O241+'дод. 3'!O279</f>
        <v>180338079</v>
      </c>
      <c r="O174" s="184">
        <f>'дод. 3'!P241+'дод. 3'!P279</f>
        <v>177413079</v>
      </c>
      <c r="P174" s="184">
        <f>'дод. 3'!Q241+'дод. 3'!Q279</f>
        <v>312999376.02</v>
      </c>
      <c r="Q174" s="243"/>
      <c r="X174" s="82"/>
      <c r="Y174" s="82"/>
    </row>
    <row r="175" spans="3:25" ht="28.5" customHeight="1">
      <c r="C175" s="46"/>
      <c r="D175" s="61" t="s">
        <v>510</v>
      </c>
      <c r="E175" s="184">
        <f>'дод. 3'!F242+'дод. 3'!F280</f>
        <v>0</v>
      </c>
      <c r="F175" s="184">
        <f>'дод. 3'!G242+'дод. 3'!G280</f>
        <v>0</v>
      </c>
      <c r="G175" s="184">
        <f>'дод. 3'!H242+'дод. 3'!H280</f>
        <v>0</v>
      </c>
      <c r="H175" s="184">
        <f>'дод. 3'!I242+'дод. 3'!I280</f>
        <v>0</v>
      </c>
      <c r="I175" s="184">
        <f>'дод. 3'!J242+'дод. 3'!J280</f>
        <v>0</v>
      </c>
      <c r="J175" s="184">
        <f>'дод. 3'!K242+'дод. 3'!K280</f>
        <v>2925000</v>
      </c>
      <c r="K175" s="184">
        <f>'дод. 3'!L242+'дод. 3'!L280</f>
        <v>0</v>
      </c>
      <c r="L175" s="184">
        <f>'дод. 3'!M242+'дод. 3'!M280</f>
        <v>0</v>
      </c>
      <c r="M175" s="184">
        <f>'дод. 3'!N242+'дод. 3'!N280</f>
        <v>0</v>
      </c>
      <c r="N175" s="184">
        <f>'дод. 3'!O242+'дод. 3'!O280</f>
        <v>2925000</v>
      </c>
      <c r="O175" s="184">
        <f>'дод. 3'!P242+'дод. 3'!P280</f>
        <v>0</v>
      </c>
      <c r="P175" s="184">
        <f>'дод. 3'!Q242+'дод. 3'!Q280</f>
        <v>2925000</v>
      </c>
      <c r="Q175" s="243"/>
      <c r="X175" s="82"/>
      <c r="Y175" s="82"/>
    </row>
    <row r="176" spans="2:25" ht="46.5" customHeight="1">
      <c r="B176" s="46" t="s">
        <v>301</v>
      </c>
      <c r="C176" s="46" t="s">
        <v>299</v>
      </c>
      <c r="D176" s="60" t="s">
        <v>222</v>
      </c>
      <c r="E176" s="184">
        <f>'дод. 3'!F243</f>
        <v>0</v>
      </c>
      <c r="F176" s="184">
        <f>'дод. 3'!G243</f>
        <v>0</v>
      </c>
      <c r="G176" s="184">
        <f>'дод. 3'!H243</f>
        <v>0</v>
      </c>
      <c r="H176" s="184">
        <f>'дод. 3'!I243</f>
        <v>0</v>
      </c>
      <c r="I176" s="184">
        <f>'дод. 3'!J243</f>
        <v>0</v>
      </c>
      <c r="J176" s="184">
        <f>'дод. 3'!K243</f>
        <v>700000</v>
      </c>
      <c r="K176" s="184">
        <f>'дод. 3'!L243</f>
        <v>0</v>
      </c>
      <c r="L176" s="184">
        <f>'дод. 3'!M243</f>
        <v>0</v>
      </c>
      <c r="M176" s="184">
        <f>'дод. 3'!N243</f>
        <v>0</v>
      </c>
      <c r="N176" s="184">
        <f>'дод. 3'!O243</f>
        <v>700000</v>
      </c>
      <c r="O176" s="184">
        <f>'дод. 3'!P243</f>
        <v>700000</v>
      </c>
      <c r="P176" s="184">
        <f>E176+J176</f>
        <v>700000</v>
      </c>
      <c r="Q176" s="243"/>
      <c r="X176" s="82"/>
      <c r="Y176" s="82"/>
    </row>
    <row r="177" spans="2:25" ht="75" customHeight="1">
      <c r="B177" s="46" t="s">
        <v>552</v>
      </c>
      <c r="C177" s="46" t="s">
        <v>299</v>
      </c>
      <c r="D177" s="60" t="s">
        <v>551</v>
      </c>
      <c r="E177" s="184">
        <f>'дод. 3'!F244</f>
        <v>275949</v>
      </c>
      <c r="F177" s="184">
        <f>'дод. 3'!G244</f>
        <v>0</v>
      </c>
      <c r="G177" s="184">
        <f>'дод. 3'!H244</f>
        <v>0</v>
      </c>
      <c r="H177" s="184">
        <f>'дод. 3'!I244</f>
        <v>0</v>
      </c>
      <c r="I177" s="184">
        <f>'дод. 3'!J244</f>
        <v>275949</v>
      </c>
      <c r="J177" s="184">
        <f>'дод. 3'!K244</f>
        <v>0</v>
      </c>
      <c r="K177" s="184">
        <f>'дод. 3'!L244</f>
        <v>0</v>
      </c>
      <c r="L177" s="184">
        <f>'дод. 3'!M244</f>
        <v>0</v>
      </c>
      <c r="M177" s="184">
        <f>'дод. 3'!N244</f>
        <v>0</v>
      </c>
      <c r="N177" s="184">
        <f>'дод. 3'!O244</f>
        <v>0</v>
      </c>
      <c r="O177" s="184">
        <f>'дод. 3'!P244</f>
        <v>0</v>
      </c>
      <c r="P177" s="184">
        <f>'дод. 3'!Q244</f>
        <v>275949</v>
      </c>
      <c r="Q177" s="243"/>
      <c r="X177" s="82"/>
      <c r="Y177" s="82"/>
    </row>
    <row r="178" spans="2:25" ht="159" customHeight="1">
      <c r="B178" s="46" t="s">
        <v>564</v>
      </c>
      <c r="C178" s="46" t="s">
        <v>565</v>
      </c>
      <c r="D178" s="60" t="s">
        <v>566</v>
      </c>
      <c r="E178" s="184">
        <f>'дод. 3'!F245</f>
        <v>22765578.59</v>
      </c>
      <c r="F178" s="184">
        <f>'дод. 3'!G245</f>
        <v>0</v>
      </c>
      <c r="G178" s="184">
        <f>'дод. 3'!H245</f>
        <v>0</v>
      </c>
      <c r="H178" s="184">
        <f>'дод. 3'!I245</f>
        <v>0</v>
      </c>
      <c r="I178" s="184">
        <f>'дод. 3'!J245</f>
        <v>22765578.59</v>
      </c>
      <c r="J178" s="184">
        <f>'дод. 3'!K245</f>
        <v>26125239.790000003</v>
      </c>
      <c r="K178" s="184">
        <f>'дод. 3'!L245</f>
        <v>0</v>
      </c>
      <c r="L178" s="184">
        <f>'дод. 3'!M245</f>
        <v>0</v>
      </c>
      <c r="M178" s="184">
        <f>'дод. 3'!N245</f>
        <v>0</v>
      </c>
      <c r="N178" s="184">
        <f>'дод. 3'!O245</f>
        <v>26125239.790000003</v>
      </c>
      <c r="O178" s="184">
        <f>'дод. 3'!P245</f>
        <v>0</v>
      </c>
      <c r="P178" s="184">
        <f>'дод. 3'!Q245</f>
        <v>48890818.38</v>
      </c>
      <c r="Q178" s="243"/>
      <c r="X178" s="82"/>
      <c r="Y178" s="82"/>
    </row>
    <row r="179" spans="3:25" ht="15">
      <c r="C179" s="46"/>
      <c r="D179" s="60" t="s">
        <v>510</v>
      </c>
      <c r="E179" s="184">
        <f>'дод. 3'!F246</f>
        <v>22765578.59</v>
      </c>
      <c r="F179" s="184">
        <f>'дод. 3'!G246</f>
        <v>0</v>
      </c>
      <c r="G179" s="184">
        <f>'дод. 3'!H246</f>
        <v>0</v>
      </c>
      <c r="H179" s="184">
        <f>'дод. 3'!I246</f>
        <v>0</v>
      </c>
      <c r="I179" s="184">
        <f>'дод. 3'!J246</f>
        <v>22765578.59</v>
      </c>
      <c r="J179" s="184">
        <f>'дод. 3'!K246</f>
        <v>26125239.790000003</v>
      </c>
      <c r="K179" s="184">
        <f>'дод. 3'!L246</f>
        <v>0</v>
      </c>
      <c r="L179" s="184">
        <f>'дод. 3'!M246</f>
        <v>0</v>
      </c>
      <c r="M179" s="184">
        <f>'дод. 3'!N246</f>
        <v>0</v>
      </c>
      <c r="N179" s="184">
        <f>'дод. 3'!O246</f>
        <v>26125239.790000003</v>
      </c>
      <c r="O179" s="184">
        <f>'дод. 3'!P246</f>
        <v>0</v>
      </c>
      <c r="P179" s="184">
        <f>'дод. 3'!Q246</f>
        <v>48890818.38</v>
      </c>
      <c r="Q179" s="243"/>
      <c r="X179" s="82"/>
      <c r="Y179" s="82"/>
    </row>
    <row r="180" spans="1:25" s="87" customFormat="1" ht="18.75" customHeight="1">
      <c r="A180" s="86"/>
      <c r="B180" s="88" t="s">
        <v>323</v>
      </c>
      <c r="C180" s="57"/>
      <c r="D180" s="91" t="s">
        <v>324</v>
      </c>
      <c r="E180" s="183">
        <f>E182+E184+E186</f>
        <v>643500</v>
      </c>
      <c r="F180" s="183">
        <f aca="true" t="shared" si="35" ref="F180:P180">F182+F184+F186</f>
        <v>0</v>
      </c>
      <c r="G180" s="183">
        <f t="shared" si="35"/>
        <v>0</v>
      </c>
      <c r="H180" s="183">
        <f t="shared" si="35"/>
        <v>0</v>
      </c>
      <c r="I180" s="183">
        <f t="shared" si="35"/>
        <v>643500</v>
      </c>
      <c r="J180" s="183">
        <f t="shared" si="35"/>
        <v>133438333</v>
      </c>
      <c r="K180" s="183">
        <f t="shared" si="35"/>
        <v>0</v>
      </c>
      <c r="L180" s="183">
        <f t="shared" si="35"/>
        <v>0</v>
      </c>
      <c r="M180" s="183">
        <f t="shared" si="35"/>
        <v>0</v>
      </c>
      <c r="N180" s="183">
        <f t="shared" si="35"/>
        <v>133438333</v>
      </c>
      <c r="O180" s="183">
        <f t="shared" si="35"/>
        <v>132938333</v>
      </c>
      <c r="P180" s="183">
        <f t="shared" si="35"/>
        <v>134081833</v>
      </c>
      <c r="Q180" s="243"/>
      <c r="X180" s="85"/>
      <c r="Y180" s="85"/>
    </row>
    <row r="181" spans="1:25" s="87" customFormat="1" ht="18.75" customHeight="1">
      <c r="A181" s="86"/>
      <c r="B181" s="88"/>
      <c r="C181" s="57"/>
      <c r="D181" s="91" t="s">
        <v>510</v>
      </c>
      <c r="E181" s="183">
        <f>E183</f>
        <v>0</v>
      </c>
      <c r="F181" s="183">
        <f aca="true" t="shared" si="36" ref="F181:P181">F183</f>
        <v>0</v>
      </c>
      <c r="G181" s="183">
        <f t="shared" si="36"/>
        <v>0</v>
      </c>
      <c r="H181" s="183">
        <f t="shared" si="36"/>
        <v>0</v>
      </c>
      <c r="I181" s="183">
        <f t="shared" si="36"/>
        <v>0</v>
      </c>
      <c r="J181" s="183">
        <f t="shared" si="36"/>
        <v>5339000</v>
      </c>
      <c r="K181" s="183">
        <f t="shared" si="36"/>
        <v>0</v>
      </c>
      <c r="L181" s="183">
        <f t="shared" si="36"/>
        <v>0</v>
      </c>
      <c r="M181" s="183">
        <f t="shared" si="36"/>
        <v>0</v>
      </c>
      <c r="N181" s="183">
        <f t="shared" si="36"/>
        <v>5339000</v>
      </c>
      <c r="O181" s="183">
        <f t="shared" si="36"/>
        <v>4839000</v>
      </c>
      <c r="P181" s="183">
        <f t="shared" si="36"/>
        <v>5339000</v>
      </c>
      <c r="Q181" s="243"/>
      <c r="X181" s="85"/>
      <c r="Y181" s="85"/>
    </row>
    <row r="182" spans="2:25" ht="19.5" customHeight="1">
      <c r="B182" s="46" t="s">
        <v>325</v>
      </c>
      <c r="C182" s="46" t="s">
        <v>326</v>
      </c>
      <c r="D182" s="60" t="s">
        <v>167</v>
      </c>
      <c r="E182" s="184">
        <f>'дод. 3'!F281+'дод. 3'!F247</f>
        <v>0</v>
      </c>
      <c r="F182" s="184">
        <f>'дод. 3'!G281+'дод. 3'!G247</f>
        <v>0</v>
      </c>
      <c r="G182" s="184">
        <f>'дод. 3'!H281+'дод. 3'!H247</f>
        <v>0</v>
      </c>
      <c r="H182" s="184">
        <f>'дод. 3'!I281+'дод. 3'!I247</f>
        <v>0</v>
      </c>
      <c r="I182" s="184">
        <f>'дод. 3'!J281+'дод. 3'!J247</f>
        <v>0</v>
      </c>
      <c r="J182" s="184">
        <f>'дод. 3'!K281+'дод. 3'!K247</f>
        <v>129908017</v>
      </c>
      <c r="K182" s="184">
        <f>'дод. 3'!L281+'дод. 3'!L247</f>
        <v>0</v>
      </c>
      <c r="L182" s="184">
        <f>'дод. 3'!M281+'дод. 3'!M247</f>
        <v>0</v>
      </c>
      <c r="M182" s="184">
        <f>'дод. 3'!N281+'дод. 3'!N247</f>
        <v>0</v>
      </c>
      <c r="N182" s="184">
        <f>'дод. 3'!O281+'дод. 3'!O247</f>
        <v>129908017</v>
      </c>
      <c r="O182" s="184">
        <f>'дод. 3'!P281+'дод. 3'!P247</f>
        <v>129408017</v>
      </c>
      <c r="P182" s="184">
        <f>'дод. 3'!Q281+'дод. 3'!Q247</f>
        <v>129908017</v>
      </c>
      <c r="Q182" s="243"/>
      <c r="X182" s="82"/>
      <c r="Y182" s="82"/>
    </row>
    <row r="183" spans="3:25" ht="18.75" customHeight="1">
      <c r="C183" s="46"/>
      <c r="D183" s="60" t="s">
        <v>510</v>
      </c>
      <c r="E183" s="184">
        <f>'дод. 3'!F282+'дод. 3'!F248</f>
        <v>0</v>
      </c>
      <c r="F183" s="184">
        <f>'дод. 3'!G282+'дод. 3'!G248</f>
        <v>0</v>
      </c>
      <c r="G183" s="184">
        <f>'дод. 3'!H282+'дод. 3'!H248</f>
        <v>0</v>
      </c>
      <c r="H183" s="184">
        <f>'дод. 3'!I282+'дод. 3'!I248</f>
        <v>0</v>
      </c>
      <c r="I183" s="184">
        <f>'дод. 3'!J282+'дод. 3'!J248</f>
        <v>0</v>
      </c>
      <c r="J183" s="184">
        <f>'дод. 3'!K282+'дод. 3'!K248</f>
        <v>5339000</v>
      </c>
      <c r="K183" s="184">
        <f>'дод. 3'!L282+'дод. 3'!L248</f>
        <v>0</v>
      </c>
      <c r="L183" s="184">
        <f>'дод. 3'!M282+'дод. 3'!M248</f>
        <v>0</v>
      </c>
      <c r="M183" s="184">
        <f>'дод. 3'!N282+'дод. 3'!N248</f>
        <v>0</v>
      </c>
      <c r="N183" s="184">
        <f>'дод. 3'!O282+'дод. 3'!O248</f>
        <v>5339000</v>
      </c>
      <c r="O183" s="184">
        <f>'дод. 3'!P282+'дод. 3'!P248</f>
        <v>4839000</v>
      </c>
      <c r="P183" s="184">
        <f>'дод. 3'!Q282+'дод. 3'!Q248</f>
        <v>5339000</v>
      </c>
      <c r="Q183" s="243"/>
      <c r="X183" s="82"/>
      <c r="Y183" s="82"/>
    </row>
    <row r="184" spans="2:25" ht="24" customHeight="1">
      <c r="B184" s="46" t="s">
        <v>327</v>
      </c>
      <c r="C184" s="46"/>
      <c r="D184" s="60" t="s">
        <v>233</v>
      </c>
      <c r="E184" s="184">
        <f>E185</f>
        <v>0</v>
      </c>
      <c r="F184" s="184">
        <f aca="true" t="shared" si="37" ref="F184:P184">F185</f>
        <v>0</v>
      </c>
      <c r="G184" s="184">
        <f t="shared" si="37"/>
        <v>0</v>
      </c>
      <c r="H184" s="184">
        <f t="shared" si="37"/>
        <v>0</v>
      </c>
      <c r="I184" s="184">
        <f t="shared" si="37"/>
        <v>0</v>
      </c>
      <c r="J184" s="184">
        <f t="shared" si="37"/>
        <v>3443100</v>
      </c>
      <c r="K184" s="184">
        <f t="shared" si="37"/>
        <v>0</v>
      </c>
      <c r="L184" s="184">
        <f t="shared" si="37"/>
        <v>0</v>
      </c>
      <c r="M184" s="184">
        <f t="shared" si="37"/>
        <v>0</v>
      </c>
      <c r="N184" s="184">
        <f t="shared" si="37"/>
        <v>3443100</v>
      </c>
      <c r="O184" s="184">
        <f t="shared" si="37"/>
        <v>3443100</v>
      </c>
      <c r="P184" s="184">
        <f t="shared" si="37"/>
        <v>3443100</v>
      </c>
      <c r="Q184" s="243"/>
      <c r="X184" s="82"/>
      <c r="Y184" s="82"/>
    </row>
    <row r="185" spans="1:25" s="53" customFormat="1" ht="34.5" customHeight="1">
      <c r="A185" s="51"/>
      <c r="B185" s="50" t="s">
        <v>328</v>
      </c>
      <c r="C185" s="50" t="s">
        <v>310</v>
      </c>
      <c r="D185" s="61" t="s">
        <v>237</v>
      </c>
      <c r="E185" s="137">
        <f>'дод. 3'!F284+'дод. 3'!F250</f>
        <v>0</v>
      </c>
      <c r="F185" s="137">
        <f>'дод. 3'!G284+'дод. 3'!G250</f>
        <v>0</v>
      </c>
      <c r="G185" s="137">
        <f>'дод. 3'!H284+'дод. 3'!H250</f>
        <v>0</v>
      </c>
      <c r="H185" s="137">
        <f>'дод. 3'!I284+'дод. 3'!I250</f>
        <v>0</v>
      </c>
      <c r="I185" s="137">
        <f>'дод. 3'!J284+'дод. 3'!J250</f>
        <v>0</v>
      </c>
      <c r="J185" s="137">
        <f>'дод. 3'!K284+'дод. 3'!K250</f>
        <v>3443100</v>
      </c>
      <c r="K185" s="137">
        <f>'дод. 3'!L284+'дод. 3'!L250</f>
        <v>0</v>
      </c>
      <c r="L185" s="137">
        <f>'дод. 3'!M284+'дод. 3'!M250</f>
        <v>0</v>
      </c>
      <c r="M185" s="137">
        <f>'дод. 3'!N284+'дод. 3'!N250</f>
        <v>0</v>
      </c>
      <c r="N185" s="137">
        <f>'дод. 3'!O284+'дод. 3'!O250</f>
        <v>3443100</v>
      </c>
      <c r="O185" s="137">
        <f>'дод. 3'!P284+'дод. 3'!P250</f>
        <v>3443100</v>
      </c>
      <c r="P185" s="137">
        <f>'дод. 3'!Q284+'дод. 3'!Q250</f>
        <v>3443100</v>
      </c>
      <c r="Q185" s="243"/>
      <c r="X185" s="82"/>
      <c r="Y185" s="82"/>
    </row>
    <row r="186" spans="2:25" ht="21.75" customHeight="1">
      <c r="B186" s="46" t="s">
        <v>434</v>
      </c>
      <c r="C186" s="46" t="s">
        <v>433</v>
      </c>
      <c r="D186" s="60" t="s">
        <v>435</v>
      </c>
      <c r="E186" s="184">
        <f>'дод. 3'!F251</f>
        <v>643500</v>
      </c>
      <c r="F186" s="184">
        <f>'дод. 3'!G251</f>
        <v>0</v>
      </c>
      <c r="G186" s="184">
        <f>'дод. 3'!H251</f>
        <v>0</v>
      </c>
      <c r="H186" s="184">
        <f>'дод. 3'!I251</f>
        <v>0</v>
      </c>
      <c r="I186" s="184">
        <f>'дод. 3'!J251</f>
        <v>643500</v>
      </c>
      <c r="J186" s="184">
        <f>'дод. 3'!K251</f>
        <v>87216</v>
      </c>
      <c r="K186" s="184">
        <f>'дод. 3'!L251</f>
        <v>0</v>
      </c>
      <c r="L186" s="184">
        <f>'дод. 3'!M251</f>
        <v>0</v>
      </c>
      <c r="M186" s="184">
        <f>'дод. 3'!N251</f>
        <v>0</v>
      </c>
      <c r="N186" s="184">
        <f>'дод. 3'!O251</f>
        <v>87216</v>
      </c>
      <c r="O186" s="184">
        <f>'дод. 3'!P251</f>
        <v>87216</v>
      </c>
      <c r="P186" s="137">
        <f>E186+J186</f>
        <v>730716</v>
      </c>
      <c r="Q186" s="243"/>
      <c r="X186" s="82"/>
      <c r="Y186" s="82"/>
    </row>
    <row r="187" spans="1:25" s="87" customFormat="1" ht="36.75" customHeight="1">
      <c r="A187" s="86"/>
      <c r="B187" s="88" t="s">
        <v>331</v>
      </c>
      <c r="C187" s="57"/>
      <c r="D187" s="91" t="s">
        <v>332</v>
      </c>
      <c r="E187" s="183">
        <f>E188+E191+E189+E192+E193</f>
        <v>9891836</v>
      </c>
      <c r="F187" s="183">
        <f aca="true" t="shared" si="38" ref="F187:P187">F188+F191+F189+F192+F193</f>
        <v>0</v>
      </c>
      <c r="G187" s="183">
        <f t="shared" si="38"/>
        <v>0</v>
      </c>
      <c r="H187" s="183">
        <f t="shared" si="38"/>
        <v>0</v>
      </c>
      <c r="I187" s="183">
        <f t="shared" si="38"/>
        <v>9891836</v>
      </c>
      <c r="J187" s="183">
        <f t="shared" si="38"/>
        <v>1504211.6</v>
      </c>
      <c r="K187" s="183">
        <f t="shared" si="38"/>
        <v>0</v>
      </c>
      <c r="L187" s="183">
        <f t="shared" si="38"/>
        <v>0</v>
      </c>
      <c r="M187" s="183">
        <f t="shared" si="38"/>
        <v>0</v>
      </c>
      <c r="N187" s="183">
        <f t="shared" si="38"/>
        <v>1504211.6</v>
      </c>
      <c r="O187" s="183">
        <f t="shared" si="38"/>
        <v>1434400</v>
      </c>
      <c r="P187" s="183">
        <f t="shared" si="38"/>
        <v>11396047.6</v>
      </c>
      <c r="Q187" s="243"/>
      <c r="X187" s="85"/>
      <c r="Y187" s="85"/>
    </row>
    <row r="188" spans="2:25" ht="25.5" customHeight="1">
      <c r="B188" s="46" t="s">
        <v>333</v>
      </c>
      <c r="C188" s="46" t="s">
        <v>334</v>
      </c>
      <c r="D188" s="60" t="s">
        <v>196</v>
      </c>
      <c r="E188" s="184">
        <f>'дод. 3'!F40</f>
        <v>2304000</v>
      </c>
      <c r="F188" s="184">
        <f>'дод. 3'!G40</f>
        <v>0</v>
      </c>
      <c r="G188" s="184">
        <f>'дод. 3'!H40</f>
        <v>0</v>
      </c>
      <c r="H188" s="184">
        <f>'дод. 3'!I40</f>
        <v>0</v>
      </c>
      <c r="I188" s="184">
        <f>'дод. 3'!J40</f>
        <v>2304000</v>
      </c>
      <c r="J188" s="184">
        <f>'дод. 3'!K40</f>
        <v>0</v>
      </c>
      <c r="K188" s="184">
        <f>'дод. 3'!L40</f>
        <v>0</v>
      </c>
      <c r="L188" s="184">
        <f>'дод. 3'!M40</f>
        <v>0</v>
      </c>
      <c r="M188" s="184">
        <f>'дод. 3'!N40</f>
        <v>0</v>
      </c>
      <c r="N188" s="184">
        <f>'дод. 3'!O40</f>
        <v>0</v>
      </c>
      <c r="O188" s="184">
        <f>'дод. 3'!P40</f>
        <v>0</v>
      </c>
      <c r="P188" s="184">
        <f>E188+J188</f>
        <v>2304000</v>
      </c>
      <c r="Q188" s="243"/>
      <c r="X188" s="82"/>
      <c r="Y188" s="82"/>
    </row>
    <row r="189" spans="2:25" ht="15">
      <c r="B189" s="46" t="s">
        <v>414</v>
      </c>
      <c r="C189" s="50"/>
      <c r="D189" s="60" t="s">
        <v>198</v>
      </c>
      <c r="E189" s="184">
        <f>E190</f>
        <v>4844336</v>
      </c>
      <c r="F189" s="184">
        <f aca="true" t="shared" si="39" ref="F189:O189">F190</f>
        <v>0</v>
      </c>
      <c r="G189" s="184">
        <f t="shared" si="39"/>
        <v>0</v>
      </c>
      <c r="H189" s="184">
        <f t="shared" si="39"/>
        <v>0</v>
      </c>
      <c r="I189" s="184">
        <f t="shared" si="39"/>
        <v>4844336</v>
      </c>
      <c r="J189" s="184">
        <f t="shared" si="39"/>
        <v>0</v>
      </c>
      <c r="K189" s="184">
        <f t="shared" si="39"/>
        <v>0</v>
      </c>
      <c r="L189" s="184">
        <f t="shared" si="39"/>
        <v>0</v>
      </c>
      <c r="M189" s="184">
        <f t="shared" si="39"/>
        <v>0</v>
      </c>
      <c r="N189" s="184">
        <f t="shared" si="39"/>
        <v>0</v>
      </c>
      <c r="O189" s="184">
        <f t="shared" si="39"/>
        <v>0</v>
      </c>
      <c r="P189" s="184">
        <f>E189+J189</f>
        <v>4844336</v>
      </c>
      <c r="Q189" s="243"/>
      <c r="X189" s="82"/>
      <c r="Y189" s="82"/>
    </row>
    <row r="190" spans="1:25" s="53" customFormat="1" ht="22.5" customHeight="1">
      <c r="A190" s="51"/>
      <c r="B190" s="50" t="s">
        <v>336</v>
      </c>
      <c r="C190" s="50" t="s">
        <v>337</v>
      </c>
      <c r="D190" s="61" t="s">
        <v>201</v>
      </c>
      <c r="E190" s="137">
        <f>'дод. 3'!F42</f>
        <v>4844336</v>
      </c>
      <c r="F190" s="137">
        <f>'дод. 3'!G42</f>
        <v>0</v>
      </c>
      <c r="G190" s="137">
        <f>'дод. 3'!H42</f>
        <v>0</v>
      </c>
      <c r="H190" s="137">
        <f>'дод. 3'!I42</f>
        <v>0</v>
      </c>
      <c r="I190" s="137">
        <f>'дод. 3'!J42</f>
        <v>4844336</v>
      </c>
      <c r="J190" s="137">
        <f>'дод. 3'!K42</f>
        <v>0</v>
      </c>
      <c r="K190" s="137">
        <f>'дод. 3'!L42</f>
        <v>0</v>
      </c>
      <c r="L190" s="137">
        <f>'дод. 3'!M42</f>
        <v>0</v>
      </c>
      <c r="M190" s="137">
        <f>'дод. 3'!N42</f>
        <v>0</v>
      </c>
      <c r="N190" s="137">
        <f>'дод. 3'!O42</f>
        <v>0</v>
      </c>
      <c r="O190" s="137">
        <f>'дод. 3'!P42</f>
        <v>0</v>
      </c>
      <c r="P190" s="137">
        <f>E190+J190</f>
        <v>4844336</v>
      </c>
      <c r="Q190" s="243"/>
      <c r="X190" s="126"/>
      <c r="Y190" s="126"/>
    </row>
    <row r="191" spans="2:25" ht="24" customHeight="1">
      <c r="B191" s="46" t="s">
        <v>339</v>
      </c>
      <c r="C191" s="46" t="s">
        <v>340</v>
      </c>
      <c r="D191" s="60" t="s">
        <v>19</v>
      </c>
      <c r="E191" s="184">
        <f>'дод. 3'!F43</f>
        <v>2710500</v>
      </c>
      <c r="F191" s="184">
        <f>'дод. 3'!G43</f>
        <v>0</v>
      </c>
      <c r="G191" s="184">
        <f>'дод. 3'!H43</f>
        <v>0</v>
      </c>
      <c r="H191" s="184">
        <f>'дод. 3'!I43</f>
        <v>0</v>
      </c>
      <c r="I191" s="184">
        <f>'дод. 3'!J43</f>
        <v>2710500</v>
      </c>
      <c r="J191" s="184">
        <f>'дод. 3'!K43</f>
        <v>1434400</v>
      </c>
      <c r="K191" s="184">
        <f>'дод. 3'!L43</f>
        <v>0</v>
      </c>
      <c r="L191" s="184">
        <f>'дод. 3'!M43</f>
        <v>0</v>
      </c>
      <c r="M191" s="184">
        <f>'дод. 3'!N43</f>
        <v>0</v>
      </c>
      <c r="N191" s="184">
        <f>'дод. 3'!O43</f>
        <v>1434400</v>
      </c>
      <c r="O191" s="184">
        <f>'дод. 3'!P43</f>
        <v>1434400</v>
      </c>
      <c r="P191" s="184">
        <f>E191+J191</f>
        <v>4144900</v>
      </c>
      <c r="Q191" s="243"/>
      <c r="X191" s="82"/>
      <c r="Y191" s="82"/>
    </row>
    <row r="192" spans="2:25" ht="21" customHeight="1">
      <c r="B192" s="127" t="s">
        <v>534</v>
      </c>
      <c r="C192" s="127" t="s">
        <v>536</v>
      </c>
      <c r="D192" s="66" t="s">
        <v>535</v>
      </c>
      <c r="E192" s="184">
        <f>'дод. 3'!F285</f>
        <v>0</v>
      </c>
      <c r="F192" s="184">
        <f>'дод. 3'!G285</f>
        <v>0</v>
      </c>
      <c r="G192" s="184">
        <f>'дод. 3'!H285</f>
        <v>0</v>
      </c>
      <c r="H192" s="184">
        <f>'дод. 3'!I285</f>
        <v>0</v>
      </c>
      <c r="I192" s="184">
        <f>'дод. 3'!J285</f>
        <v>0</v>
      </c>
      <c r="J192" s="184">
        <f>'дод. 3'!K285</f>
        <v>69811.6</v>
      </c>
      <c r="K192" s="184">
        <f>'дод. 3'!L285</f>
        <v>0</v>
      </c>
      <c r="L192" s="184">
        <f>'дод. 3'!M285</f>
        <v>0</v>
      </c>
      <c r="M192" s="184">
        <f>'дод. 3'!N285</f>
        <v>0</v>
      </c>
      <c r="N192" s="184">
        <f>'дод. 3'!O285</f>
        <v>69811.6</v>
      </c>
      <c r="O192" s="184">
        <f>'дод. 3'!P285</f>
        <v>0</v>
      </c>
      <c r="P192" s="184">
        <f>'дод. 3'!Q285</f>
        <v>69811.6</v>
      </c>
      <c r="Q192" s="243"/>
      <c r="X192" s="82"/>
      <c r="Y192" s="82"/>
    </row>
    <row r="193" spans="2:25" ht="25.5" customHeight="1">
      <c r="B193" s="127" t="s">
        <v>556</v>
      </c>
      <c r="C193" s="127" t="s">
        <v>334</v>
      </c>
      <c r="D193" s="60" t="s">
        <v>557</v>
      </c>
      <c r="E193" s="184">
        <f>E194</f>
        <v>33000</v>
      </c>
      <c r="F193" s="184">
        <f aca="true" t="shared" si="40" ref="F193:P193">F194</f>
        <v>0</v>
      </c>
      <c r="G193" s="184">
        <f t="shared" si="40"/>
        <v>0</v>
      </c>
      <c r="H193" s="184">
        <f t="shared" si="40"/>
        <v>0</v>
      </c>
      <c r="I193" s="184">
        <f t="shared" si="40"/>
        <v>33000</v>
      </c>
      <c r="J193" s="184">
        <f t="shared" si="40"/>
        <v>0</v>
      </c>
      <c r="K193" s="184">
        <f t="shared" si="40"/>
        <v>0</v>
      </c>
      <c r="L193" s="184">
        <f t="shared" si="40"/>
        <v>0</v>
      </c>
      <c r="M193" s="184">
        <f t="shared" si="40"/>
        <v>0</v>
      </c>
      <c r="N193" s="184">
        <f t="shared" si="40"/>
        <v>0</v>
      </c>
      <c r="O193" s="184">
        <f t="shared" si="40"/>
        <v>0</v>
      </c>
      <c r="P193" s="184">
        <f t="shared" si="40"/>
        <v>33000</v>
      </c>
      <c r="Q193" s="243"/>
      <c r="X193" s="82"/>
      <c r="Y193" s="82"/>
    </row>
    <row r="194" spans="1:25" s="53" customFormat="1" ht="30.75">
      <c r="A194" s="51"/>
      <c r="B194" s="129" t="s">
        <v>556</v>
      </c>
      <c r="C194" s="129" t="s">
        <v>334</v>
      </c>
      <c r="D194" s="61" t="s">
        <v>558</v>
      </c>
      <c r="E194" s="137">
        <f>'дод. 3'!F44</f>
        <v>33000</v>
      </c>
      <c r="F194" s="137">
        <f>'дод. 3'!G44</f>
        <v>0</v>
      </c>
      <c r="G194" s="137">
        <f>'дод. 3'!H44</f>
        <v>0</v>
      </c>
      <c r="H194" s="137">
        <f>'дод. 3'!I44</f>
        <v>0</v>
      </c>
      <c r="I194" s="137">
        <f>'дод. 3'!J44</f>
        <v>33000</v>
      </c>
      <c r="J194" s="137">
        <f>'дод. 3'!K44</f>
        <v>0</v>
      </c>
      <c r="K194" s="137">
        <f>'дод. 3'!L44</f>
        <v>0</v>
      </c>
      <c r="L194" s="137">
        <f>'дод. 3'!M44</f>
        <v>0</v>
      </c>
      <c r="M194" s="137">
        <f>'дод. 3'!N44</f>
        <v>0</v>
      </c>
      <c r="N194" s="137">
        <f>'дод. 3'!O44</f>
        <v>0</v>
      </c>
      <c r="O194" s="137">
        <f>'дод. 3'!P44</f>
        <v>0</v>
      </c>
      <c r="P194" s="137">
        <f>'дод. 3'!Q44</f>
        <v>33000</v>
      </c>
      <c r="Q194" s="243" t="s">
        <v>586</v>
      </c>
      <c r="X194" s="126"/>
      <c r="Y194" s="126"/>
    </row>
    <row r="195" spans="1:25" s="87" customFormat="1" ht="20.25" customHeight="1">
      <c r="A195" s="86"/>
      <c r="B195" s="88" t="s">
        <v>311</v>
      </c>
      <c r="C195" s="57"/>
      <c r="D195" s="91" t="s">
        <v>312</v>
      </c>
      <c r="E195" s="183">
        <f>E196</f>
        <v>256584</v>
      </c>
      <c r="F195" s="183">
        <f aca="true" t="shared" si="41" ref="F195:P196">F196</f>
        <v>256584</v>
      </c>
      <c r="G195" s="183">
        <f t="shared" si="41"/>
        <v>0</v>
      </c>
      <c r="H195" s="183">
        <f t="shared" si="41"/>
        <v>0</v>
      </c>
      <c r="I195" s="183">
        <f t="shared" si="41"/>
        <v>0</v>
      </c>
      <c r="J195" s="183">
        <f t="shared" si="41"/>
        <v>0</v>
      </c>
      <c r="K195" s="183">
        <f t="shared" si="41"/>
        <v>0</v>
      </c>
      <c r="L195" s="183">
        <f t="shared" si="41"/>
        <v>0</v>
      </c>
      <c r="M195" s="183">
        <f t="shared" si="41"/>
        <v>0</v>
      </c>
      <c r="N195" s="183">
        <f t="shared" si="41"/>
        <v>0</v>
      </c>
      <c r="O195" s="183">
        <f t="shared" si="41"/>
        <v>0</v>
      </c>
      <c r="P195" s="183">
        <f t="shared" si="41"/>
        <v>256584</v>
      </c>
      <c r="Q195" s="243"/>
      <c r="X195" s="85"/>
      <c r="Y195" s="85"/>
    </row>
    <row r="196" spans="2:25" ht="27" customHeight="1">
      <c r="B196" s="46" t="s">
        <v>313</v>
      </c>
      <c r="C196" s="57"/>
      <c r="D196" s="60" t="s">
        <v>190</v>
      </c>
      <c r="E196" s="184">
        <f>E197</f>
        <v>256584</v>
      </c>
      <c r="F196" s="184">
        <f t="shared" si="41"/>
        <v>256584</v>
      </c>
      <c r="G196" s="184">
        <f t="shared" si="41"/>
        <v>0</v>
      </c>
      <c r="H196" s="184">
        <f t="shared" si="41"/>
        <v>0</v>
      </c>
      <c r="I196" s="184">
        <f t="shared" si="41"/>
        <v>0</v>
      </c>
      <c r="J196" s="184">
        <f t="shared" si="41"/>
        <v>0</v>
      </c>
      <c r="K196" s="184">
        <f t="shared" si="41"/>
        <v>0</v>
      </c>
      <c r="L196" s="184">
        <f t="shared" si="41"/>
        <v>0</v>
      </c>
      <c r="M196" s="184">
        <f t="shared" si="41"/>
        <v>0</v>
      </c>
      <c r="N196" s="184">
        <f t="shared" si="41"/>
        <v>0</v>
      </c>
      <c r="O196" s="184">
        <f t="shared" si="41"/>
        <v>0</v>
      </c>
      <c r="P196" s="184">
        <f>E196+J196</f>
        <v>256584</v>
      </c>
      <c r="Q196" s="243"/>
      <c r="X196" s="82"/>
      <c r="Y196" s="82"/>
    </row>
    <row r="197" spans="1:25" s="53" customFormat="1" ht="21.75" customHeight="1">
      <c r="A197" s="51"/>
      <c r="B197" s="50" t="s">
        <v>314</v>
      </c>
      <c r="C197" s="50" t="s">
        <v>315</v>
      </c>
      <c r="D197" s="61" t="s">
        <v>192</v>
      </c>
      <c r="E197" s="137">
        <f>'дод. 3'!F47</f>
        <v>256584</v>
      </c>
      <c r="F197" s="137">
        <f>'дод. 3'!G47</f>
        <v>256584</v>
      </c>
      <c r="G197" s="137">
        <f>'дод. 3'!H47</f>
        <v>0</v>
      </c>
      <c r="H197" s="137">
        <f>'дод. 3'!I47</f>
        <v>0</v>
      </c>
      <c r="I197" s="137">
        <f>'дод. 3'!J47</f>
        <v>0</v>
      </c>
      <c r="J197" s="137">
        <f>'дод. 3'!K47</f>
        <v>0</v>
      </c>
      <c r="K197" s="137">
        <f>'дод. 3'!L47</f>
        <v>0</v>
      </c>
      <c r="L197" s="137">
        <f>'дод. 3'!M47</f>
        <v>0</v>
      </c>
      <c r="M197" s="137">
        <f>'дод. 3'!N47</f>
        <v>0</v>
      </c>
      <c r="N197" s="137">
        <f>'дод. 3'!O47</f>
        <v>0</v>
      </c>
      <c r="O197" s="137">
        <f>'дод. 3'!P47</f>
        <v>0</v>
      </c>
      <c r="P197" s="137">
        <f>E197+J197</f>
        <v>256584</v>
      </c>
      <c r="Q197" s="243"/>
      <c r="X197" s="126"/>
      <c r="Y197" s="126"/>
    </row>
    <row r="198" spans="1:25" s="87" customFormat="1" ht="15">
      <c r="A198" s="86"/>
      <c r="B198" s="88" t="s">
        <v>381</v>
      </c>
      <c r="C198" s="57"/>
      <c r="D198" s="91" t="s">
        <v>329</v>
      </c>
      <c r="E198" s="183">
        <f>E199</f>
        <v>1827764.67</v>
      </c>
      <c r="F198" s="183">
        <f aca="true" t="shared" si="42" ref="F198:P198">F199</f>
        <v>1827764.67</v>
      </c>
      <c r="G198" s="183">
        <f t="shared" si="42"/>
        <v>0</v>
      </c>
      <c r="H198" s="183">
        <f t="shared" si="42"/>
        <v>0</v>
      </c>
      <c r="I198" s="183">
        <f t="shared" si="42"/>
        <v>0</v>
      </c>
      <c r="J198" s="183">
        <f t="shared" si="42"/>
        <v>64343.33</v>
      </c>
      <c r="K198" s="183">
        <f t="shared" si="42"/>
        <v>14343.33</v>
      </c>
      <c r="L198" s="183">
        <f t="shared" si="42"/>
        <v>0</v>
      </c>
      <c r="M198" s="183">
        <f t="shared" si="42"/>
        <v>0</v>
      </c>
      <c r="N198" s="183">
        <f t="shared" si="42"/>
        <v>50000</v>
      </c>
      <c r="O198" s="183">
        <f t="shared" si="42"/>
        <v>50000</v>
      </c>
      <c r="P198" s="183">
        <f t="shared" si="42"/>
        <v>1892108</v>
      </c>
      <c r="Q198" s="243"/>
      <c r="X198" s="85"/>
      <c r="Y198" s="85"/>
    </row>
    <row r="199" spans="2:25" ht="15">
      <c r="B199" s="46" t="s">
        <v>413</v>
      </c>
      <c r="C199" s="46" t="s">
        <v>330</v>
      </c>
      <c r="D199" s="60" t="s">
        <v>157</v>
      </c>
      <c r="E199" s="184">
        <f>'дод. 3'!F252+'дод. 3'!F268</f>
        <v>1827764.67</v>
      </c>
      <c r="F199" s="184">
        <f>'дод. 3'!G252+'дод. 3'!G268</f>
        <v>1827764.67</v>
      </c>
      <c r="G199" s="184">
        <f>'дод. 3'!H252+'дод. 3'!H268</f>
        <v>0</v>
      </c>
      <c r="H199" s="184">
        <f>'дод. 3'!I252+'дод. 3'!I268</f>
        <v>0</v>
      </c>
      <c r="I199" s="184">
        <f>'дод. 3'!J252+'дод. 3'!J268</f>
        <v>0</v>
      </c>
      <c r="J199" s="184">
        <f>'дод. 3'!K252+'дод. 3'!K268</f>
        <v>64343.33</v>
      </c>
      <c r="K199" s="184">
        <f>'дод. 3'!L252+'дод. 3'!L268</f>
        <v>14343.33</v>
      </c>
      <c r="L199" s="184">
        <f>'дод. 3'!M252+'дод. 3'!M268</f>
        <v>0</v>
      </c>
      <c r="M199" s="184">
        <f>'дод. 3'!N252+'дод. 3'!N268</f>
        <v>0</v>
      </c>
      <c r="N199" s="184">
        <f>'дод. 3'!O252+'дод. 3'!O268</f>
        <v>50000</v>
      </c>
      <c r="O199" s="184">
        <f>'дод. 3'!P252+'дод. 3'!P268</f>
        <v>50000</v>
      </c>
      <c r="P199" s="184">
        <f>'дод. 3'!Q252+'дод. 3'!Q268</f>
        <v>1892108</v>
      </c>
      <c r="Q199" s="243"/>
      <c r="X199" s="82"/>
      <c r="Y199" s="82"/>
    </row>
    <row r="200" spans="1:25" s="87" customFormat="1" ht="24" customHeight="1">
      <c r="A200" s="86"/>
      <c r="B200" s="88" t="s">
        <v>341</v>
      </c>
      <c r="C200" s="57"/>
      <c r="D200" s="91" t="s">
        <v>342</v>
      </c>
      <c r="E200" s="183">
        <f>E202+E204+E205+E206</f>
        <v>4581158</v>
      </c>
      <c r="F200" s="183">
        <f aca="true" t="shared" si="43" ref="F200:P200">F202+F204+F205+F206</f>
        <v>3381158</v>
      </c>
      <c r="G200" s="183">
        <f t="shared" si="43"/>
        <v>0</v>
      </c>
      <c r="H200" s="183">
        <f t="shared" si="43"/>
        <v>0</v>
      </c>
      <c r="I200" s="183">
        <f t="shared" si="43"/>
        <v>1200000</v>
      </c>
      <c r="J200" s="183">
        <f t="shared" si="43"/>
        <v>138884633</v>
      </c>
      <c r="K200" s="183">
        <f t="shared" si="43"/>
        <v>0</v>
      </c>
      <c r="L200" s="183">
        <f t="shared" si="43"/>
        <v>0</v>
      </c>
      <c r="M200" s="183">
        <f t="shared" si="43"/>
        <v>0</v>
      </c>
      <c r="N200" s="183">
        <f t="shared" si="43"/>
        <v>138884633</v>
      </c>
      <c r="O200" s="183">
        <f t="shared" si="43"/>
        <v>132934633</v>
      </c>
      <c r="P200" s="183">
        <f t="shared" si="43"/>
        <v>143465791</v>
      </c>
      <c r="Q200" s="243"/>
      <c r="X200" s="85"/>
      <c r="Y200" s="85"/>
    </row>
    <row r="201" spans="1:25" s="87" customFormat="1" ht="24" customHeight="1">
      <c r="A201" s="86"/>
      <c r="B201" s="88"/>
      <c r="C201" s="57"/>
      <c r="D201" s="91" t="s">
        <v>510</v>
      </c>
      <c r="E201" s="183">
        <f>E203</f>
        <v>0</v>
      </c>
      <c r="F201" s="183">
        <f aca="true" t="shared" si="44" ref="F201:P201">F203</f>
        <v>0</v>
      </c>
      <c r="G201" s="183">
        <f t="shared" si="44"/>
        <v>0</v>
      </c>
      <c r="H201" s="183">
        <f t="shared" si="44"/>
        <v>0</v>
      </c>
      <c r="I201" s="183">
        <f t="shared" si="44"/>
        <v>0</v>
      </c>
      <c r="J201" s="183">
        <f t="shared" si="44"/>
        <v>7950000</v>
      </c>
      <c r="K201" s="183">
        <f t="shared" si="44"/>
        <v>0</v>
      </c>
      <c r="L201" s="183">
        <f t="shared" si="44"/>
        <v>0</v>
      </c>
      <c r="M201" s="183">
        <f t="shared" si="44"/>
        <v>0</v>
      </c>
      <c r="N201" s="183">
        <f t="shared" si="44"/>
        <v>7950000</v>
      </c>
      <c r="O201" s="183">
        <f t="shared" si="44"/>
        <v>2000000</v>
      </c>
      <c r="P201" s="183">
        <f t="shared" si="44"/>
        <v>7950000</v>
      </c>
      <c r="Q201" s="243"/>
      <c r="X201" s="85"/>
      <c r="Y201" s="85"/>
    </row>
    <row r="202" spans="2:25" ht="26.25" customHeight="1">
      <c r="B202" s="46" t="s">
        <v>343</v>
      </c>
      <c r="C202" s="46" t="s">
        <v>344</v>
      </c>
      <c r="D202" s="60" t="s">
        <v>158</v>
      </c>
      <c r="E202" s="184">
        <f>'дод. 3'!F95+'дод. 3'!F212+'дод. 3'!F125+'дод. 3'!F227+'дод. 3'!F253+'дод. 3'!F286</f>
        <v>2477158</v>
      </c>
      <c r="F202" s="184">
        <f>'дод. 3'!G95+'дод. 3'!G212+'дод. 3'!G125+'дод. 3'!G227+'дод. 3'!G253+'дод. 3'!G286</f>
        <v>2277158</v>
      </c>
      <c r="G202" s="184">
        <f>'дод. 3'!H95+'дод. 3'!H212+'дод. 3'!H125+'дод. 3'!H227+'дод. 3'!H253+'дод. 3'!H286</f>
        <v>0</v>
      </c>
      <c r="H202" s="184">
        <f>'дод. 3'!I95+'дод. 3'!I212+'дод. 3'!I125+'дод. 3'!I227+'дод. 3'!I253+'дод. 3'!I286</f>
        <v>0</v>
      </c>
      <c r="I202" s="184">
        <f>'дод. 3'!J95+'дод. 3'!J212+'дод. 3'!J125+'дод. 3'!J227+'дод. 3'!J253+'дод. 3'!J286</f>
        <v>200000</v>
      </c>
      <c r="J202" s="184">
        <f>'дод. 3'!K95+'дод. 3'!K212+'дод. 3'!K125+'дод. 3'!K227+'дод. 3'!K253+'дод. 3'!K286</f>
        <v>31889460</v>
      </c>
      <c r="K202" s="184">
        <f>'дод. 3'!L95+'дод. 3'!L212+'дод. 3'!L125+'дод. 3'!L227+'дод. 3'!L253+'дод. 3'!L286</f>
        <v>0</v>
      </c>
      <c r="L202" s="184">
        <f>'дод. 3'!M95+'дод. 3'!M212+'дод. 3'!M125+'дод. 3'!M227+'дод. 3'!M253+'дод. 3'!M286</f>
        <v>0</v>
      </c>
      <c r="M202" s="184">
        <f>'дод. 3'!N95+'дод. 3'!N212+'дод. 3'!N125+'дод. 3'!N227+'дод. 3'!N253+'дод. 3'!N286</f>
        <v>0</v>
      </c>
      <c r="N202" s="184">
        <f>'дод. 3'!O95+'дод. 3'!O212+'дод. 3'!O125+'дод. 3'!O227+'дод. 3'!O253+'дод. 3'!O286</f>
        <v>31889460</v>
      </c>
      <c r="O202" s="184">
        <f>'дод. 3'!P95+'дод. 3'!P212+'дод. 3'!P125+'дод. 3'!P227+'дод. 3'!P253+'дод. 3'!P286</f>
        <v>25939460</v>
      </c>
      <c r="P202" s="184">
        <f>E202+J202</f>
        <v>34366618</v>
      </c>
      <c r="Q202" s="243"/>
      <c r="X202" s="82"/>
      <c r="Y202" s="82"/>
    </row>
    <row r="203" spans="3:25" ht="21.75" customHeight="1">
      <c r="C203" s="46"/>
      <c r="D203" s="60" t="s">
        <v>510</v>
      </c>
      <c r="E203" s="184">
        <f>'дод. 3'!F126+'дод. 3'!F96</f>
        <v>0</v>
      </c>
      <c r="F203" s="184">
        <f>'дод. 3'!G126+'дод. 3'!G96</f>
        <v>0</v>
      </c>
      <c r="G203" s="184">
        <f>'дод. 3'!H126+'дод. 3'!H96</f>
        <v>0</v>
      </c>
      <c r="H203" s="184">
        <f>'дод. 3'!I126+'дод. 3'!I96</f>
        <v>0</v>
      </c>
      <c r="I203" s="184">
        <f>'дод. 3'!J126+'дод. 3'!J96</f>
        <v>0</v>
      </c>
      <c r="J203" s="184">
        <f>'дод. 3'!K126+'дод. 3'!K96</f>
        <v>7950000</v>
      </c>
      <c r="K203" s="184">
        <f>'дод. 3'!L126+'дод. 3'!L96</f>
        <v>0</v>
      </c>
      <c r="L203" s="184">
        <f>'дод. 3'!M126+'дод. 3'!M96</f>
        <v>0</v>
      </c>
      <c r="M203" s="184">
        <f>'дод. 3'!N126+'дод. 3'!N96</f>
        <v>0</v>
      </c>
      <c r="N203" s="184">
        <f>'дод. 3'!O126+'дод. 3'!O96</f>
        <v>7950000</v>
      </c>
      <c r="O203" s="184">
        <f>'дод. 3'!P126+'дод. 3'!P96</f>
        <v>2000000</v>
      </c>
      <c r="P203" s="184">
        <f>'дод. 3'!Q126+'дод. 3'!Q96</f>
        <v>7950000</v>
      </c>
      <c r="Q203" s="243"/>
      <c r="X203" s="82"/>
      <c r="Y203" s="82"/>
    </row>
    <row r="204" spans="2:25" ht="24.75" customHeight="1">
      <c r="B204" s="46" t="s">
        <v>345</v>
      </c>
      <c r="C204" s="46" t="s">
        <v>346</v>
      </c>
      <c r="D204" s="60" t="s">
        <v>58</v>
      </c>
      <c r="E204" s="184">
        <f>'дод. 3'!F48+'дод. 3'!F269</f>
        <v>1309200</v>
      </c>
      <c r="F204" s="184">
        <f>'дод. 3'!G48+'дод. 3'!G269</f>
        <v>309200</v>
      </c>
      <c r="G204" s="184">
        <f>'дод. 3'!H48+'дод. 3'!H269</f>
        <v>0</v>
      </c>
      <c r="H204" s="184">
        <f>'дод. 3'!I48+'дод. 3'!I269</f>
        <v>0</v>
      </c>
      <c r="I204" s="184">
        <f>'дод. 3'!J48+'дод. 3'!J269</f>
        <v>1000000</v>
      </c>
      <c r="J204" s="184">
        <f>'дод. 3'!K48+'дод. 3'!K269</f>
        <v>32000</v>
      </c>
      <c r="K204" s="184">
        <f>'дод. 3'!L48+'дод. 3'!L269</f>
        <v>0</v>
      </c>
      <c r="L204" s="184">
        <f>'дод. 3'!M48+'дод. 3'!M269</f>
        <v>0</v>
      </c>
      <c r="M204" s="184">
        <f>'дод. 3'!N48+'дод. 3'!N269</f>
        <v>0</v>
      </c>
      <c r="N204" s="184">
        <f>'дод. 3'!O48+'дод. 3'!O269</f>
        <v>32000</v>
      </c>
      <c r="O204" s="184">
        <f>'дод. 3'!P48+'дод. 3'!P269</f>
        <v>32000</v>
      </c>
      <c r="P204" s="184">
        <f>E204+J204</f>
        <v>1341200</v>
      </c>
      <c r="Q204" s="243"/>
      <c r="X204" s="82"/>
      <c r="Y204" s="82"/>
    </row>
    <row r="205" spans="2:25" ht="24.75" customHeight="1">
      <c r="B205" s="46" t="s">
        <v>347</v>
      </c>
      <c r="C205" s="46" t="s">
        <v>326</v>
      </c>
      <c r="D205" s="60" t="s">
        <v>60</v>
      </c>
      <c r="E205" s="184">
        <f>'дод. 3'!F287+'дод. 3'!F254+'дод. 3'!F49+'дод. 3'!F299</f>
        <v>0</v>
      </c>
      <c r="F205" s="184">
        <f>'дод. 3'!G287+'дод. 3'!G254+'дод. 3'!G49+'дод. 3'!G299</f>
        <v>0</v>
      </c>
      <c r="G205" s="184">
        <f>'дод. 3'!H287+'дод. 3'!H254+'дод. 3'!H49+'дод. 3'!H299</f>
        <v>0</v>
      </c>
      <c r="H205" s="184">
        <f>'дод. 3'!I287+'дод. 3'!I254+'дод. 3'!I49+'дод. 3'!I299</f>
        <v>0</v>
      </c>
      <c r="I205" s="184">
        <f>'дод. 3'!J287+'дод. 3'!J254+'дод. 3'!J49+'дод. 3'!J299</f>
        <v>0</v>
      </c>
      <c r="J205" s="184">
        <f>'дод. 3'!K287+'дод. 3'!K254+'дод. 3'!K49+'дод. 3'!K299</f>
        <v>106963173</v>
      </c>
      <c r="K205" s="184">
        <f>'дод. 3'!L287+'дод. 3'!L254+'дод. 3'!L49+'дод. 3'!L299</f>
        <v>0</v>
      </c>
      <c r="L205" s="184">
        <f>'дод. 3'!M287+'дод. 3'!M254+'дод. 3'!M49+'дод. 3'!M299</f>
        <v>0</v>
      </c>
      <c r="M205" s="184">
        <f>'дод. 3'!N287+'дод. 3'!N254+'дод. 3'!N49+'дод. 3'!N299</f>
        <v>0</v>
      </c>
      <c r="N205" s="184">
        <f>'дод. 3'!O287+'дод. 3'!O254+'дод. 3'!O49+'дод. 3'!O299</f>
        <v>106963173</v>
      </c>
      <c r="O205" s="184">
        <f>'дод. 3'!P287+'дод. 3'!P254+'дод. 3'!P49+'дод. 3'!P299</f>
        <v>106963173</v>
      </c>
      <c r="P205" s="184">
        <f>'дод. 3'!Q287+'дод. 3'!Q254+'дод. 3'!Q49+'дод. 3'!Q299</f>
        <v>106963173</v>
      </c>
      <c r="Q205" s="243"/>
      <c r="X205" s="82"/>
      <c r="Y205" s="82"/>
    </row>
    <row r="206" spans="2:25" ht="24.75" customHeight="1">
      <c r="B206" s="46" t="s">
        <v>348</v>
      </c>
      <c r="C206" s="46" t="s">
        <v>346</v>
      </c>
      <c r="D206" s="60" t="s">
        <v>20</v>
      </c>
      <c r="E206" s="184">
        <f>E207</f>
        <v>794800</v>
      </c>
      <c r="F206" s="184">
        <f aca="true" t="shared" si="45" ref="F206:P206">F207</f>
        <v>794800</v>
      </c>
      <c r="G206" s="184">
        <f t="shared" si="45"/>
        <v>0</v>
      </c>
      <c r="H206" s="184">
        <f t="shared" si="45"/>
        <v>0</v>
      </c>
      <c r="I206" s="184">
        <f t="shared" si="45"/>
        <v>0</v>
      </c>
      <c r="J206" s="184">
        <f t="shared" si="45"/>
        <v>0</v>
      </c>
      <c r="K206" s="184">
        <f t="shared" si="45"/>
        <v>0</v>
      </c>
      <c r="L206" s="184">
        <f t="shared" si="45"/>
        <v>0</v>
      </c>
      <c r="M206" s="184">
        <f t="shared" si="45"/>
        <v>0</v>
      </c>
      <c r="N206" s="184">
        <f t="shared" si="45"/>
        <v>0</v>
      </c>
      <c r="O206" s="184">
        <f t="shared" si="45"/>
        <v>0</v>
      </c>
      <c r="P206" s="184">
        <f t="shared" si="45"/>
        <v>794800</v>
      </c>
      <c r="Q206" s="243"/>
      <c r="X206" s="82"/>
      <c r="Y206" s="82"/>
    </row>
    <row r="207" spans="1:25" s="53" customFormat="1" ht="38.25" customHeight="1">
      <c r="A207" s="51"/>
      <c r="B207" s="50" t="s">
        <v>348</v>
      </c>
      <c r="C207" s="50" t="s">
        <v>346</v>
      </c>
      <c r="D207" s="61" t="s">
        <v>204</v>
      </c>
      <c r="E207" s="137">
        <f>'дод. 3'!F51</f>
        <v>794800</v>
      </c>
      <c r="F207" s="137">
        <f>'дод. 3'!G51</f>
        <v>794800</v>
      </c>
      <c r="G207" s="137">
        <f>'дод. 3'!H51</f>
        <v>0</v>
      </c>
      <c r="H207" s="137">
        <f>'дод. 3'!I51</f>
        <v>0</v>
      </c>
      <c r="I207" s="137">
        <f>'дод. 3'!J51</f>
        <v>0</v>
      </c>
      <c r="J207" s="137">
        <f>'дод. 3'!K51</f>
        <v>0</v>
      </c>
      <c r="K207" s="137">
        <f>'дод. 3'!L51</f>
        <v>0</v>
      </c>
      <c r="L207" s="137">
        <f>'дод. 3'!M51</f>
        <v>0</v>
      </c>
      <c r="M207" s="137">
        <f>'дод. 3'!N51</f>
        <v>0</v>
      </c>
      <c r="N207" s="137">
        <f>'дод. 3'!O51</f>
        <v>0</v>
      </c>
      <c r="O207" s="137">
        <f>'дод. 3'!P51</f>
        <v>0</v>
      </c>
      <c r="P207" s="137">
        <f>E207+J207</f>
        <v>794800</v>
      </c>
      <c r="Q207" s="243"/>
      <c r="X207" s="82"/>
      <c r="Y207" s="82"/>
    </row>
    <row r="208" spans="1:25" s="87" customFormat="1" ht="15">
      <c r="A208" s="86"/>
      <c r="B208" s="88" t="s">
        <v>349</v>
      </c>
      <c r="C208" s="88"/>
      <c r="D208" s="91" t="s">
        <v>350</v>
      </c>
      <c r="E208" s="183">
        <f>E209</f>
        <v>199733</v>
      </c>
      <c r="F208" s="183">
        <f aca="true" t="shared" si="46" ref="F208:P208">F209</f>
        <v>199733</v>
      </c>
      <c r="G208" s="183">
        <f t="shared" si="46"/>
        <v>0</v>
      </c>
      <c r="H208" s="183">
        <f t="shared" si="46"/>
        <v>0</v>
      </c>
      <c r="I208" s="183">
        <f t="shared" si="46"/>
        <v>0</v>
      </c>
      <c r="J208" s="183">
        <f t="shared" si="46"/>
        <v>0</v>
      </c>
      <c r="K208" s="183">
        <f t="shared" si="46"/>
        <v>0</v>
      </c>
      <c r="L208" s="183">
        <f t="shared" si="46"/>
        <v>0</v>
      </c>
      <c r="M208" s="183">
        <f t="shared" si="46"/>
        <v>0</v>
      </c>
      <c r="N208" s="183">
        <f t="shared" si="46"/>
        <v>0</v>
      </c>
      <c r="O208" s="183">
        <f t="shared" si="46"/>
        <v>0</v>
      </c>
      <c r="P208" s="183">
        <f t="shared" si="46"/>
        <v>199733</v>
      </c>
      <c r="Q208" s="243"/>
      <c r="X208" s="85"/>
      <c r="Y208" s="85"/>
    </row>
    <row r="209" spans="2:25" ht="29.25" customHeight="1">
      <c r="B209" s="46" t="s">
        <v>351</v>
      </c>
      <c r="C209" s="46" t="s">
        <v>352</v>
      </c>
      <c r="D209" s="60" t="s">
        <v>23</v>
      </c>
      <c r="E209" s="184">
        <f>'дод. 3'!F255</f>
        <v>199733</v>
      </c>
      <c r="F209" s="184">
        <f>'дод. 3'!G255</f>
        <v>199733</v>
      </c>
      <c r="G209" s="184">
        <f>'дод. 3'!H255</f>
        <v>0</v>
      </c>
      <c r="H209" s="184">
        <f>'дод. 3'!I255</f>
        <v>0</v>
      </c>
      <c r="I209" s="184">
        <f>'дод. 3'!J255</f>
        <v>0</v>
      </c>
      <c r="J209" s="184">
        <f>'дод. 3'!K255</f>
        <v>0</v>
      </c>
      <c r="K209" s="184">
        <f>'дод. 3'!L255</f>
        <v>0</v>
      </c>
      <c r="L209" s="184">
        <f>'дод. 3'!M255</f>
        <v>0</v>
      </c>
      <c r="M209" s="184">
        <f>'дод. 3'!N255</f>
        <v>0</v>
      </c>
      <c r="N209" s="184">
        <f>'дод. 3'!O255</f>
        <v>0</v>
      </c>
      <c r="O209" s="184">
        <f>'дод. 3'!P255</f>
        <v>0</v>
      </c>
      <c r="P209" s="184">
        <f>E209+J209</f>
        <v>199733</v>
      </c>
      <c r="Q209" s="243"/>
      <c r="X209" s="82"/>
      <c r="Y209" s="82"/>
    </row>
    <row r="210" spans="1:25" s="87" customFormat="1" ht="30.75">
      <c r="A210" s="86"/>
      <c r="B210" s="88" t="s">
        <v>353</v>
      </c>
      <c r="C210" s="57"/>
      <c r="D210" s="91" t="s">
        <v>354</v>
      </c>
      <c r="E210" s="183">
        <f>E212+E213+E211</f>
        <v>2527731.5300000003</v>
      </c>
      <c r="F210" s="183">
        <f aca="true" t="shared" si="47" ref="F210:P210">F212+F213+F211</f>
        <v>2527731.5300000003</v>
      </c>
      <c r="G210" s="183">
        <f t="shared" si="47"/>
        <v>965400</v>
      </c>
      <c r="H210" s="183">
        <f t="shared" si="47"/>
        <v>56898</v>
      </c>
      <c r="I210" s="183">
        <f t="shared" si="47"/>
        <v>0</v>
      </c>
      <c r="J210" s="183">
        <f t="shared" si="47"/>
        <v>5852804</v>
      </c>
      <c r="K210" s="183">
        <f t="shared" si="47"/>
        <v>4900</v>
      </c>
      <c r="L210" s="183">
        <f t="shared" si="47"/>
        <v>0</v>
      </c>
      <c r="M210" s="183">
        <f t="shared" si="47"/>
        <v>1000</v>
      </c>
      <c r="N210" s="183">
        <f t="shared" si="47"/>
        <v>5847904</v>
      </c>
      <c r="O210" s="183">
        <f t="shared" si="47"/>
        <v>5847904</v>
      </c>
      <c r="P210" s="183">
        <f t="shared" si="47"/>
        <v>8380535.53</v>
      </c>
      <c r="Q210" s="243"/>
      <c r="X210" s="85"/>
      <c r="Y210" s="85"/>
    </row>
    <row r="211" spans="1:25" s="87" customFormat="1" ht="39.75" customHeight="1">
      <c r="A211" s="86"/>
      <c r="B211" s="127" t="s">
        <v>544</v>
      </c>
      <c r="C211" s="127" t="s">
        <v>358</v>
      </c>
      <c r="D211" s="60" t="s">
        <v>545</v>
      </c>
      <c r="E211" s="184">
        <f>'дод. 3'!F213+'дод. 3'!F256+'дод. 3'!F52</f>
        <v>907461.53</v>
      </c>
      <c r="F211" s="184">
        <f>'дод. 3'!G213+'дод. 3'!G256+'дод. 3'!G52</f>
        <v>907461.53</v>
      </c>
      <c r="G211" s="184">
        <f>'дод. 3'!H213+'дод. 3'!H256+'дод. 3'!H52</f>
        <v>0</v>
      </c>
      <c r="H211" s="184">
        <f>'дод. 3'!I213+'дод. 3'!I256+'дод. 3'!I52</f>
        <v>0</v>
      </c>
      <c r="I211" s="184">
        <f>'дод. 3'!J213+'дод. 3'!J256+'дод. 3'!J52</f>
        <v>0</v>
      </c>
      <c r="J211" s="184">
        <f>'дод. 3'!K213+'дод. 3'!K256+'дод. 3'!K52</f>
        <v>5462904</v>
      </c>
      <c r="K211" s="184">
        <f>'дод. 3'!L213+'дод. 3'!L256+'дод. 3'!L52</f>
        <v>0</v>
      </c>
      <c r="L211" s="184">
        <f>'дод. 3'!M213+'дод. 3'!M256+'дод. 3'!M52</f>
        <v>0</v>
      </c>
      <c r="M211" s="184">
        <f>'дод. 3'!N213+'дод. 3'!N256+'дод. 3'!N52</f>
        <v>0</v>
      </c>
      <c r="N211" s="184">
        <f>'дод. 3'!O213+'дод. 3'!O256+'дод. 3'!O52</f>
        <v>5462904</v>
      </c>
      <c r="O211" s="184">
        <f>'дод. 3'!P213+'дод. 3'!P256+'дод. 3'!P52</f>
        <v>5462904</v>
      </c>
      <c r="P211" s="184">
        <f>'дод. 3'!Q213+'дод. 3'!Q256+'дод. 3'!Q52</f>
        <v>6370365.53</v>
      </c>
      <c r="Q211" s="243"/>
      <c r="X211" s="85"/>
      <c r="Y211" s="85"/>
    </row>
    <row r="212" spans="2:25" ht="42" customHeight="1">
      <c r="B212" s="46" t="s">
        <v>355</v>
      </c>
      <c r="C212" s="46" t="s">
        <v>356</v>
      </c>
      <c r="D212" s="60" t="s">
        <v>65</v>
      </c>
      <c r="E212" s="184">
        <f>'дод. 3'!F53</f>
        <v>345692</v>
      </c>
      <c r="F212" s="184">
        <f>'дод. 3'!G53</f>
        <v>345692</v>
      </c>
      <c r="G212" s="184">
        <f>'дод. 3'!H53</f>
        <v>0</v>
      </c>
      <c r="H212" s="184">
        <f>'дод. 3'!I53</f>
        <v>5300</v>
      </c>
      <c r="I212" s="184">
        <f>'дод. 3'!J53</f>
        <v>0</v>
      </c>
      <c r="J212" s="184">
        <f>'дод. 3'!K53</f>
        <v>385000</v>
      </c>
      <c r="K212" s="184">
        <f>'дод. 3'!L53</f>
        <v>0</v>
      </c>
      <c r="L212" s="184">
        <f>'дод. 3'!M53</f>
        <v>0</v>
      </c>
      <c r="M212" s="184">
        <f>'дод. 3'!N53</f>
        <v>0</v>
      </c>
      <c r="N212" s="184">
        <f>'дод. 3'!O53</f>
        <v>385000</v>
      </c>
      <c r="O212" s="184">
        <f>'дод. 3'!P53</f>
        <v>385000</v>
      </c>
      <c r="P212" s="184">
        <f>E212+J212</f>
        <v>730692</v>
      </c>
      <c r="Q212" s="243"/>
      <c r="X212" s="82"/>
      <c r="Y212" s="82"/>
    </row>
    <row r="213" spans="2:25" ht="21.75" customHeight="1">
      <c r="B213" s="46" t="s">
        <v>357</v>
      </c>
      <c r="C213" s="59" t="s">
        <v>358</v>
      </c>
      <c r="D213" s="60" t="s">
        <v>63</v>
      </c>
      <c r="E213" s="184">
        <f>'дод. 3'!F54</f>
        <v>1274578</v>
      </c>
      <c r="F213" s="184">
        <f>'дод. 3'!G54</f>
        <v>1274578</v>
      </c>
      <c r="G213" s="184">
        <f>'дод. 3'!H54</f>
        <v>965400</v>
      </c>
      <c r="H213" s="184">
        <f>'дод. 3'!I54</f>
        <v>51598</v>
      </c>
      <c r="I213" s="184">
        <f>'дод. 3'!J54</f>
        <v>0</v>
      </c>
      <c r="J213" s="184">
        <f>'дод. 3'!K54</f>
        <v>4900</v>
      </c>
      <c r="K213" s="184">
        <f>'дод. 3'!L54</f>
        <v>4900</v>
      </c>
      <c r="L213" s="184">
        <f>'дод. 3'!M54</f>
        <v>0</v>
      </c>
      <c r="M213" s="184">
        <f>'дод. 3'!N54</f>
        <v>1000</v>
      </c>
      <c r="N213" s="184">
        <f>'дод. 3'!O54</f>
        <v>0</v>
      </c>
      <c r="O213" s="184">
        <f>'дод. 3'!P54</f>
        <v>0</v>
      </c>
      <c r="P213" s="184">
        <f>E213+J213</f>
        <v>1279478</v>
      </c>
      <c r="Q213" s="243"/>
      <c r="X213" s="82"/>
      <c r="Y213" s="82"/>
    </row>
    <row r="214" spans="1:25" s="87" customFormat="1" ht="26.25" customHeight="1">
      <c r="A214" s="86"/>
      <c r="B214" s="88" t="s">
        <v>372</v>
      </c>
      <c r="C214" s="56"/>
      <c r="D214" s="91" t="s">
        <v>373</v>
      </c>
      <c r="E214" s="183">
        <f>E215+E216+E218</f>
        <v>15431138.95</v>
      </c>
      <c r="F214" s="183">
        <f aca="true" t="shared" si="48" ref="F214:P214">F215+F216+F218</f>
        <v>11481410.48</v>
      </c>
      <c r="G214" s="183">
        <f t="shared" si="48"/>
        <v>0</v>
      </c>
      <c r="H214" s="183">
        <f t="shared" si="48"/>
        <v>314530</v>
      </c>
      <c r="I214" s="183">
        <f t="shared" si="48"/>
        <v>0</v>
      </c>
      <c r="J214" s="183">
        <f t="shared" si="48"/>
        <v>3270121.46</v>
      </c>
      <c r="K214" s="183">
        <f t="shared" si="48"/>
        <v>52810.46</v>
      </c>
      <c r="L214" s="183">
        <f t="shared" si="48"/>
        <v>0</v>
      </c>
      <c r="M214" s="183">
        <f t="shared" si="48"/>
        <v>0</v>
      </c>
      <c r="N214" s="183">
        <f t="shared" si="48"/>
        <v>3217311</v>
      </c>
      <c r="O214" s="183">
        <f t="shared" si="48"/>
        <v>3217311</v>
      </c>
      <c r="P214" s="183">
        <f t="shared" si="48"/>
        <v>18701260.41</v>
      </c>
      <c r="Q214" s="243"/>
      <c r="X214" s="85"/>
      <c r="Y214" s="85"/>
    </row>
    <row r="215" spans="2:25" ht="27.75" customHeight="1">
      <c r="B215" s="46" t="s">
        <v>374</v>
      </c>
      <c r="C215" s="46" t="s">
        <v>371</v>
      </c>
      <c r="D215" s="60" t="s">
        <v>29</v>
      </c>
      <c r="E215" s="188">
        <f>'дод. 3'!F317</f>
        <v>3949728.4699999997</v>
      </c>
      <c r="F215" s="188">
        <f>'дод. 3'!G317</f>
        <v>0</v>
      </c>
      <c r="G215" s="188">
        <f>'дод. 3'!H317</f>
        <v>0</v>
      </c>
      <c r="H215" s="188">
        <f>'дод. 3'!I317</f>
        <v>0</v>
      </c>
      <c r="I215" s="188">
        <f>'дод. 3'!J317</f>
        <v>0</v>
      </c>
      <c r="J215" s="188">
        <f>'дод. 3'!K317</f>
        <v>0</v>
      </c>
      <c r="K215" s="188">
        <f>'дод. 3'!L317</f>
        <v>0</v>
      </c>
      <c r="L215" s="188">
        <f>'дод. 3'!M317</f>
        <v>0</v>
      </c>
      <c r="M215" s="188">
        <f>'дод. 3'!N317</f>
        <v>0</v>
      </c>
      <c r="N215" s="188">
        <f>'дод. 3'!O317</f>
        <v>0</v>
      </c>
      <c r="O215" s="188">
        <f>'дод. 3'!P317</f>
        <v>0</v>
      </c>
      <c r="P215" s="188">
        <f aca="true" t="shared" si="49" ref="P215:P236">E215+J215</f>
        <v>3949728.4699999997</v>
      </c>
      <c r="Q215" s="243"/>
      <c r="T215" s="82"/>
      <c r="X215" s="82"/>
      <c r="Y215" s="82"/>
    </row>
    <row r="216" spans="2:25" ht="36.75" customHeight="1">
      <c r="B216" s="46" t="s">
        <v>376</v>
      </c>
      <c r="C216" s="55"/>
      <c r="D216" s="60" t="s">
        <v>178</v>
      </c>
      <c r="E216" s="184">
        <f>E217</f>
        <v>84900</v>
      </c>
      <c r="F216" s="184">
        <f aca="true" t="shared" si="50" ref="F216:P216">F217</f>
        <v>84900</v>
      </c>
      <c r="G216" s="184">
        <f t="shared" si="50"/>
        <v>0</v>
      </c>
      <c r="H216" s="184">
        <f t="shared" si="50"/>
        <v>0</v>
      </c>
      <c r="I216" s="184">
        <f t="shared" si="50"/>
        <v>0</v>
      </c>
      <c r="J216" s="184">
        <f t="shared" si="50"/>
        <v>52810.46</v>
      </c>
      <c r="K216" s="184">
        <f t="shared" si="50"/>
        <v>52810.46</v>
      </c>
      <c r="L216" s="184">
        <f t="shared" si="50"/>
        <v>0</v>
      </c>
      <c r="M216" s="184">
        <f t="shared" si="50"/>
        <v>0</v>
      </c>
      <c r="N216" s="184">
        <f t="shared" si="50"/>
        <v>0</v>
      </c>
      <c r="O216" s="184">
        <f t="shared" si="50"/>
        <v>0</v>
      </c>
      <c r="P216" s="184">
        <f t="shared" si="50"/>
        <v>137710.46</v>
      </c>
      <c r="Q216" s="243"/>
      <c r="X216" s="82"/>
      <c r="Y216" s="82"/>
    </row>
    <row r="217" spans="2:25" ht="52.5" customHeight="1">
      <c r="B217" s="46" t="s">
        <v>377</v>
      </c>
      <c r="C217" s="54" t="s">
        <v>259</v>
      </c>
      <c r="D217" s="61" t="s">
        <v>176</v>
      </c>
      <c r="E217" s="137">
        <f>'дод. 3'!F289</f>
        <v>84900</v>
      </c>
      <c r="F217" s="137">
        <f>'дод. 3'!G289</f>
        <v>84900</v>
      </c>
      <c r="G217" s="137">
        <f>'дод. 3'!H289</f>
        <v>0</v>
      </c>
      <c r="H217" s="137">
        <f>'дод. 3'!I289</f>
        <v>0</v>
      </c>
      <c r="I217" s="137">
        <f>'дод. 3'!J289</f>
        <v>0</v>
      </c>
      <c r="J217" s="137">
        <f>'дод. 3'!K289</f>
        <v>52810.46</v>
      </c>
      <c r="K217" s="137">
        <f>'дод. 3'!L289</f>
        <v>52810.46</v>
      </c>
      <c r="L217" s="137">
        <f>'дод. 3'!M289</f>
        <v>0</v>
      </c>
      <c r="M217" s="137">
        <f>'дод. 3'!N289</f>
        <v>0</v>
      </c>
      <c r="N217" s="137">
        <f>'дод. 3'!O289</f>
        <v>0</v>
      </c>
      <c r="O217" s="137">
        <f>'дод. 3'!P289</f>
        <v>0</v>
      </c>
      <c r="P217" s="137">
        <f t="shared" si="49"/>
        <v>137710.46</v>
      </c>
      <c r="Q217" s="243"/>
      <c r="X217" s="82"/>
      <c r="Y217" s="82"/>
    </row>
    <row r="218" spans="2:25" ht="24.75" customHeight="1">
      <c r="B218" s="46" t="s">
        <v>375</v>
      </c>
      <c r="C218" s="46" t="s">
        <v>371</v>
      </c>
      <c r="D218" s="60" t="s">
        <v>16</v>
      </c>
      <c r="E218" s="184">
        <f>E219+E220+E221+E222+E223+E224+E225+E226+E227+E228+E229+E230</f>
        <v>11396510.48</v>
      </c>
      <c r="F218" s="184">
        <f aca="true" t="shared" si="51" ref="F218:P218">F219+F220+F221+F222+F223+F224+F225+F226+F227+F228+F229+F230</f>
        <v>11396510.48</v>
      </c>
      <c r="G218" s="184">
        <f t="shared" si="51"/>
        <v>0</v>
      </c>
      <c r="H218" s="184">
        <f t="shared" si="51"/>
        <v>314530</v>
      </c>
      <c r="I218" s="184">
        <f t="shared" si="51"/>
        <v>0</v>
      </c>
      <c r="J218" s="184">
        <f t="shared" si="51"/>
        <v>3217311</v>
      </c>
      <c r="K218" s="184">
        <f t="shared" si="51"/>
        <v>0</v>
      </c>
      <c r="L218" s="184">
        <f t="shared" si="51"/>
        <v>0</v>
      </c>
      <c r="M218" s="184">
        <f t="shared" si="51"/>
        <v>0</v>
      </c>
      <c r="N218" s="184">
        <f t="shared" si="51"/>
        <v>3217311</v>
      </c>
      <c r="O218" s="184">
        <f t="shared" si="51"/>
        <v>3217311</v>
      </c>
      <c r="P218" s="184">
        <f t="shared" si="51"/>
        <v>14613821.48</v>
      </c>
      <c r="Q218" s="243"/>
      <c r="X218" s="82"/>
      <c r="Y218" s="82"/>
    </row>
    <row r="219" spans="1:25" s="53" customFormat="1" ht="44.25" customHeight="1">
      <c r="A219" s="51"/>
      <c r="B219" s="50" t="s">
        <v>375</v>
      </c>
      <c r="C219" s="55" t="s">
        <v>371</v>
      </c>
      <c r="D219" s="61" t="s">
        <v>245</v>
      </c>
      <c r="E219" s="137">
        <f>'дод. 3'!F57</f>
        <v>692310</v>
      </c>
      <c r="F219" s="137">
        <f>'дод. 3'!G57</f>
        <v>692310</v>
      </c>
      <c r="G219" s="137">
        <f>'дод. 3'!H57</f>
        <v>0</v>
      </c>
      <c r="H219" s="137">
        <f>'дод. 3'!I57</f>
        <v>261530</v>
      </c>
      <c r="I219" s="137">
        <f>'дод. 3'!J57</f>
        <v>0</v>
      </c>
      <c r="J219" s="137">
        <f>'дод. 3'!K57</f>
        <v>0</v>
      </c>
      <c r="K219" s="137">
        <f>'дод. 3'!L57</f>
        <v>0</v>
      </c>
      <c r="L219" s="137">
        <f>'дод. 3'!M57</f>
        <v>0</v>
      </c>
      <c r="M219" s="137">
        <f>'дод. 3'!N57</f>
        <v>0</v>
      </c>
      <c r="N219" s="137">
        <f>'дод. 3'!O57</f>
        <v>0</v>
      </c>
      <c r="O219" s="137">
        <f>'дод. 3'!P57</f>
        <v>0</v>
      </c>
      <c r="P219" s="137">
        <f t="shared" si="49"/>
        <v>692310</v>
      </c>
      <c r="Q219" s="243"/>
      <c r="X219" s="126"/>
      <c r="Y219" s="126"/>
    </row>
    <row r="220" spans="1:25" s="53" customFormat="1" ht="37.5" customHeight="1">
      <c r="A220" s="51"/>
      <c r="B220" s="50" t="s">
        <v>375</v>
      </c>
      <c r="C220" s="55" t="s">
        <v>371</v>
      </c>
      <c r="D220" s="61" t="s">
        <v>424</v>
      </c>
      <c r="E220" s="137">
        <f>'дод. 3'!F58</f>
        <v>160580</v>
      </c>
      <c r="F220" s="137">
        <f>'дод. 3'!G58</f>
        <v>160580</v>
      </c>
      <c r="G220" s="137">
        <f>'дод. 3'!H58</f>
        <v>0</v>
      </c>
      <c r="H220" s="137">
        <f>'дод. 3'!I58</f>
        <v>0</v>
      </c>
      <c r="I220" s="137">
        <f>'дод. 3'!J58</f>
        <v>0</v>
      </c>
      <c r="J220" s="137">
        <f>'дод. 3'!K58</f>
        <v>0</v>
      </c>
      <c r="K220" s="137">
        <f>'дод. 3'!L58</f>
        <v>0</v>
      </c>
      <c r="L220" s="137">
        <f>'дод. 3'!M58</f>
        <v>0</v>
      </c>
      <c r="M220" s="137">
        <f>'дод. 3'!N58</f>
        <v>0</v>
      </c>
      <c r="N220" s="137">
        <f>'дод. 3'!O58</f>
        <v>0</v>
      </c>
      <c r="O220" s="137">
        <f>'дод. 3'!P58</f>
        <v>0</v>
      </c>
      <c r="P220" s="137">
        <f>'дод. 3'!Q58</f>
        <v>160580</v>
      </c>
      <c r="Q220" s="243"/>
      <c r="X220" s="126"/>
      <c r="Y220" s="126"/>
    </row>
    <row r="221" spans="1:25" s="53" customFormat="1" ht="42.75" customHeight="1">
      <c r="A221" s="51"/>
      <c r="B221" s="50" t="s">
        <v>375</v>
      </c>
      <c r="C221" s="55" t="s">
        <v>371</v>
      </c>
      <c r="D221" s="61" t="s">
        <v>505</v>
      </c>
      <c r="E221" s="137">
        <f>'дод. 3'!F59</f>
        <v>3975600</v>
      </c>
      <c r="F221" s="137">
        <f>'дод. 3'!G59</f>
        <v>3975600</v>
      </c>
      <c r="G221" s="137">
        <f>'дод. 3'!H59</f>
        <v>0</v>
      </c>
      <c r="H221" s="137">
        <f>'дод. 3'!I59</f>
        <v>0</v>
      </c>
      <c r="I221" s="137">
        <f>'дод. 3'!J59</f>
        <v>0</v>
      </c>
      <c r="J221" s="137">
        <f>'дод. 3'!K59</f>
        <v>3083718</v>
      </c>
      <c r="K221" s="137">
        <f>'дод. 3'!L59</f>
        <v>0</v>
      </c>
      <c r="L221" s="137">
        <f>'дод. 3'!M59</f>
        <v>0</v>
      </c>
      <c r="M221" s="137">
        <f>'дод. 3'!N59</f>
        <v>0</v>
      </c>
      <c r="N221" s="137">
        <f>'дод. 3'!O59</f>
        <v>3083718</v>
      </c>
      <c r="O221" s="137">
        <f>'дод. 3'!P59</f>
        <v>3083718</v>
      </c>
      <c r="P221" s="137">
        <f t="shared" si="49"/>
        <v>7059318</v>
      </c>
      <c r="Q221" s="243"/>
      <c r="X221" s="126"/>
      <c r="Y221" s="126"/>
    </row>
    <row r="222" spans="1:25" s="53" customFormat="1" ht="33" customHeight="1">
      <c r="A222" s="51"/>
      <c r="B222" s="50" t="s">
        <v>375</v>
      </c>
      <c r="C222" s="55" t="s">
        <v>371</v>
      </c>
      <c r="D222" s="61" t="s">
        <v>204</v>
      </c>
      <c r="E222" s="137">
        <f>'дод. 3'!F60</f>
        <v>1291350</v>
      </c>
      <c r="F222" s="137">
        <f>'дод. 3'!G60</f>
        <v>1291350</v>
      </c>
      <c r="G222" s="137">
        <f>'дод. 3'!H60</f>
        <v>0</v>
      </c>
      <c r="H222" s="137">
        <f>'дод. 3'!I60</f>
        <v>0</v>
      </c>
      <c r="I222" s="137">
        <f>'дод. 3'!J60</f>
        <v>0</v>
      </c>
      <c r="J222" s="137">
        <f>'дод. 3'!K60</f>
        <v>26000</v>
      </c>
      <c r="K222" s="137">
        <f>'дод. 3'!L60</f>
        <v>0</v>
      </c>
      <c r="L222" s="137">
        <f>'дод. 3'!M60</f>
        <v>0</v>
      </c>
      <c r="M222" s="137">
        <f>'дод. 3'!N60</f>
        <v>0</v>
      </c>
      <c r="N222" s="137">
        <f>'дод. 3'!O60</f>
        <v>26000</v>
      </c>
      <c r="O222" s="137">
        <f>'дод. 3'!P60</f>
        <v>26000</v>
      </c>
      <c r="P222" s="137">
        <f t="shared" si="49"/>
        <v>1317350</v>
      </c>
      <c r="Q222" s="243"/>
      <c r="X222" s="126"/>
      <c r="Y222" s="126"/>
    </row>
    <row r="223" spans="1:25" s="53" customFormat="1" ht="41.25" customHeight="1">
      <c r="A223" s="51"/>
      <c r="B223" s="50" t="s">
        <v>375</v>
      </c>
      <c r="C223" s="55" t="s">
        <v>371</v>
      </c>
      <c r="D223" s="61" t="s">
        <v>205</v>
      </c>
      <c r="E223" s="137">
        <f>'дод. 3'!F61</f>
        <v>1515923</v>
      </c>
      <c r="F223" s="137">
        <f>'дод. 3'!G61</f>
        <v>1515923</v>
      </c>
      <c r="G223" s="137">
        <f>'дод. 3'!H61</f>
        <v>0</v>
      </c>
      <c r="H223" s="137">
        <f>'дод. 3'!I61</f>
        <v>0</v>
      </c>
      <c r="I223" s="137">
        <f>'дод. 3'!J61</f>
        <v>0</v>
      </c>
      <c r="J223" s="137">
        <f>'дод. 3'!K61</f>
        <v>107593</v>
      </c>
      <c r="K223" s="137">
        <f>'дод. 3'!L61</f>
        <v>0</v>
      </c>
      <c r="L223" s="137">
        <f>'дод. 3'!M61</f>
        <v>0</v>
      </c>
      <c r="M223" s="137">
        <f>'дод. 3'!N61</f>
        <v>0</v>
      </c>
      <c r="N223" s="137">
        <f>'дод. 3'!O61</f>
        <v>107593</v>
      </c>
      <c r="O223" s="137">
        <f>'дод. 3'!P61</f>
        <v>107593</v>
      </c>
      <c r="P223" s="137">
        <f t="shared" si="49"/>
        <v>1623516</v>
      </c>
      <c r="Q223" s="243"/>
      <c r="X223" s="126"/>
      <c r="Y223" s="126"/>
    </row>
    <row r="224" spans="1:25" s="53" customFormat="1" ht="49.5" customHeight="1">
      <c r="A224" s="51"/>
      <c r="B224" s="50" t="s">
        <v>375</v>
      </c>
      <c r="C224" s="55" t="s">
        <v>371</v>
      </c>
      <c r="D224" s="61" t="s">
        <v>507</v>
      </c>
      <c r="E224" s="137">
        <f>'дод. 3'!F62</f>
        <v>125000</v>
      </c>
      <c r="F224" s="137">
        <f>'дод. 3'!G62</f>
        <v>125000</v>
      </c>
      <c r="G224" s="137">
        <f>'дод. 3'!H62</f>
        <v>0</v>
      </c>
      <c r="H224" s="137">
        <f>'дод. 3'!I62</f>
        <v>0</v>
      </c>
      <c r="I224" s="137">
        <f>'дод. 3'!J62</f>
        <v>0</v>
      </c>
      <c r="J224" s="137">
        <f>'дод. 3'!K62</f>
        <v>0</v>
      </c>
      <c r="K224" s="137">
        <f>'дод. 3'!L62</f>
        <v>0</v>
      </c>
      <c r="L224" s="137">
        <f>'дод. 3'!M62</f>
        <v>0</v>
      </c>
      <c r="M224" s="137">
        <f>'дод. 3'!N62</f>
        <v>0</v>
      </c>
      <c r="N224" s="137">
        <f>'дод. 3'!O62</f>
        <v>0</v>
      </c>
      <c r="O224" s="137">
        <f>'дод. 3'!P62</f>
        <v>0</v>
      </c>
      <c r="P224" s="137">
        <f>'дод. 3'!Q62</f>
        <v>125000</v>
      </c>
      <c r="Q224" s="243"/>
      <c r="X224" s="126"/>
      <c r="Y224" s="126"/>
    </row>
    <row r="225" spans="1:25" s="53" customFormat="1" ht="46.5" customHeight="1">
      <c r="A225" s="51"/>
      <c r="B225" s="50" t="s">
        <v>375</v>
      </c>
      <c r="C225" s="55" t="s">
        <v>371</v>
      </c>
      <c r="D225" s="61" t="s">
        <v>506</v>
      </c>
      <c r="E225" s="137">
        <f>'дод. 3'!F309</f>
        <v>530357</v>
      </c>
      <c r="F225" s="137">
        <f>'дод. 3'!G309</f>
        <v>530357</v>
      </c>
      <c r="G225" s="137">
        <f>'дод. 3'!H309</f>
        <v>0</v>
      </c>
      <c r="H225" s="137">
        <f>'дод. 3'!I309</f>
        <v>0</v>
      </c>
      <c r="I225" s="137">
        <f>'дод. 3'!J309</f>
        <v>0</v>
      </c>
      <c r="J225" s="137">
        <f>'дод. 3'!K309</f>
        <v>0</v>
      </c>
      <c r="K225" s="137">
        <f>'дод. 3'!L309</f>
        <v>0</v>
      </c>
      <c r="L225" s="137">
        <f>'дод. 3'!M309</f>
        <v>0</v>
      </c>
      <c r="M225" s="137">
        <f>'дод. 3'!N309</f>
        <v>0</v>
      </c>
      <c r="N225" s="137">
        <f>'дод. 3'!O309</f>
        <v>0</v>
      </c>
      <c r="O225" s="137">
        <f>'дод. 3'!P309</f>
        <v>0</v>
      </c>
      <c r="P225" s="137">
        <f t="shared" si="49"/>
        <v>530357</v>
      </c>
      <c r="Q225" s="243"/>
      <c r="X225" s="126"/>
      <c r="Y225" s="126"/>
    </row>
    <row r="226" spans="1:25" s="53" customFormat="1" ht="66" customHeight="1">
      <c r="A226" s="51"/>
      <c r="B226" s="50" t="s">
        <v>375</v>
      </c>
      <c r="C226" s="55" t="s">
        <v>371</v>
      </c>
      <c r="D226" s="61" t="s">
        <v>428</v>
      </c>
      <c r="E226" s="137">
        <f>'дод. 3'!F258</f>
        <v>285000</v>
      </c>
      <c r="F226" s="137">
        <f>'дод. 3'!G258</f>
        <v>285000</v>
      </c>
      <c r="G226" s="137">
        <f>'дод. 3'!H258</f>
        <v>0</v>
      </c>
      <c r="H226" s="137">
        <f>'дод. 3'!I258</f>
        <v>0</v>
      </c>
      <c r="I226" s="137">
        <f>'дод. 3'!J258</f>
        <v>0</v>
      </c>
      <c r="J226" s="137">
        <f>'дод. 3'!K258</f>
        <v>0</v>
      </c>
      <c r="K226" s="137">
        <f>'дод. 3'!L258</f>
        <v>0</v>
      </c>
      <c r="L226" s="137">
        <f>'дод. 3'!M258</f>
        <v>0</v>
      </c>
      <c r="M226" s="137">
        <f>'дод. 3'!N258</f>
        <v>0</v>
      </c>
      <c r="N226" s="137">
        <f>'дод. 3'!O258</f>
        <v>0</v>
      </c>
      <c r="O226" s="137">
        <f>'дод. 3'!P258</f>
        <v>0</v>
      </c>
      <c r="P226" s="137">
        <f t="shared" si="49"/>
        <v>285000</v>
      </c>
      <c r="Q226" s="243"/>
      <c r="X226" s="126"/>
      <c r="Y226" s="126"/>
    </row>
    <row r="227" spans="1:25" s="53" customFormat="1" ht="57" customHeight="1">
      <c r="A227" s="51"/>
      <c r="B227" s="50" t="s">
        <v>375</v>
      </c>
      <c r="C227" s="55" t="s">
        <v>371</v>
      </c>
      <c r="D227" s="61" t="s">
        <v>538</v>
      </c>
      <c r="E227" s="137">
        <f>'дод. 3'!F259+'дод. 3'!F301</f>
        <v>2040390.48</v>
      </c>
      <c r="F227" s="137">
        <f>'дод. 3'!G259+'дод. 3'!G301</f>
        <v>2040390.48</v>
      </c>
      <c r="G227" s="137">
        <f>'дод. 3'!H259+'дод. 3'!H301</f>
        <v>0</v>
      </c>
      <c r="H227" s="137">
        <f>'дод. 3'!I259+'дод. 3'!I301</f>
        <v>53000</v>
      </c>
      <c r="I227" s="137">
        <f>'дод. 3'!J259+'дод. 3'!J301</f>
        <v>0</v>
      </c>
      <c r="J227" s="137">
        <f>'дод. 3'!K259+'дод. 3'!K301</f>
        <v>0</v>
      </c>
      <c r="K227" s="137">
        <f>'дод. 3'!L259+'дод. 3'!L301</f>
        <v>0</v>
      </c>
      <c r="L227" s="137">
        <f>'дод. 3'!M259+'дод. 3'!M301</f>
        <v>0</v>
      </c>
      <c r="M227" s="137">
        <f>'дод. 3'!N259+'дод. 3'!N301</f>
        <v>0</v>
      </c>
      <c r="N227" s="137">
        <f>'дод. 3'!O259+'дод. 3'!O301</f>
        <v>0</v>
      </c>
      <c r="O227" s="137">
        <f>'дод. 3'!P259+'дод. 3'!P301</f>
        <v>0</v>
      </c>
      <c r="P227" s="137">
        <f t="shared" si="49"/>
        <v>2040390.48</v>
      </c>
      <c r="Q227" s="243"/>
      <c r="X227" s="126"/>
      <c r="Y227" s="126"/>
    </row>
    <row r="228" spans="1:25" s="53" customFormat="1" ht="66.75" customHeight="1">
      <c r="A228" s="51"/>
      <c r="B228" s="50" t="s">
        <v>375</v>
      </c>
      <c r="C228" s="55" t="s">
        <v>371</v>
      </c>
      <c r="D228" s="61" t="s">
        <v>236</v>
      </c>
      <c r="E228" s="137">
        <f>'дод. 3'!F271</f>
        <v>630000</v>
      </c>
      <c r="F228" s="137">
        <f>'дод. 3'!G271</f>
        <v>630000</v>
      </c>
      <c r="G228" s="137">
        <f>'дод. 3'!H271</f>
        <v>0</v>
      </c>
      <c r="H228" s="137">
        <f>'дод. 3'!I271</f>
        <v>0</v>
      </c>
      <c r="I228" s="137">
        <f>'дод. 3'!J271</f>
        <v>0</v>
      </c>
      <c r="J228" s="137">
        <f>'дод. 3'!K271</f>
        <v>0</v>
      </c>
      <c r="K228" s="137">
        <f>'дод. 3'!L271</f>
        <v>0</v>
      </c>
      <c r="L228" s="137">
        <f>'дод. 3'!M271</f>
        <v>0</v>
      </c>
      <c r="M228" s="137">
        <f>'дод. 3'!N271</f>
        <v>0</v>
      </c>
      <c r="N228" s="137">
        <f>'дод. 3'!O271</f>
        <v>0</v>
      </c>
      <c r="O228" s="137">
        <f>'дод. 3'!P271</f>
        <v>0</v>
      </c>
      <c r="P228" s="137">
        <f t="shared" si="49"/>
        <v>630000</v>
      </c>
      <c r="Q228" s="250" t="s">
        <v>587</v>
      </c>
      <c r="X228" s="126"/>
      <c r="Y228" s="126"/>
    </row>
    <row r="229" spans="1:25" s="53" customFormat="1" ht="54" customHeight="1">
      <c r="A229" s="51"/>
      <c r="B229" s="50" t="s">
        <v>375</v>
      </c>
      <c r="C229" s="55" t="s">
        <v>371</v>
      </c>
      <c r="D229" s="61" t="s">
        <v>517</v>
      </c>
      <c r="E229" s="137">
        <f>'дод. 3'!F63</f>
        <v>100000</v>
      </c>
      <c r="F229" s="137">
        <f>'дод. 3'!G63</f>
        <v>100000</v>
      </c>
      <c r="G229" s="137">
        <f>'дод. 3'!H63</f>
        <v>0</v>
      </c>
      <c r="H229" s="137">
        <f>'дод. 3'!I63</f>
        <v>0</v>
      </c>
      <c r="I229" s="137">
        <f>'дод. 3'!J63</f>
        <v>0</v>
      </c>
      <c r="J229" s="137">
        <f>'дод. 3'!K63</f>
        <v>0</v>
      </c>
      <c r="K229" s="137">
        <f>'дод. 3'!L63</f>
        <v>0</v>
      </c>
      <c r="L229" s="137">
        <f>'дод. 3'!M63</f>
        <v>0</v>
      </c>
      <c r="M229" s="137">
        <f>'дод. 3'!N63</f>
        <v>0</v>
      </c>
      <c r="N229" s="137">
        <f>'дод. 3'!O63</f>
        <v>0</v>
      </c>
      <c r="O229" s="137">
        <f>'дод. 3'!P63</f>
        <v>0</v>
      </c>
      <c r="P229" s="137">
        <f>'дод. 3'!Q63</f>
        <v>100000</v>
      </c>
      <c r="Q229" s="250"/>
      <c r="X229" s="126"/>
      <c r="Y229" s="126"/>
    </row>
    <row r="230" spans="1:25" s="53" customFormat="1" ht="57" customHeight="1">
      <c r="A230" s="51"/>
      <c r="B230" s="50" t="s">
        <v>375</v>
      </c>
      <c r="C230" s="55" t="s">
        <v>371</v>
      </c>
      <c r="D230" s="174" t="s">
        <v>543</v>
      </c>
      <c r="E230" s="137">
        <f>'дод. 3'!F64</f>
        <v>50000</v>
      </c>
      <c r="F230" s="137">
        <f>'дод. 3'!G64</f>
        <v>50000</v>
      </c>
      <c r="G230" s="137">
        <f>'дод. 3'!H64</f>
        <v>0</v>
      </c>
      <c r="H230" s="137">
        <f>'дод. 3'!I64</f>
        <v>0</v>
      </c>
      <c r="I230" s="137">
        <f>'дод. 3'!J64</f>
        <v>0</v>
      </c>
      <c r="J230" s="137">
        <f>'дод. 3'!K64</f>
        <v>0</v>
      </c>
      <c r="K230" s="137">
        <f>'дод. 3'!L64</f>
        <v>0</v>
      </c>
      <c r="L230" s="137">
        <f>'дод. 3'!M64</f>
        <v>0</v>
      </c>
      <c r="M230" s="137">
        <f>'дод. 3'!N64</f>
        <v>0</v>
      </c>
      <c r="N230" s="137">
        <f>'дод. 3'!O64</f>
        <v>0</v>
      </c>
      <c r="O230" s="137">
        <f>'дод. 3'!P64</f>
        <v>0</v>
      </c>
      <c r="P230" s="137">
        <f>'дод. 3'!Q64</f>
        <v>50000</v>
      </c>
      <c r="Q230" s="250"/>
      <c r="X230" s="126"/>
      <c r="Y230" s="126"/>
    </row>
    <row r="231" spans="1:25" s="87" customFormat="1" ht="21.75" customHeight="1">
      <c r="A231" s="86"/>
      <c r="B231" s="88" t="s">
        <v>359</v>
      </c>
      <c r="C231" s="88"/>
      <c r="D231" s="91" t="s">
        <v>207</v>
      </c>
      <c r="E231" s="183">
        <f>E232</f>
        <v>227100</v>
      </c>
      <c r="F231" s="183">
        <f aca="true" t="shared" si="52" ref="F231:P231">F232</f>
        <v>227100</v>
      </c>
      <c r="G231" s="183">
        <f t="shared" si="52"/>
        <v>0</v>
      </c>
      <c r="H231" s="183">
        <f t="shared" si="52"/>
        <v>0</v>
      </c>
      <c r="I231" s="183">
        <f t="shared" si="52"/>
        <v>0</v>
      </c>
      <c r="J231" s="183">
        <f t="shared" si="52"/>
        <v>0</v>
      </c>
      <c r="K231" s="183">
        <f t="shared" si="52"/>
        <v>0</v>
      </c>
      <c r="L231" s="183">
        <f t="shared" si="52"/>
        <v>0</v>
      </c>
      <c r="M231" s="183">
        <f t="shared" si="52"/>
        <v>0</v>
      </c>
      <c r="N231" s="183">
        <f t="shared" si="52"/>
        <v>0</v>
      </c>
      <c r="O231" s="183">
        <f t="shared" si="52"/>
        <v>0</v>
      </c>
      <c r="P231" s="183">
        <f t="shared" si="52"/>
        <v>227100</v>
      </c>
      <c r="Q231" s="250"/>
      <c r="X231" s="85"/>
      <c r="Y231" s="85"/>
    </row>
    <row r="232" spans="2:25" ht="24" customHeight="1">
      <c r="B232" s="46" t="s">
        <v>359</v>
      </c>
      <c r="C232" s="46" t="s">
        <v>360</v>
      </c>
      <c r="D232" s="60" t="s">
        <v>207</v>
      </c>
      <c r="E232" s="184">
        <f>'дод. 3'!F313</f>
        <v>227100</v>
      </c>
      <c r="F232" s="184">
        <f>'дод. 3'!G313</f>
        <v>227100</v>
      </c>
      <c r="G232" s="184">
        <f>'дод. 3'!H313</f>
        <v>0</v>
      </c>
      <c r="H232" s="184">
        <f>'дод. 3'!I313</f>
        <v>0</v>
      </c>
      <c r="I232" s="184">
        <f>'дод. 3'!J313</f>
        <v>0</v>
      </c>
      <c r="J232" s="184">
        <f>'дод. 3'!K313</f>
        <v>0</v>
      </c>
      <c r="K232" s="184">
        <f>'дод. 3'!L313</f>
        <v>0</v>
      </c>
      <c r="L232" s="184">
        <f>'дод. 3'!M313</f>
        <v>0</v>
      </c>
      <c r="M232" s="184">
        <f>'дод. 3'!N313</f>
        <v>0</v>
      </c>
      <c r="N232" s="184">
        <f>'дод. 3'!O313</f>
        <v>0</v>
      </c>
      <c r="O232" s="184">
        <f>'дод. 3'!P313</f>
        <v>0</v>
      </c>
      <c r="P232" s="184">
        <f t="shared" si="49"/>
        <v>227100</v>
      </c>
      <c r="Q232" s="250"/>
      <c r="X232" s="82"/>
      <c r="Y232" s="82"/>
    </row>
    <row r="233" spans="1:25" s="87" customFormat="1" ht="22.5" customHeight="1">
      <c r="A233" s="86"/>
      <c r="B233" s="88" t="s">
        <v>361</v>
      </c>
      <c r="C233" s="57"/>
      <c r="D233" s="91" t="s">
        <v>362</v>
      </c>
      <c r="E233" s="183">
        <f>E234+E235+E236+E237+E238</f>
        <v>0</v>
      </c>
      <c r="F233" s="183">
        <f aca="true" t="shared" si="53" ref="F233:P233">F234+F235+F236+F237+F238</f>
        <v>0</v>
      </c>
      <c r="G233" s="183">
        <f t="shared" si="53"/>
        <v>0</v>
      </c>
      <c r="H233" s="183">
        <f t="shared" si="53"/>
        <v>0</v>
      </c>
      <c r="I233" s="183">
        <f t="shared" si="53"/>
        <v>0</v>
      </c>
      <c r="J233" s="183">
        <f t="shared" si="53"/>
        <v>18396227.21</v>
      </c>
      <c r="K233" s="183">
        <f t="shared" si="53"/>
        <v>2893677.1799999997</v>
      </c>
      <c r="L233" s="183">
        <f t="shared" si="53"/>
        <v>0</v>
      </c>
      <c r="M233" s="183">
        <f t="shared" si="53"/>
        <v>0</v>
      </c>
      <c r="N233" s="183">
        <f t="shared" si="53"/>
        <v>15502550.030000001</v>
      </c>
      <c r="O233" s="183">
        <f t="shared" si="53"/>
        <v>0</v>
      </c>
      <c r="P233" s="183">
        <f t="shared" si="53"/>
        <v>18396227.21</v>
      </c>
      <c r="Q233" s="250"/>
      <c r="R233" s="85"/>
      <c r="S233" s="85"/>
      <c r="X233" s="85"/>
      <c r="Y233" s="85"/>
    </row>
    <row r="234" spans="2:25" ht="15">
      <c r="B234" s="46" t="s">
        <v>363</v>
      </c>
      <c r="C234" s="46" t="s">
        <v>364</v>
      </c>
      <c r="D234" s="60" t="s">
        <v>28</v>
      </c>
      <c r="E234" s="184">
        <f>'дод. 3'!F262+'дод. 3'!F290</f>
        <v>0</v>
      </c>
      <c r="F234" s="184">
        <f>'дод. 3'!G262+'дод. 3'!G290</f>
        <v>0</v>
      </c>
      <c r="G234" s="184">
        <f>'дод. 3'!H262+'дод. 3'!H290</f>
        <v>0</v>
      </c>
      <c r="H234" s="184">
        <f>'дод. 3'!I262+'дод. 3'!I290</f>
        <v>0</v>
      </c>
      <c r="I234" s="184">
        <f>'дод. 3'!J262+'дод. 3'!J290</f>
        <v>0</v>
      </c>
      <c r="J234" s="184">
        <f>'дод. 3'!K262+'дод. 3'!K290</f>
        <v>6216130</v>
      </c>
      <c r="K234" s="184">
        <f>'дод. 3'!L262+'дод. 3'!L290</f>
        <v>1280000</v>
      </c>
      <c r="L234" s="184">
        <f>'дод. 3'!M262+'дод. 3'!M290</f>
        <v>0</v>
      </c>
      <c r="M234" s="184">
        <f>'дод. 3'!N262+'дод. 3'!N290</f>
        <v>0</v>
      </c>
      <c r="N234" s="184">
        <f>'дод. 3'!O262+'дод. 3'!O290</f>
        <v>4936130</v>
      </c>
      <c r="O234" s="184">
        <f>'дод. 3'!P262+'дод. 3'!P290</f>
        <v>0</v>
      </c>
      <c r="P234" s="184">
        <f>'дод. 3'!Q262+'дод. 3'!Q290</f>
        <v>6216130</v>
      </c>
      <c r="Q234" s="250"/>
      <c r="X234" s="82"/>
      <c r="Y234" s="82"/>
    </row>
    <row r="235" spans="2:25" ht="30.75">
      <c r="B235" s="46" t="s">
        <v>365</v>
      </c>
      <c r="C235" s="46" t="s">
        <v>366</v>
      </c>
      <c r="D235" s="60" t="s">
        <v>224</v>
      </c>
      <c r="E235" s="184">
        <f>'дод. 3'!F291</f>
        <v>0</v>
      </c>
      <c r="F235" s="184">
        <f>'дод. 3'!G291</f>
        <v>0</v>
      </c>
      <c r="G235" s="184">
        <f>'дод. 3'!H291</f>
        <v>0</v>
      </c>
      <c r="H235" s="184">
        <f>'дод. 3'!I291</f>
        <v>0</v>
      </c>
      <c r="I235" s="184">
        <f>'дод. 3'!J291</f>
        <v>0</v>
      </c>
      <c r="J235" s="184">
        <f>'дод. 3'!K291</f>
        <v>3182607.91</v>
      </c>
      <c r="K235" s="184">
        <f>'дод. 3'!L291</f>
        <v>0</v>
      </c>
      <c r="L235" s="184">
        <f>'дод. 3'!M291</f>
        <v>0</v>
      </c>
      <c r="M235" s="184">
        <f>'дод. 3'!N291</f>
        <v>0</v>
      </c>
      <c r="N235" s="184">
        <f>'дод. 3'!O291</f>
        <v>3182607.91</v>
      </c>
      <c r="O235" s="184">
        <f>'дод. 3'!P291</f>
        <v>0</v>
      </c>
      <c r="P235" s="184">
        <f t="shared" si="49"/>
        <v>3182607.91</v>
      </c>
      <c r="Q235" s="250"/>
      <c r="X235" s="82"/>
      <c r="Y235" s="82"/>
    </row>
    <row r="236" spans="2:25" ht="45" customHeight="1">
      <c r="B236" s="46" t="s">
        <v>367</v>
      </c>
      <c r="C236" s="46" t="s">
        <v>368</v>
      </c>
      <c r="D236" s="60" t="s">
        <v>217</v>
      </c>
      <c r="E236" s="184">
        <f>'дод. 3'!F68+'дод. 3'!F97+'дод. 3'!F314</f>
        <v>0</v>
      </c>
      <c r="F236" s="184">
        <f>'дод. 3'!G68+'дод. 3'!G97+'дод. 3'!G314</f>
        <v>0</v>
      </c>
      <c r="G236" s="184">
        <f>'дод. 3'!H68+'дод. 3'!H97+'дод. 3'!H314</f>
        <v>0</v>
      </c>
      <c r="H236" s="184">
        <f>'дод. 3'!I68+'дод. 3'!I97+'дод. 3'!I314</f>
        <v>0</v>
      </c>
      <c r="I236" s="184">
        <f>'дод. 3'!J68+'дод. 3'!J97+'дод. 3'!J314</f>
        <v>0</v>
      </c>
      <c r="J236" s="184">
        <f>'дод. 3'!K68+'дод. 3'!K97+'дод. 3'!K314</f>
        <v>122163</v>
      </c>
      <c r="K236" s="184">
        <f>'дод. 3'!L68+'дод. 3'!L97+'дод. 3'!L314</f>
        <v>122163</v>
      </c>
      <c r="L236" s="184">
        <f>'дод. 3'!M68+'дод. 3'!M97+'дод. 3'!M314</f>
        <v>0</v>
      </c>
      <c r="M236" s="184">
        <f>'дод. 3'!N68+'дод. 3'!N97+'дод. 3'!N314</f>
        <v>0</v>
      </c>
      <c r="N236" s="184">
        <f>'дод. 3'!O68+'дод. 3'!O97+'дод. 3'!O314</f>
        <v>0</v>
      </c>
      <c r="O236" s="184">
        <f>'дод. 3'!P68+'дод. 3'!P97+'дод. 3'!P314</f>
        <v>0</v>
      </c>
      <c r="P236" s="184">
        <f t="shared" si="49"/>
        <v>122163</v>
      </c>
      <c r="Q236" s="250"/>
      <c r="X236" s="82"/>
      <c r="Y236" s="82"/>
    </row>
    <row r="237" spans="2:25" ht="24.75" customHeight="1">
      <c r="B237" s="46" t="s">
        <v>369</v>
      </c>
      <c r="C237" s="46" t="s">
        <v>352</v>
      </c>
      <c r="D237" s="60" t="s">
        <v>23</v>
      </c>
      <c r="E237" s="184">
        <f>'дод. 3'!F98+'дод. 3'!F263</f>
        <v>0</v>
      </c>
      <c r="F237" s="184">
        <f>'дод. 3'!G98+'дод. 3'!G263</f>
        <v>0</v>
      </c>
      <c r="G237" s="184">
        <f>'дод. 3'!H98+'дод. 3'!H263</f>
        <v>0</v>
      </c>
      <c r="H237" s="184">
        <f>'дод. 3'!I98+'дод. 3'!I263</f>
        <v>0</v>
      </c>
      <c r="I237" s="184">
        <f>'дод. 3'!J98+'дод. 3'!J263</f>
        <v>0</v>
      </c>
      <c r="J237" s="184">
        <f>'дод. 3'!K98+'дод. 3'!K263</f>
        <v>713267</v>
      </c>
      <c r="K237" s="184">
        <f>'дод. 3'!L98+'дод. 3'!L263</f>
        <v>612767</v>
      </c>
      <c r="L237" s="184">
        <f>'дод. 3'!M98+'дод. 3'!M263</f>
        <v>0</v>
      </c>
      <c r="M237" s="184">
        <f>'дод. 3'!N98+'дод. 3'!N263</f>
        <v>0</v>
      </c>
      <c r="N237" s="184">
        <f>'дод. 3'!O98+'дод. 3'!O263</f>
        <v>100500</v>
      </c>
      <c r="O237" s="184">
        <f>'дод. 3'!P98+'дод. 3'!P263</f>
        <v>0</v>
      </c>
      <c r="P237" s="184">
        <f>'дод. 3'!Q98+'дод. 3'!Q263</f>
        <v>713267</v>
      </c>
      <c r="Q237" s="250"/>
      <c r="X237" s="82"/>
      <c r="Y237" s="82"/>
    </row>
    <row r="238" spans="2:25" ht="51" customHeight="1">
      <c r="B238" s="46" t="s">
        <v>370</v>
      </c>
      <c r="C238" s="46" t="s">
        <v>371</v>
      </c>
      <c r="D238" s="60" t="s">
        <v>21</v>
      </c>
      <c r="E238" s="184">
        <f>'дод. 3'!F69+'дод. 3'!F264+'дод. 3'!F304+'дод. 3'!F292</f>
        <v>0</v>
      </c>
      <c r="F238" s="184">
        <f>'дод. 3'!G69+'дод. 3'!G264+'дод. 3'!G304+'дод. 3'!G292</f>
        <v>0</v>
      </c>
      <c r="G238" s="184">
        <f>'дод. 3'!H69+'дод. 3'!H264+'дод. 3'!H304+'дод. 3'!H292</f>
        <v>0</v>
      </c>
      <c r="H238" s="184">
        <f>'дод. 3'!I69+'дод. 3'!I264+'дод. 3'!I304+'дод. 3'!I292</f>
        <v>0</v>
      </c>
      <c r="I238" s="184">
        <f>'дод. 3'!J69+'дод. 3'!J264+'дод. 3'!J304+'дод. 3'!J292</f>
        <v>0</v>
      </c>
      <c r="J238" s="184">
        <f>'дод. 3'!K69+'дод. 3'!K264+'дод. 3'!K304+'дод. 3'!K292</f>
        <v>8162059.3</v>
      </c>
      <c r="K238" s="184">
        <f>'дод. 3'!L69+'дод. 3'!L264+'дод. 3'!L304+'дод. 3'!L292</f>
        <v>878747.1799999999</v>
      </c>
      <c r="L238" s="184">
        <f>'дод. 3'!M69+'дод. 3'!M264+'дод. 3'!M304+'дод. 3'!M292</f>
        <v>0</v>
      </c>
      <c r="M238" s="184">
        <f>'дод. 3'!N69+'дод. 3'!N264+'дод. 3'!N304+'дод. 3'!N292</f>
        <v>0</v>
      </c>
      <c r="N238" s="184">
        <f>'дод. 3'!O69+'дод. 3'!O264+'дод. 3'!O304+'дод. 3'!O292</f>
        <v>7283312.12</v>
      </c>
      <c r="O238" s="184">
        <f>'дод. 3'!P69+'дод. 3'!P264+'дод. 3'!P304+'дод. 3'!P292</f>
        <v>0</v>
      </c>
      <c r="P238" s="184">
        <f>'дод. 3'!Q69+'дод. 3'!Q264+'дод. 3'!Q304+'дод. 3'!Q292</f>
        <v>8162059.3</v>
      </c>
      <c r="Q238" s="250"/>
      <c r="X238" s="82"/>
      <c r="Y238" s="82"/>
    </row>
    <row r="239" spans="1:25" s="87" customFormat="1" ht="27" customHeight="1">
      <c r="A239" s="86"/>
      <c r="B239" s="88"/>
      <c r="C239" s="88"/>
      <c r="D239" s="91" t="s">
        <v>6</v>
      </c>
      <c r="E239" s="183">
        <f>E12+E14+E36+E60+E146+E154+E164+E180+E187+E195+E198+E200+E208+E210+E214+E231+E233</f>
        <v>2280066994.7000003</v>
      </c>
      <c r="F239" s="183">
        <f aca="true" t="shared" si="54" ref="F239:P239">F12+F14+F36+F60+F146+F154+F164+F180+F187+F195+F198+F200+F208+F210+F214+F231+F233</f>
        <v>2206403874.1500006</v>
      </c>
      <c r="G239" s="183">
        <f t="shared" si="54"/>
        <v>545747313</v>
      </c>
      <c r="H239" s="183">
        <f t="shared" si="54"/>
        <v>109470628</v>
      </c>
      <c r="I239" s="183">
        <f t="shared" si="54"/>
        <v>69713392.08</v>
      </c>
      <c r="J239" s="183">
        <f t="shared" si="54"/>
        <v>719294202.4400002</v>
      </c>
      <c r="K239" s="183">
        <f t="shared" si="54"/>
        <v>60466899.97</v>
      </c>
      <c r="L239" s="183">
        <f t="shared" si="54"/>
        <v>5793838</v>
      </c>
      <c r="M239" s="183">
        <f t="shared" si="54"/>
        <v>2423113</v>
      </c>
      <c r="N239" s="183">
        <f t="shared" si="54"/>
        <v>658827302.47</v>
      </c>
      <c r="O239" s="183">
        <f t="shared" si="54"/>
        <v>598834671.05</v>
      </c>
      <c r="P239" s="183">
        <f t="shared" si="54"/>
        <v>2999361197.14</v>
      </c>
      <c r="Q239" s="250"/>
      <c r="R239" s="85"/>
      <c r="S239" s="85"/>
      <c r="T239" s="85"/>
      <c r="U239" s="85"/>
      <c r="X239" s="85"/>
      <c r="Y239" s="85"/>
    </row>
    <row r="240" spans="1:25" s="87" customFormat="1" ht="27.75" customHeight="1">
      <c r="A240" s="86"/>
      <c r="B240" s="88"/>
      <c r="C240" s="88"/>
      <c r="D240" s="91" t="s">
        <v>510</v>
      </c>
      <c r="E240" s="183">
        <f aca="true" t="shared" si="55" ref="E240:P240">E15+E37+E61+E201+E165+E181</f>
        <v>1303504722.86</v>
      </c>
      <c r="F240" s="183">
        <f t="shared" si="55"/>
        <v>1280739144.27</v>
      </c>
      <c r="G240" s="183">
        <f t="shared" si="55"/>
        <v>184750800</v>
      </c>
      <c r="H240" s="183">
        <f t="shared" si="55"/>
        <v>0</v>
      </c>
      <c r="I240" s="183">
        <f t="shared" si="55"/>
        <v>22765578.59</v>
      </c>
      <c r="J240" s="183">
        <f t="shared" si="55"/>
        <v>56387861.84</v>
      </c>
      <c r="K240" s="183">
        <f t="shared" si="55"/>
        <v>0</v>
      </c>
      <c r="L240" s="183">
        <f t="shared" si="55"/>
        <v>0</v>
      </c>
      <c r="M240" s="183">
        <f t="shared" si="55"/>
        <v>0</v>
      </c>
      <c r="N240" s="183">
        <f t="shared" si="55"/>
        <v>56387861.84</v>
      </c>
      <c r="O240" s="183">
        <f t="shared" si="55"/>
        <v>12612622.05</v>
      </c>
      <c r="P240" s="183">
        <f t="shared" si="55"/>
        <v>1359892584.7</v>
      </c>
      <c r="Q240" s="250"/>
      <c r="X240" s="85"/>
      <c r="Y240" s="85"/>
    </row>
    <row r="241" spans="1:25" s="87" customFormat="1" ht="27.75" customHeight="1">
      <c r="A241" s="86"/>
      <c r="B241" s="88"/>
      <c r="C241" s="88"/>
      <c r="D241" s="57" t="s">
        <v>423</v>
      </c>
      <c r="E241" s="183">
        <f>E243+E245+E244</f>
        <v>69952664</v>
      </c>
      <c r="F241" s="183">
        <f aca="true" t="shared" si="56" ref="F241:P241">F243+F245+F244</f>
        <v>69952664</v>
      </c>
      <c r="G241" s="183">
        <f t="shared" si="56"/>
        <v>0</v>
      </c>
      <c r="H241" s="183">
        <f t="shared" si="56"/>
        <v>0</v>
      </c>
      <c r="I241" s="183">
        <f t="shared" si="56"/>
        <v>0</v>
      </c>
      <c r="J241" s="183">
        <f t="shared" si="56"/>
        <v>10787280</v>
      </c>
      <c r="K241" s="183">
        <f t="shared" si="56"/>
        <v>0</v>
      </c>
      <c r="L241" s="183">
        <f t="shared" si="56"/>
        <v>0</v>
      </c>
      <c r="M241" s="183">
        <f t="shared" si="56"/>
        <v>0</v>
      </c>
      <c r="N241" s="183">
        <f t="shared" si="56"/>
        <v>10787280</v>
      </c>
      <c r="O241" s="183">
        <f t="shared" si="56"/>
        <v>9387280</v>
      </c>
      <c r="P241" s="183">
        <f t="shared" si="56"/>
        <v>80739944</v>
      </c>
      <c r="Q241" s="250"/>
      <c r="X241" s="85"/>
      <c r="Y241" s="85"/>
    </row>
    <row r="242" spans="1:25" s="87" customFormat="1" ht="27.75" customHeight="1">
      <c r="A242" s="86"/>
      <c r="B242" s="88"/>
      <c r="C242" s="88"/>
      <c r="D242" s="16" t="s">
        <v>511</v>
      </c>
      <c r="E242" s="183">
        <f>E246</f>
        <v>0</v>
      </c>
      <c r="F242" s="183">
        <f aca="true" t="shared" si="57" ref="F242:P242">F246</f>
        <v>0</v>
      </c>
      <c r="G242" s="183">
        <f t="shared" si="57"/>
        <v>0</v>
      </c>
      <c r="H242" s="183">
        <f t="shared" si="57"/>
        <v>0</v>
      </c>
      <c r="I242" s="183">
        <f t="shared" si="57"/>
        <v>0</v>
      </c>
      <c r="J242" s="183">
        <f t="shared" si="57"/>
        <v>1400000</v>
      </c>
      <c r="K242" s="183">
        <f t="shared" si="57"/>
        <v>0</v>
      </c>
      <c r="L242" s="183">
        <f t="shared" si="57"/>
        <v>0</v>
      </c>
      <c r="M242" s="183">
        <f t="shared" si="57"/>
        <v>0</v>
      </c>
      <c r="N242" s="183">
        <f t="shared" si="57"/>
        <v>1400000</v>
      </c>
      <c r="O242" s="183">
        <f t="shared" si="57"/>
        <v>0</v>
      </c>
      <c r="P242" s="183">
        <f t="shared" si="57"/>
        <v>1400000</v>
      </c>
      <c r="Q242" s="250"/>
      <c r="X242" s="85"/>
      <c r="Y242" s="85"/>
    </row>
    <row r="243" spans="1:25" s="87" customFormat="1" ht="20.25" customHeight="1">
      <c r="A243" s="86"/>
      <c r="B243" s="46" t="s">
        <v>378</v>
      </c>
      <c r="C243" s="59" t="s">
        <v>249</v>
      </c>
      <c r="D243" s="60" t="s">
        <v>415</v>
      </c>
      <c r="E243" s="184">
        <f>'дод. 3'!F318</f>
        <v>67231500</v>
      </c>
      <c r="F243" s="184">
        <f>'дод. 3'!G318</f>
        <v>67231500</v>
      </c>
      <c r="G243" s="184">
        <f>'дод. 3'!H318</f>
        <v>0</v>
      </c>
      <c r="H243" s="184">
        <f>'дод. 3'!I318</f>
        <v>0</v>
      </c>
      <c r="I243" s="184">
        <f>'дод. 3'!J318</f>
        <v>0</v>
      </c>
      <c r="J243" s="184">
        <f>'дод. 3'!K318</f>
        <v>0</v>
      </c>
      <c r="K243" s="184">
        <f>'дод. 3'!L318</f>
        <v>0</v>
      </c>
      <c r="L243" s="184">
        <f>'дод. 3'!M318</f>
        <v>0</v>
      </c>
      <c r="M243" s="184">
        <f>'дод. 3'!N318</f>
        <v>0</v>
      </c>
      <c r="N243" s="184">
        <f>'дод. 3'!O318</f>
        <v>0</v>
      </c>
      <c r="O243" s="184">
        <f>'дод. 3'!P318</f>
        <v>0</v>
      </c>
      <c r="P243" s="184">
        <f>'дод. 3'!Q318</f>
        <v>67231500</v>
      </c>
      <c r="Q243" s="250"/>
      <c r="X243" s="82"/>
      <c r="Y243" s="82"/>
    </row>
    <row r="244" spans="1:25" s="87" customFormat="1" ht="53.25" customHeight="1">
      <c r="A244" s="86"/>
      <c r="B244" s="46" t="s">
        <v>532</v>
      </c>
      <c r="C244" s="135" t="s">
        <v>249</v>
      </c>
      <c r="D244" s="66" t="s">
        <v>531</v>
      </c>
      <c r="E244" s="184">
        <f>'дод. 3'!F55</f>
        <v>1098942</v>
      </c>
      <c r="F244" s="184">
        <f>'дод. 3'!G55</f>
        <v>1098942</v>
      </c>
      <c r="G244" s="184">
        <f>'дод. 3'!H55</f>
        <v>0</v>
      </c>
      <c r="H244" s="184">
        <f>'дод. 3'!I55</f>
        <v>0</v>
      </c>
      <c r="I244" s="184">
        <f>'дод. 3'!J55</f>
        <v>0</v>
      </c>
      <c r="J244" s="184">
        <f>'дод. 3'!K55</f>
        <v>4076070</v>
      </c>
      <c r="K244" s="184">
        <f>'дод. 3'!L55</f>
        <v>0</v>
      </c>
      <c r="L244" s="184">
        <f>'дод. 3'!M55</f>
        <v>0</v>
      </c>
      <c r="M244" s="184">
        <f>'дод. 3'!N55</f>
        <v>0</v>
      </c>
      <c r="N244" s="184">
        <f>'дод. 3'!O55</f>
        <v>4076070</v>
      </c>
      <c r="O244" s="184">
        <f>'дод. 3'!P55</f>
        <v>4076070</v>
      </c>
      <c r="P244" s="184">
        <f>'дод. 3'!Q55</f>
        <v>5175012</v>
      </c>
      <c r="Q244" s="250"/>
      <c r="X244" s="82"/>
      <c r="Y244" s="82"/>
    </row>
    <row r="245" spans="1:25" s="87" customFormat="1" ht="21" customHeight="1">
      <c r="A245" s="86"/>
      <c r="B245" s="46" t="s">
        <v>379</v>
      </c>
      <c r="C245" s="46" t="s">
        <v>249</v>
      </c>
      <c r="D245" s="89" t="s">
        <v>30</v>
      </c>
      <c r="E245" s="184">
        <f>E247+E248+E249+E250+E252+E253</f>
        <v>1622222</v>
      </c>
      <c r="F245" s="184">
        <f aca="true" t="shared" si="58" ref="F245:P245">F247+F248+F249+F250+F252+F253</f>
        <v>1622222</v>
      </c>
      <c r="G245" s="184">
        <f t="shared" si="58"/>
        <v>0</v>
      </c>
      <c r="H245" s="184">
        <f t="shared" si="58"/>
        <v>0</v>
      </c>
      <c r="I245" s="184">
        <f t="shared" si="58"/>
        <v>0</v>
      </c>
      <c r="J245" s="184">
        <f t="shared" si="58"/>
        <v>6711210</v>
      </c>
      <c r="K245" s="184">
        <f t="shared" si="58"/>
        <v>0</v>
      </c>
      <c r="L245" s="184">
        <f t="shared" si="58"/>
        <v>0</v>
      </c>
      <c r="M245" s="184">
        <f t="shared" si="58"/>
        <v>0</v>
      </c>
      <c r="N245" s="184">
        <f t="shared" si="58"/>
        <v>6711210</v>
      </c>
      <c r="O245" s="184">
        <f t="shared" si="58"/>
        <v>5311210</v>
      </c>
      <c r="P245" s="184">
        <f t="shared" si="58"/>
        <v>8333432</v>
      </c>
      <c r="Q245" s="250"/>
      <c r="X245" s="82"/>
      <c r="Y245" s="82"/>
    </row>
    <row r="246" spans="1:25" s="87" customFormat="1" ht="21" customHeight="1">
      <c r="A246" s="86"/>
      <c r="B246" s="135"/>
      <c r="C246" s="135"/>
      <c r="D246" s="161" t="s">
        <v>511</v>
      </c>
      <c r="E246" s="184">
        <f>E251</f>
        <v>0</v>
      </c>
      <c r="F246" s="184">
        <f aca="true" t="shared" si="59" ref="F246:P246">F251</f>
        <v>0</v>
      </c>
      <c r="G246" s="184">
        <f t="shared" si="59"/>
        <v>0</v>
      </c>
      <c r="H246" s="184">
        <f t="shared" si="59"/>
        <v>0</v>
      </c>
      <c r="I246" s="184">
        <f t="shared" si="59"/>
        <v>0</v>
      </c>
      <c r="J246" s="184">
        <f t="shared" si="59"/>
        <v>1400000</v>
      </c>
      <c r="K246" s="184">
        <f t="shared" si="59"/>
        <v>0</v>
      </c>
      <c r="L246" s="184">
        <f t="shared" si="59"/>
        <v>0</v>
      </c>
      <c r="M246" s="184">
        <f t="shared" si="59"/>
        <v>0</v>
      </c>
      <c r="N246" s="184">
        <f t="shared" si="59"/>
        <v>1400000</v>
      </c>
      <c r="O246" s="184">
        <f t="shared" si="59"/>
        <v>0</v>
      </c>
      <c r="P246" s="184">
        <f t="shared" si="59"/>
        <v>1400000</v>
      </c>
      <c r="Q246" s="250"/>
      <c r="X246" s="82"/>
      <c r="Y246" s="82"/>
    </row>
    <row r="247" spans="1:25" s="87" customFormat="1" ht="19.5" customHeight="1">
      <c r="A247" s="86"/>
      <c r="B247" s="142" t="s">
        <v>379</v>
      </c>
      <c r="C247" s="172" t="s">
        <v>249</v>
      </c>
      <c r="D247" s="61" t="s">
        <v>560</v>
      </c>
      <c r="E247" s="137">
        <f>'дод. 3'!F261</f>
        <v>758500</v>
      </c>
      <c r="F247" s="137">
        <f>'дод. 3'!G261</f>
        <v>758500</v>
      </c>
      <c r="G247" s="137">
        <f>'дод. 3'!H261</f>
        <v>0</v>
      </c>
      <c r="H247" s="137">
        <f>'дод. 3'!I261</f>
        <v>0</v>
      </c>
      <c r="I247" s="137">
        <f>'дод. 3'!J261</f>
        <v>0</v>
      </c>
      <c r="J247" s="137">
        <f>'дод. 3'!K261</f>
        <v>2221500</v>
      </c>
      <c r="K247" s="137">
        <f>'дод. 3'!L261</f>
        <v>0</v>
      </c>
      <c r="L247" s="137">
        <f>'дод. 3'!M261</f>
        <v>0</v>
      </c>
      <c r="M247" s="189">
        <f>'дод. 3'!N261</f>
        <v>0</v>
      </c>
      <c r="N247" s="137">
        <f>'дод. 3'!O261</f>
        <v>2221500</v>
      </c>
      <c r="O247" s="137">
        <f>'дод. 3'!P261</f>
        <v>2221500</v>
      </c>
      <c r="P247" s="137">
        <f>'дод. 3'!Q261</f>
        <v>2980000</v>
      </c>
      <c r="Q247" s="250"/>
      <c r="X247" s="82"/>
      <c r="Y247" s="82"/>
    </row>
    <row r="248" spans="1:25" s="87" customFormat="1" ht="21.75" customHeight="1">
      <c r="A248" s="86"/>
      <c r="B248" s="50" t="s">
        <v>379</v>
      </c>
      <c r="C248" s="55" t="s">
        <v>249</v>
      </c>
      <c r="D248" s="90" t="s">
        <v>561</v>
      </c>
      <c r="E248" s="184">
        <f>'дод. 3'!F320</f>
        <v>0</v>
      </c>
      <c r="F248" s="184">
        <f>'дод. 3'!G320</f>
        <v>0</v>
      </c>
      <c r="G248" s="184">
        <f>'дод. 3'!H320</f>
        <v>0</v>
      </c>
      <c r="H248" s="184">
        <f>'дод. 3'!I320</f>
        <v>0</v>
      </c>
      <c r="I248" s="184">
        <f>'дод. 3'!J320</f>
        <v>0</v>
      </c>
      <c r="J248" s="184">
        <f>'дод. 3'!K320</f>
        <v>1500000</v>
      </c>
      <c r="K248" s="184">
        <f>'дод. 3'!L320</f>
        <v>0</v>
      </c>
      <c r="L248" s="184">
        <f>'дод. 3'!M320</f>
        <v>0</v>
      </c>
      <c r="M248" s="190">
        <f>'дод. 3'!N320</f>
        <v>0</v>
      </c>
      <c r="N248" s="184">
        <f>'дод. 3'!O320</f>
        <v>1500000</v>
      </c>
      <c r="O248" s="184">
        <f>'дод. 3'!P320</f>
        <v>1500000</v>
      </c>
      <c r="P248" s="184">
        <f>'дод. 3'!Q320</f>
        <v>1500000</v>
      </c>
      <c r="Q248" s="250"/>
      <c r="X248" s="82"/>
      <c r="Y248" s="82"/>
    </row>
    <row r="249" spans="1:25" s="87" customFormat="1" ht="24" customHeight="1">
      <c r="A249" s="86"/>
      <c r="B249" s="50" t="s">
        <v>379</v>
      </c>
      <c r="C249" s="55" t="s">
        <v>249</v>
      </c>
      <c r="D249" s="90" t="s">
        <v>562</v>
      </c>
      <c r="E249" s="184">
        <f>'дод. 3'!F66</f>
        <v>119492</v>
      </c>
      <c r="F249" s="184">
        <f>'дод. 3'!G66</f>
        <v>119492</v>
      </c>
      <c r="G249" s="184">
        <f>'дод. 3'!H66</f>
        <v>0</v>
      </c>
      <c r="H249" s="184">
        <f>'дод. 3'!I66</f>
        <v>0</v>
      </c>
      <c r="I249" s="184">
        <f>'дод. 3'!J66</f>
        <v>0</v>
      </c>
      <c r="J249" s="184">
        <f>'дод. 3'!K66</f>
        <v>0</v>
      </c>
      <c r="K249" s="184">
        <f>'дод. 3'!L66</f>
        <v>0</v>
      </c>
      <c r="L249" s="184">
        <f>'дод. 3'!M66</f>
        <v>0</v>
      </c>
      <c r="M249" s="184">
        <f>'дод. 3'!N66</f>
        <v>0</v>
      </c>
      <c r="N249" s="184">
        <f>'дод. 3'!O66</f>
        <v>0</v>
      </c>
      <c r="O249" s="184">
        <f>'дод. 3'!P66</f>
        <v>0</v>
      </c>
      <c r="P249" s="184">
        <f>'дод. 3'!Q66</f>
        <v>119492</v>
      </c>
      <c r="Q249" s="250"/>
      <c r="X249" s="82"/>
      <c r="Y249" s="82"/>
    </row>
    <row r="250" spans="1:25" s="87" customFormat="1" ht="36.75" customHeight="1">
      <c r="A250" s="86"/>
      <c r="B250" s="50" t="s">
        <v>379</v>
      </c>
      <c r="C250" s="54" t="s">
        <v>249</v>
      </c>
      <c r="D250" s="90" t="s">
        <v>567</v>
      </c>
      <c r="E250" s="184">
        <f>'дод. 3'!F67</f>
        <v>84230</v>
      </c>
      <c r="F250" s="184">
        <f>'дод. 3'!G67</f>
        <v>84230</v>
      </c>
      <c r="G250" s="184">
        <f>'дод. 3'!H67</f>
        <v>0</v>
      </c>
      <c r="H250" s="184">
        <f>'дод. 3'!I67</f>
        <v>0</v>
      </c>
      <c r="I250" s="184">
        <f>'дод. 3'!J67</f>
        <v>0</v>
      </c>
      <c r="J250" s="184">
        <f>'дод. 3'!K67</f>
        <v>54200</v>
      </c>
      <c r="K250" s="184">
        <f>'дод. 3'!L67</f>
        <v>0</v>
      </c>
      <c r="L250" s="184">
        <f>'дод. 3'!M67</f>
        <v>0</v>
      </c>
      <c r="M250" s="184">
        <f>'дод. 3'!N67</f>
        <v>0</v>
      </c>
      <c r="N250" s="184">
        <f>'дод. 3'!O67</f>
        <v>54200</v>
      </c>
      <c r="O250" s="184">
        <f>'дод. 3'!P67</f>
        <v>54200</v>
      </c>
      <c r="P250" s="184">
        <f>'дод. 3'!Q67</f>
        <v>138430</v>
      </c>
      <c r="Q250" s="250"/>
      <c r="X250" s="82"/>
      <c r="Y250" s="82"/>
    </row>
    <row r="251" spans="1:25" s="134" customFormat="1" ht="21" customHeight="1">
      <c r="A251" s="132"/>
      <c r="B251" s="50"/>
      <c r="C251" s="54"/>
      <c r="D251" s="29" t="s">
        <v>511</v>
      </c>
      <c r="E251" s="137">
        <f>'дод. 3'!F130</f>
        <v>0</v>
      </c>
      <c r="F251" s="137">
        <f>'дод. 3'!G130</f>
        <v>0</v>
      </c>
      <c r="G251" s="137">
        <f>'дод. 3'!H130</f>
        <v>0</v>
      </c>
      <c r="H251" s="137">
        <f>'дод. 3'!I130</f>
        <v>0</v>
      </c>
      <c r="I251" s="137">
        <f>'дод. 3'!J130</f>
        <v>0</v>
      </c>
      <c r="J251" s="137">
        <f>'дод. 3'!K130</f>
        <v>1400000</v>
      </c>
      <c r="K251" s="137">
        <f>'дод. 3'!L130</f>
        <v>0</v>
      </c>
      <c r="L251" s="137">
        <f>'дод. 3'!M130</f>
        <v>0</v>
      </c>
      <c r="M251" s="137">
        <f>'дод. 3'!N130</f>
        <v>0</v>
      </c>
      <c r="N251" s="137">
        <f>'дод. 3'!O130</f>
        <v>1400000</v>
      </c>
      <c r="O251" s="137">
        <f>'дод. 3'!P130</f>
        <v>0</v>
      </c>
      <c r="P251" s="137">
        <f>'дод. 3'!Q130</f>
        <v>1400000</v>
      </c>
      <c r="Q251" s="250"/>
      <c r="X251" s="126"/>
      <c r="Y251" s="126"/>
    </row>
    <row r="252" spans="1:25" s="87" customFormat="1" ht="60" customHeight="1">
      <c r="A252" s="86"/>
      <c r="B252" s="50" t="s">
        <v>379</v>
      </c>
      <c r="C252" s="129" t="s">
        <v>249</v>
      </c>
      <c r="D252" s="90" t="s">
        <v>569</v>
      </c>
      <c r="E252" s="184">
        <f>'дод. 3'!F129</f>
        <v>660000</v>
      </c>
      <c r="F252" s="184">
        <f>'дод. 3'!G129</f>
        <v>660000</v>
      </c>
      <c r="G252" s="184">
        <f>'дод. 3'!H129</f>
        <v>0</v>
      </c>
      <c r="H252" s="184">
        <f>'дод. 3'!I129</f>
        <v>0</v>
      </c>
      <c r="I252" s="184">
        <f>'дод. 3'!J129</f>
        <v>0</v>
      </c>
      <c r="J252" s="184">
        <f>'дод. 3'!K129</f>
        <v>2900000</v>
      </c>
      <c r="K252" s="184">
        <f>'дод. 3'!L129</f>
        <v>0</v>
      </c>
      <c r="L252" s="184">
        <f>'дод. 3'!M129</f>
        <v>0</v>
      </c>
      <c r="M252" s="184">
        <f>'дод. 3'!N129</f>
        <v>0</v>
      </c>
      <c r="N252" s="184">
        <f>'дод. 3'!O129</f>
        <v>2900000</v>
      </c>
      <c r="O252" s="184">
        <f>'дод. 3'!P129</f>
        <v>1500000</v>
      </c>
      <c r="P252" s="184">
        <f>'дод. 3'!Q129</f>
        <v>3560000</v>
      </c>
      <c r="Q252" s="250"/>
      <c r="X252" s="82"/>
      <c r="Y252" s="82"/>
    </row>
    <row r="253" spans="1:25" s="87" customFormat="1" ht="24" customHeight="1">
      <c r="A253" s="86"/>
      <c r="B253" s="50" t="s">
        <v>379</v>
      </c>
      <c r="C253" s="129" t="s">
        <v>249</v>
      </c>
      <c r="D253" s="90" t="s">
        <v>589</v>
      </c>
      <c r="E253" s="184">
        <f>'дод. 3'!F303</f>
        <v>0</v>
      </c>
      <c r="F253" s="184">
        <f>'дод. 3'!G303</f>
        <v>0</v>
      </c>
      <c r="G253" s="184">
        <f>'дод. 3'!H303</f>
        <v>0</v>
      </c>
      <c r="H253" s="184">
        <f>'дод. 3'!I303</f>
        <v>0</v>
      </c>
      <c r="I253" s="184">
        <f>'дод. 3'!J303</f>
        <v>0</v>
      </c>
      <c r="J253" s="184">
        <f>'дод. 3'!K303</f>
        <v>35510</v>
      </c>
      <c r="K253" s="184">
        <f>'дод. 3'!L303</f>
        <v>0</v>
      </c>
      <c r="L253" s="184">
        <f>'дод. 3'!M303</f>
        <v>0</v>
      </c>
      <c r="M253" s="184">
        <f>'дод. 3'!N303</f>
        <v>0</v>
      </c>
      <c r="N253" s="184">
        <f>'дод. 3'!O303</f>
        <v>35510</v>
      </c>
      <c r="O253" s="184">
        <f>'дод. 3'!P303</f>
        <v>35510</v>
      </c>
      <c r="P253" s="184">
        <f>'дод. 3'!Q303</f>
        <v>35510</v>
      </c>
      <c r="Q253" s="250"/>
      <c r="X253" s="82"/>
      <c r="Y253" s="82"/>
    </row>
    <row r="254" spans="1:25" s="87" customFormat="1" ht="27.75" customHeight="1">
      <c r="A254" s="86"/>
      <c r="B254" s="88"/>
      <c r="C254" s="88"/>
      <c r="D254" s="57" t="s">
        <v>31</v>
      </c>
      <c r="E254" s="183">
        <f>E239+E241</f>
        <v>2350019658.7000003</v>
      </c>
      <c r="F254" s="183">
        <f aca="true" t="shared" si="60" ref="F254:P254">F239+F241</f>
        <v>2276356538.1500006</v>
      </c>
      <c r="G254" s="183">
        <f t="shared" si="60"/>
        <v>545747313</v>
      </c>
      <c r="H254" s="183">
        <f t="shared" si="60"/>
        <v>109470628</v>
      </c>
      <c r="I254" s="183">
        <f t="shared" si="60"/>
        <v>69713392.08</v>
      </c>
      <c r="J254" s="183">
        <f t="shared" si="60"/>
        <v>730081482.4400002</v>
      </c>
      <c r="K254" s="183">
        <f t="shared" si="60"/>
        <v>60466899.97</v>
      </c>
      <c r="L254" s="183">
        <f t="shared" si="60"/>
        <v>5793838</v>
      </c>
      <c r="M254" s="191">
        <f t="shared" si="60"/>
        <v>2423113</v>
      </c>
      <c r="N254" s="183">
        <f t="shared" si="60"/>
        <v>669614582.47</v>
      </c>
      <c r="O254" s="183">
        <f t="shared" si="60"/>
        <v>608221951.05</v>
      </c>
      <c r="P254" s="183">
        <f t="shared" si="60"/>
        <v>3080101141.14</v>
      </c>
      <c r="Q254" s="250"/>
      <c r="X254" s="85"/>
      <c r="Y254" s="85"/>
    </row>
    <row r="255" spans="1:25" s="87" customFormat="1" ht="28.5" customHeight="1">
      <c r="A255" s="86"/>
      <c r="B255" s="88"/>
      <c r="C255" s="88"/>
      <c r="D255" s="91" t="s">
        <v>510</v>
      </c>
      <c r="E255" s="183">
        <f>E240+E242</f>
        <v>1303504722.86</v>
      </c>
      <c r="F255" s="183">
        <f aca="true" t="shared" si="61" ref="F255:P255">F240+F242</f>
        <v>1280739144.27</v>
      </c>
      <c r="G255" s="183">
        <f t="shared" si="61"/>
        <v>184750800</v>
      </c>
      <c r="H255" s="183">
        <f t="shared" si="61"/>
        <v>0</v>
      </c>
      <c r="I255" s="183">
        <f t="shared" si="61"/>
        <v>22765578.59</v>
      </c>
      <c r="J255" s="183">
        <f t="shared" si="61"/>
        <v>57787861.84</v>
      </c>
      <c r="K255" s="183">
        <f t="shared" si="61"/>
        <v>0</v>
      </c>
      <c r="L255" s="183">
        <f t="shared" si="61"/>
        <v>0</v>
      </c>
      <c r="M255" s="183">
        <f t="shared" si="61"/>
        <v>0</v>
      </c>
      <c r="N255" s="183">
        <f t="shared" si="61"/>
        <v>57787861.84</v>
      </c>
      <c r="O255" s="183">
        <f t="shared" si="61"/>
        <v>12612622.05</v>
      </c>
      <c r="P255" s="183">
        <f t="shared" si="61"/>
        <v>1361292584.7</v>
      </c>
      <c r="Q255" s="250"/>
      <c r="X255" s="85"/>
      <c r="Y255" s="85"/>
    </row>
    <row r="256" spans="1:25" s="87" customFormat="1" ht="161.25" customHeight="1">
      <c r="A256" s="86"/>
      <c r="B256" s="136"/>
      <c r="C256" s="136"/>
      <c r="D256" s="136"/>
      <c r="E256" s="136"/>
      <c r="F256" s="136"/>
      <c r="G256" s="136"/>
      <c r="H256" s="136"/>
      <c r="I256" s="136"/>
      <c r="J256" s="136"/>
      <c r="K256" s="136"/>
      <c r="L256" s="136"/>
      <c r="M256" s="136"/>
      <c r="N256" s="136"/>
      <c r="O256" s="136"/>
      <c r="P256" s="136"/>
      <c r="Q256" s="250"/>
      <c r="X256" s="85"/>
      <c r="Y256" s="85"/>
    </row>
    <row r="257" spans="1:25" s="70" customFormat="1" ht="24.75">
      <c r="A257" s="49"/>
      <c r="B257" s="17"/>
      <c r="C257" s="236"/>
      <c r="D257" s="236"/>
      <c r="E257" s="236"/>
      <c r="F257" s="42"/>
      <c r="G257" s="42"/>
      <c r="H257" s="42"/>
      <c r="I257" s="42"/>
      <c r="J257" s="42"/>
      <c r="K257" s="42"/>
      <c r="L257" s="42"/>
      <c r="M257" s="237"/>
      <c r="N257" s="237"/>
      <c r="O257" s="237"/>
      <c r="P257" s="192"/>
      <c r="Q257" s="250"/>
      <c r="X257" s="82"/>
      <c r="Y257" s="82"/>
    </row>
    <row r="258" spans="1:25" s="84" customFormat="1" ht="26.25" customHeight="1">
      <c r="A258" s="83"/>
      <c r="B258" s="236"/>
      <c r="C258" s="236"/>
      <c r="D258" s="236"/>
      <c r="E258" s="236"/>
      <c r="F258" s="236"/>
      <c r="G258" s="236"/>
      <c r="H258" s="236"/>
      <c r="I258" s="42"/>
      <c r="J258" s="42"/>
      <c r="K258" s="192"/>
      <c r="L258" s="42"/>
      <c r="M258" s="237"/>
      <c r="N258" s="237"/>
      <c r="O258" s="237"/>
      <c r="P258" s="237"/>
      <c r="Q258" s="250"/>
      <c r="X258" s="85"/>
      <c r="Y258" s="85"/>
    </row>
    <row r="259" spans="1:25" s="70" customFormat="1" ht="27" customHeight="1">
      <c r="A259" s="49"/>
      <c r="B259" s="256" t="s">
        <v>572</v>
      </c>
      <c r="C259" s="256"/>
      <c r="D259" s="256"/>
      <c r="E259" s="256"/>
      <c r="F259" s="209"/>
      <c r="G259" s="209"/>
      <c r="H259" s="210"/>
      <c r="I259" s="210"/>
      <c r="J259" s="210"/>
      <c r="K259" s="210"/>
      <c r="L259" s="210"/>
      <c r="M259" s="234" t="s">
        <v>573</v>
      </c>
      <c r="N259" s="234"/>
      <c r="O259" s="234"/>
      <c r="P259" s="204"/>
      <c r="Q259" s="250"/>
      <c r="X259" s="82"/>
      <c r="Y259" s="82"/>
    </row>
    <row r="260" spans="1:25" s="70" customFormat="1" ht="27.75">
      <c r="A260" s="49"/>
      <c r="B260" s="96"/>
      <c r="C260" s="96"/>
      <c r="D260" s="96"/>
      <c r="E260" s="173"/>
      <c r="F260" s="81"/>
      <c r="G260" s="80"/>
      <c r="H260" s="80"/>
      <c r="I260" s="80"/>
      <c r="J260" s="80"/>
      <c r="K260" s="80"/>
      <c r="L260" s="80"/>
      <c r="M260" s="38"/>
      <c r="N260" s="38"/>
      <c r="O260" s="38"/>
      <c r="P260" s="152"/>
      <c r="Q260" s="250"/>
      <c r="X260" s="82"/>
      <c r="Y260" s="82"/>
    </row>
    <row r="261" spans="1:25" s="70" customFormat="1" ht="15">
      <c r="A261" s="49"/>
      <c r="B261" s="71"/>
      <c r="C261" s="49"/>
      <c r="D261" s="49"/>
      <c r="E261" s="72"/>
      <c r="F261" s="72"/>
      <c r="G261" s="72"/>
      <c r="H261" s="72"/>
      <c r="I261" s="72"/>
      <c r="J261" s="72"/>
      <c r="K261" s="72"/>
      <c r="L261" s="72"/>
      <c r="M261" s="72"/>
      <c r="N261" s="72"/>
      <c r="O261" s="72"/>
      <c r="P261" s="72"/>
      <c r="Q261" s="213"/>
      <c r="X261" s="82"/>
      <c r="Y261" s="82"/>
    </row>
    <row r="262" spans="1:25" s="70" customFormat="1" ht="15">
      <c r="A262" s="49"/>
      <c r="B262" s="71"/>
      <c r="C262" s="49"/>
      <c r="D262" s="49"/>
      <c r="E262" s="72">
        <f>E254-'дод. 3'!F321</f>
        <v>0</v>
      </c>
      <c r="F262" s="72">
        <f>F254-'дод. 3'!G321</f>
        <v>0</v>
      </c>
      <c r="G262" s="72">
        <f>G254-'дод. 3'!H321</f>
        <v>0</v>
      </c>
      <c r="H262" s="72">
        <f>H254-'дод. 3'!I321</f>
        <v>0</v>
      </c>
      <c r="I262" s="72">
        <f>I254-'дод. 3'!J321</f>
        <v>0</v>
      </c>
      <c r="J262" s="72">
        <f>J254-'дод. 3'!K321</f>
        <v>0</v>
      </c>
      <c r="K262" s="72">
        <f>K254-'дод. 3'!L321</f>
        <v>0</v>
      </c>
      <c r="L262" s="72">
        <f>L254-'дод. 3'!M321</f>
        <v>0</v>
      </c>
      <c r="M262" s="72">
        <f>M254-'дод. 3'!N321</f>
        <v>0</v>
      </c>
      <c r="N262" s="72">
        <f>N254-'дод. 3'!O321</f>
        <v>0</v>
      </c>
      <c r="O262" s="72">
        <f>O254-'дод. 3'!P321</f>
        <v>0</v>
      </c>
      <c r="P262" s="72">
        <f>P254-'дод. 3'!Q321</f>
        <v>0</v>
      </c>
      <c r="Q262" s="213"/>
      <c r="X262" s="82"/>
      <c r="Y262" s="82"/>
    </row>
    <row r="263" spans="1:25" s="70" customFormat="1" ht="15">
      <c r="A263" s="49"/>
      <c r="B263" s="71"/>
      <c r="C263" s="49"/>
      <c r="D263" s="49"/>
      <c r="E263" s="72">
        <f>E255-'дод. 3'!F322</f>
        <v>0</v>
      </c>
      <c r="F263" s="72">
        <f>F255-'дод. 3'!G322</f>
        <v>0</v>
      </c>
      <c r="G263" s="72">
        <f>G255-'дод. 3'!H322</f>
        <v>0</v>
      </c>
      <c r="H263" s="72">
        <f>H255-'дод. 3'!I322</f>
        <v>0</v>
      </c>
      <c r="I263" s="72">
        <f>I255-'дод. 3'!J322</f>
        <v>0</v>
      </c>
      <c r="J263" s="72">
        <f>J255-'дод. 3'!K322</f>
        <v>0</v>
      </c>
      <c r="K263" s="72">
        <f>K255-'дод. 3'!L322</f>
        <v>0</v>
      </c>
      <c r="L263" s="72">
        <f>L255-'дод. 3'!M322</f>
        <v>0</v>
      </c>
      <c r="M263" s="72">
        <f>M255-'дод. 3'!N322</f>
        <v>0</v>
      </c>
      <c r="N263" s="72">
        <f>N255-'дод. 3'!O322</f>
        <v>0</v>
      </c>
      <c r="O263" s="72">
        <f>O255-'дод. 3'!P322</f>
        <v>0</v>
      </c>
      <c r="P263" s="72">
        <f>P255-'дод. 3'!Q322</f>
        <v>0</v>
      </c>
      <c r="Q263" s="213"/>
      <c r="X263" s="82"/>
      <c r="Y263" s="82"/>
    </row>
    <row r="264" spans="1:25" s="70" customFormat="1" ht="15">
      <c r="A264" s="49"/>
      <c r="B264" s="71"/>
      <c r="C264" s="49"/>
      <c r="D264" s="49"/>
      <c r="E264" s="72"/>
      <c r="F264" s="72"/>
      <c r="G264" s="72"/>
      <c r="H264" s="72"/>
      <c r="I264" s="72"/>
      <c r="J264" s="72"/>
      <c r="K264" s="72"/>
      <c r="L264" s="72"/>
      <c r="M264" s="72"/>
      <c r="N264" s="72"/>
      <c r="O264" s="72"/>
      <c r="P264" s="72"/>
      <c r="Q264" s="213"/>
      <c r="R264" s="72"/>
      <c r="S264" s="72"/>
      <c r="X264" s="82"/>
      <c r="Y264" s="82"/>
    </row>
    <row r="265" spans="1:25" s="70" customFormat="1" ht="15">
      <c r="A265" s="49"/>
      <c r="B265" s="71"/>
      <c r="C265" s="49"/>
      <c r="D265" s="49"/>
      <c r="E265" s="72"/>
      <c r="F265" s="72"/>
      <c r="G265" s="72"/>
      <c r="H265" s="72"/>
      <c r="I265" s="72"/>
      <c r="J265" s="72"/>
      <c r="K265" s="72"/>
      <c r="L265" s="72"/>
      <c r="M265" s="72"/>
      <c r="N265" s="72"/>
      <c r="O265" s="72"/>
      <c r="P265" s="72"/>
      <c r="Q265" s="213"/>
      <c r="X265" s="82"/>
      <c r="Y265" s="82"/>
    </row>
    <row r="266" spans="1:25" s="70" customFormat="1" ht="15">
      <c r="A266" s="49"/>
      <c r="B266" s="71"/>
      <c r="C266" s="49"/>
      <c r="D266" s="49"/>
      <c r="E266" s="72">
        <f>E254-'дод. 3'!F321</f>
        <v>0</v>
      </c>
      <c r="F266" s="72">
        <f>F254-'дод. 3'!G321</f>
        <v>0</v>
      </c>
      <c r="G266" s="72">
        <f>G254-'дод. 3'!H321</f>
        <v>0</v>
      </c>
      <c r="H266" s="72">
        <f>H254-'дод. 3'!I321</f>
        <v>0</v>
      </c>
      <c r="I266" s="72">
        <f>I254-'дод. 3'!J321</f>
        <v>0</v>
      </c>
      <c r="J266" s="72">
        <f>J254-'дод. 3'!K321</f>
        <v>0</v>
      </c>
      <c r="K266" s="72">
        <f>K254-'дод. 3'!L321</f>
        <v>0</v>
      </c>
      <c r="L266" s="72">
        <f>L254-'дод. 3'!M321</f>
        <v>0</v>
      </c>
      <c r="M266" s="72">
        <f>M254-'дод. 3'!N321</f>
        <v>0</v>
      </c>
      <c r="N266" s="72">
        <f>N254-'дод. 3'!O321</f>
        <v>0</v>
      </c>
      <c r="O266" s="72">
        <f>O254-'дод. 3'!P321</f>
        <v>0</v>
      </c>
      <c r="P266" s="72">
        <f>P254-'дод. 3'!Q321</f>
        <v>0</v>
      </c>
      <c r="Q266" s="213"/>
      <c r="X266" s="82"/>
      <c r="Y266" s="82"/>
    </row>
    <row r="267" spans="1:25" s="70" customFormat="1" ht="15">
      <c r="A267" s="49"/>
      <c r="B267" s="71"/>
      <c r="C267" s="49"/>
      <c r="D267" s="49"/>
      <c r="E267" s="72">
        <f>E255-'дод. 3'!F322</f>
        <v>0</v>
      </c>
      <c r="F267" s="72">
        <f>F255-'дод. 3'!G322</f>
        <v>0</v>
      </c>
      <c r="G267" s="72">
        <f>G255-'дод. 3'!H322</f>
        <v>0</v>
      </c>
      <c r="H267" s="72">
        <f>H255-'дод. 3'!I322</f>
        <v>0</v>
      </c>
      <c r="I267" s="72">
        <f>I255-'дод. 3'!J322</f>
        <v>0</v>
      </c>
      <c r="J267" s="72">
        <f>J255-'дод. 3'!K322</f>
        <v>0</v>
      </c>
      <c r="K267" s="72">
        <f>K255-'дод. 3'!L322</f>
        <v>0</v>
      </c>
      <c r="L267" s="72">
        <f>L255-'дод. 3'!M322</f>
        <v>0</v>
      </c>
      <c r="M267" s="72">
        <f>M255-'дод. 3'!N322</f>
        <v>0</v>
      </c>
      <c r="N267" s="72">
        <f>N255-'дод. 3'!O322</f>
        <v>0</v>
      </c>
      <c r="O267" s="72">
        <f>O255-'дод. 3'!P322</f>
        <v>0</v>
      </c>
      <c r="P267" s="72">
        <f>P255-'дод. 3'!Q322</f>
        <v>0</v>
      </c>
      <c r="Q267" s="213"/>
      <c r="X267" s="82"/>
      <c r="Y267" s="82"/>
    </row>
    <row r="268" spans="1:25" s="70" customFormat="1" ht="15">
      <c r="A268" s="49"/>
      <c r="B268" s="71"/>
      <c r="C268" s="49"/>
      <c r="D268" s="49"/>
      <c r="E268" s="72"/>
      <c r="F268" s="73"/>
      <c r="G268" s="73"/>
      <c r="H268" s="73"/>
      <c r="I268" s="73"/>
      <c r="J268" s="72"/>
      <c r="K268" s="73"/>
      <c r="L268" s="73"/>
      <c r="M268" s="73"/>
      <c r="N268" s="73"/>
      <c r="O268" s="73"/>
      <c r="P268" s="72"/>
      <c r="Q268" s="213"/>
      <c r="X268" s="82"/>
      <c r="Y268" s="82"/>
    </row>
    <row r="269" spans="1:25" s="70" customFormat="1" ht="15">
      <c r="A269" s="49"/>
      <c r="B269" s="71"/>
      <c r="C269" s="49"/>
      <c r="D269" s="49"/>
      <c r="E269" s="72"/>
      <c r="F269" s="73"/>
      <c r="G269" s="73"/>
      <c r="H269" s="73"/>
      <c r="I269" s="73"/>
      <c r="J269" s="72"/>
      <c r="K269" s="73"/>
      <c r="L269" s="73"/>
      <c r="M269" s="73"/>
      <c r="N269" s="73"/>
      <c r="O269" s="73"/>
      <c r="P269" s="72"/>
      <c r="Q269" s="213"/>
      <c r="X269" s="82"/>
      <c r="Y269" s="82"/>
    </row>
    <row r="270" spans="1:25" s="70" customFormat="1" ht="15">
      <c r="A270" s="49"/>
      <c r="B270" s="71"/>
      <c r="C270" s="49"/>
      <c r="D270" s="49"/>
      <c r="E270" s="72"/>
      <c r="F270" s="73"/>
      <c r="G270" s="73"/>
      <c r="H270" s="73"/>
      <c r="I270" s="73"/>
      <c r="J270" s="72"/>
      <c r="K270" s="73"/>
      <c r="L270" s="73"/>
      <c r="M270" s="73"/>
      <c r="N270" s="73"/>
      <c r="O270" s="73"/>
      <c r="P270" s="72"/>
      <c r="Q270" s="213"/>
      <c r="X270" s="82"/>
      <c r="Y270" s="82"/>
    </row>
    <row r="271" spans="1:25" s="70" customFormat="1" ht="15">
      <c r="A271" s="49"/>
      <c r="B271" s="71"/>
      <c r="C271" s="49"/>
      <c r="D271" s="49"/>
      <c r="E271" s="72"/>
      <c r="F271" s="73"/>
      <c r="G271" s="73"/>
      <c r="H271" s="73"/>
      <c r="I271" s="73"/>
      <c r="J271" s="72"/>
      <c r="K271" s="73"/>
      <c r="L271" s="73"/>
      <c r="M271" s="73"/>
      <c r="N271" s="73"/>
      <c r="O271" s="73"/>
      <c r="P271" s="72"/>
      <c r="Q271" s="213"/>
      <c r="X271" s="82"/>
      <c r="Y271" s="82"/>
    </row>
    <row r="272" spans="1:25" s="70" customFormat="1" ht="15">
      <c r="A272" s="49"/>
      <c r="B272" s="71"/>
      <c r="C272" s="49"/>
      <c r="D272" s="49"/>
      <c r="E272" s="72"/>
      <c r="F272" s="73"/>
      <c r="G272" s="73"/>
      <c r="H272" s="73"/>
      <c r="I272" s="73"/>
      <c r="J272" s="72"/>
      <c r="K272" s="73"/>
      <c r="L272" s="73"/>
      <c r="M272" s="73"/>
      <c r="N272" s="73"/>
      <c r="O272" s="73"/>
      <c r="P272" s="72"/>
      <c r="Q272" s="213"/>
      <c r="X272" s="82"/>
      <c r="Y272" s="82"/>
    </row>
    <row r="273" spans="1:25" s="70" customFormat="1" ht="15">
      <c r="A273" s="49"/>
      <c r="B273" s="71"/>
      <c r="C273" s="49"/>
      <c r="D273" s="49"/>
      <c r="E273" s="72"/>
      <c r="F273" s="73"/>
      <c r="G273" s="73"/>
      <c r="H273" s="73"/>
      <c r="I273" s="73"/>
      <c r="J273" s="72"/>
      <c r="K273" s="73"/>
      <c r="L273" s="73"/>
      <c r="M273" s="73"/>
      <c r="N273" s="73"/>
      <c r="O273" s="73"/>
      <c r="P273" s="72"/>
      <c r="Q273" s="213"/>
      <c r="X273" s="82"/>
      <c r="Y273" s="82"/>
    </row>
    <row r="274" spans="1:17" s="70" customFormat="1" ht="15">
      <c r="A274" s="49"/>
      <c r="B274" s="71"/>
      <c r="C274" s="49"/>
      <c r="D274" s="49"/>
      <c r="E274" s="72"/>
      <c r="F274" s="73"/>
      <c r="G274" s="73"/>
      <c r="H274" s="73"/>
      <c r="I274" s="73"/>
      <c r="J274" s="72"/>
      <c r="K274" s="73"/>
      <c r="L274" s="73"/>
      <c r="M274" s="73"/>
      <c r="N274" s="73"/>
      <c r="O274" s="73"/>
      <c r="P274" s="72"/>
      <c r="Q274" s="213"/>
    </row>
    <row r="275" spans="1:17" s="70" customFormat="1" ht="15">
      <c r="A275" s="49"/>
      <c r="B275" s="71"/>
      <c r="C275" s="49"/>
      <c r="D275" s="49"/>
      <c r="E275" s="72"/>
      <c r="F275" s="73"/>
      <c r="G275" s="73"/>
      <c r="H275" s="73"/>
      <c r="I275" s="73"/>
      <c r="J275" s="72"/>
      <c r="K275" s="73"/>
      <c r="L275" s="73"/>
      <c r="M275" s="73"/>
      <c r="N275" s="73"/>
      <c r="O275" s="73"/>
      <c r="P275" s="72"/>
      <c r="Q275" s="213"/>
    </row>
    <row r="276" spans="1:17" s="70" customFormat="1" ht="15">
      <c r="A276" s="49"/>
      <c r="B276" s="71"/>
      <c r="C276" s="49"/>
      <c r="D276" s="49"/>
      <c r="E276" s="72"/>
      <c r="F276" s="73"/>
      <c r="G276" s="73"/>
      <c r="H276" s="73"/>
      <c r="I276" s="73"/>
      <c r="J276" s="72"/>
      <c r="K276" s="73"/>
      <c r="L276" s="73"/>
      <c r="M276" s="73"/>
      <c r="N276" s="73"/>
      <c r="O276" s="73"/>
      <c r="P276" s="72"/>
      <c r="Q276" s="199"/>
    </row>
    <row r="277" spans="1:17" s="70" customFormat="1" ht="15">
      <c r="A277" s="49"/>
      <c r="B277" s="71"/>
      <c r="C277" s="49"/>
      <c r="D277" s="49"/>
      <c r="E277" s="72"/>
      <c r="F277" s="73"/>
      <c r="G277" s="73"/>
      <c r="H277" s="73"/>
      <c r="I277" s="73"/>
      <c r="J277" s="72"/>
      <c r="K277" s="73"/>
      <c r="L277" s="73"/>
      <c r="M277" s="73"/>
      <c r="N277" s="73"/>
      <c r="O277" s="73"/>
      <c r="P277" s="72"/>
      <c r="Q277" s="199"/>
    </row>
    <row r="278" spans="1:17" s="70" customFormat="1" ht="15">
      <c r="A278" s="49"/>
      <c r="B278" s="71"/>
      <c r="C278" s="49"/>
      <c r="D278" s="49"/>
      <c r="E278" s="72"/>
      <c r="F278" s="73"/>
      <c r="G278" s="73"/>
      <c r="H278" s="73"/>
      <c r="I278" s="73"/>
      <c r="J278" s="72"/>
      <c r="K278" s="73"/>
      <c r="L278" s="73"/>
      <c r="M278" s="73"/>
      <c r="N278" s="73"/>
      <c r="O278" s="73"/>
      <c r="P278" s="72"/>
      <c r="Q278" s="199"/>
    </row>
    <row r="279" spans="1:17" s="70" customFormat="1" ht="15">
      <c r="A279" s="49"/>
      <c r="B279" s="71"/>
      <c r="C279" s="49"/>
      <c r="D279" s="49"/>
      <c r="E279" s="72"/>
      <c r="F279" s="73"/>
      <c r="G279" s="73"/>
      <c r="H279" s="73"/>
      <c r="I279" s="73"/>
      <c r="J279" s="72"/>
      <c r="K279" s="73"/>
      <c r="L279" s="73"/>
      <c r="M279" s="73"/>
      <c r="N279" s="73"/>
      <c r="O279" s="73"/>
      <c r="P279" s="72"/>
      <c r="Q279" s="199"/>
    </row>
    <row r="280" spans="1:17" s="70" customFormat="1" ht="15">
      <c r="A280" s="49"/>
      <c r="B280" s="71"/>
      <c r="C280" s="49"/>
      <c r="D280" s="49"/>
      <c r="E280" s="72"/>
      <c r="F280" s="73"/>
      <c r="G280" s="73"/>
      <c r="H280" s="73"/>
      <c r="I280" s="73"/>
      <c r="J280" s="72"/>
      <c r="K280" s="73"/>
      <c r="L280" s="73"/>
      <c r="M280" s="73"/>
      <c r="N280" s="73"/>
      <c r="O280" s="73"/>
      <c r="P280" s="72"/>
      <c r="Q280" s="199"/>
    </row>
    <row r="281" spans="1:17" s="70" customFormat="1" ht="15">
      <c r="A281" s="49"/>
      <c r="B281" s="71"/>
      <c r="C281" s="49"/>
      <c r="D281" s="49"/>
      <c r="E281" s="72"/>
      <c r="F281" s="73"/>
      <c r="G281" s="73"/>
      <c r="H281" s="73"/>
      <c r="I281" s="73"/>
      <c r="J281" s="72"/>
      <c r="K281" s="73"/>
      <c r="L281" s="73"/>
      <c r="M281" s="73"/>
      <c r="N281" s="73"/>
      <c r="O281" s="73"/>
      <c r="P281" s="72"/>
      <c r="Q281" s="199"/>
    </row>
    <row r="282" spans="1:17" s="70" customFormat="1" ht="15">
      <c r="A282" s="49"/>
      <c r="B282" s="71"/>
      <c r="C282" s="49"/>
      <c r="D282" s="49"/>
      <c r="E282" s="72"/>
      <c r="F282" s="73"/>
      <c r="G282" s="73"/>
      <c r="H282" s="73"/>
      <c r="I282" s="73"/>
      <c r="J282" s="72"/>
      <c r="K282" s="73"/>
      <c r="L282" s="73"/>
      <c r="M282" s="73"/>
      <c r="N282" s="73"/>
      <c r="O282" s="73"/>
      <c r="P282" s="72"/>
      <c r="Q282" s="199"/>
    </row>
    <row r="283" spans="1:17" s="70" customFormat="1" ht="15">
      <c r="A283" s="49"/>
      <c r="B283" s="71"/>
      <c r="C283" s="49"/>
      <c r="D283" s="49"/>
      <c r="E283" s="72"/>
      <c r="F283" s="73"/>
      <c r="G283" s="73"/>
      <c r="H283" s="73"/>
      <c r="I283" s="73"/>
      <c r="J283" s="72"/>
      <c r="K283" s="73"/>
      <c r="L283" s="73"/>
      <c r="M283" s="73"/>
      <c r="N283" s="73"/>
      <c r="O283" s="73"/>
      <c r="P283" s="72"/>
      <c r="Q283" s="199"/>
    </row>
    <row r="284" spans="1:17" s="70" customFormat="1" ht="15">
      <c r="A284" s="49"/>
      <c r="B284" s="71"/>
      <c r="C284" s="49"/>
      <c r="D284" s="49"/>
      <c r="E284" s="72"/>
      <c r="F284" s="73"/>
      <c r="G284" s="73"/>
      <c r="H284" s="73"/>
      <c r="I284" s="73"/>
      <c r="J284" s="72"/>
      <c r="K284" s="73"/>
      <c r="L284" s="73"/>
      <c r="M284" s="73"/>
      <c r="N284" s="73"/>
      <c r="O284" s="73"/>
      <c r="P284" s="72"/>
      <c r="Q284" s="199"/>
    </row>
    <row r="285" spans="1:17" s="70" customFormat="1" ht="15">
      <c r="A285" s="49"/>
      <c r="B285" s="71"/>
      <c r="C285" s="49"/>
      <c r="D285" s="49"/>
      <c r="E285" s="72"/>
      <c r="F285" s="73"/>
      <c r="G285" s="73"/>
      <c r="H285" s="73"/>
      <c r="I285" s="73"/>
      <c r="J285" s="72"/>
      <c r="K285" s="73"/>
      <c r="L285" s="73"/>
      <c r="M285" s="73"/>
      <c r="N285" s="73"/>
      <c r="O285" s="73"/>
      <c r="P285" s="72"/>
      <c r="Q285" s="199"/>
    </row>
    <row r="286" spans="1:17" s="70" customFormat="1" ht="15">
      <c r="A286" s="49"/>
      <c r="B286" s="71"/>
      <c r="C286" s="49"/>
      <c r="D286" s="49"/>
      <c r="E286" s="72"/>
      <c r="F286" s="73"/>
      <c r="G286" s="73"/>
      <c r="H286" s="73"/>
      <c r="I286" s="73"/>
      <c r="J286" s="72"/>
      <c r="K286" s="73"/>
      <c r="L286" s="73"/>
      <c r="M286" s="73"/>
      <c r="N286" s="73"/>
      <c r="O286" s="73"/>
      <c r="P286" s="72"/>
      <c r="Q286" s="199"/>
    </row>
    <row r="287" spans="1:17" s="70" customFormat="1" ht="15">
      <c r="A287" s="49"/>
      <c r="B287" s="71"/>
      <c r="C287" s="49"/>
      <c r="D287" s="49"/>
      <c r="E287" s="72"/>
      <c r="F287" s="73"/>
      <c r="G287" s="73"/>
      <c r="H287" s="73"/>
      <c r="I287" s="73"/>
      <c r="J287" s="72"/>
      <c r="K287" s="73"/>
      <c r="L287" s="73"/>
      <c r="M287" s="73"/>
      <c r="N287" s="73"/>
      <c r="O287" s="73"/>
      <c r="P287" s="72"/>
      <c r="Q287" s="199"/>
    </row>
    <row r="288" spans="1:17" s="70" customFormat="1" ht="15">
      <c r="A288" s="49"/>
      <c r="B288" s="71"/>
      <c r="C288" s="49"/>
      <c r="D288" s="49"/>
      <c r="E288" s="72"/>
      <c r="F288" s="73"/>
      <c r="G288" s="73"/>
      <c r="H288" s="73"/>
      <c r="I288" s="73"/>
      <c r="J288" s="72"/>
      <c r="K288" s="73"/>
      <c r="L288" s="73"/>
      <c r="M288" s="73"/>
      <c r="N288" s="73"/>
      <c r="O288" s="73"/>
      <c r="P288" s="72"/>
      <c r="Q288" s="199"/>
    </row>
    <row r="289" spans="1:17" s="70" customFormat="1" ht="15">
      <c r="A289" s="49"/>
      <c r="B289" s="71"/>
      <c r="C289" s="49"/>
      <c r="D289" s="49"/>
      <c r="E289" s="72"/>
      <c r="F289" s="73"/>
      <c r="G289" s="73"/>
      <c r="H289" s="73"/>
      <c r="I289" s="73"/>
      <c r="J289" s="72"/>
      <c r="K289" s="73"/>
      <c r="L289" s="73"/>
      <c r="M289" s="73"/>
      <c r="N289" s="73"/>
      <c r="O289" s="73"/>
      <c r="P289" s="72"/>
      <c r="Q289" s="199"/>
    </row>
    <row r="290" spans="1:17" s="70" customFormat="1" ht="15">
      <c r="A290" s="49"/>
      <c r="B290" s="71"/>
      <c r="C290" s="49"/>
      <c r="D290" s="49"/>
      <c r="E290" s="72"/>
      <c r="F290" s="73"/>
      <c r="G290" s="73"/>
      <c r="H290" s="73"/>
      <c r="I290" s="73"/>
      <c r="J290" s="72"/>
      <c r="K290" s="73"/>
      <c r="L290" s="73"/>
      <c r="M290" s="73"/>
      <c r="N290" s="73"/>
      <c r="O290" s="73"/>
      <c r="P290" s="72"/>
      <c r="Q290" s="199"/>
    </row>
    <row r="291" spans="1:17" s="70" customFormat="1" ht="15">
      <c r="A291" s="49"/>
      <c r="B291" s="71"/>
      <c r="C291" s="49"/>
      <c r="D291" s="49"/>
      <c r="E291" s="72"/>
      <c r="F291" s="73"/>
      <c r="G291" s="73"/>
      <c r="H291" s="73"/>
      <c r="I291" s="73"/>
      <c r="J291" s="72"/>
      <c r="K291" s="73"/>
      <c r="L291" s="73"/>
      <c r="M291" s="73"/>
      <c r="N291" s="73"/>
      <c r="O291" s="73"/>
      <c r="P291" s="72"/>
      <c r="Q291" s="199"/>
    </row>
    <row r="292" spans="1:17" s="70" customFormat="1" ht="15">
      <c r="A292" s="49"/>
      <c r="B292" s="71"/>
      <c r="C292" s="49"/>
      <c r="D292" s="49"/>
      <c r="E292" s="72"/>
      <c r="F292" s="73"/>
      <c r="G292" s="73"/>
      <c r="H292" s="73"/>
      <c r="I292" s="73"/>
      <c r="J292" s="72"/>
      <c r="K292" s="73"/>
      <c r="L292" s="73"/>
      <c r="M292" s="73"/>
      <c r="N292" s="73"/>
      <c r="O292" s="73"/>
      <c r="P292" s="72"/>
      <c r="Q292" s="199"/>
    </row>
    <row r="293" spans="1:17" s="70" customFormat="1" ht="15">
      <c r="A293" s="49"/>
      <c r="B293" s="71"/>
      <c r="C293" s="49"/>
      <c r="D293" s="49"/>
      <c r="E293" s="72"/>
      <c r="F293" s="73"/>
      <c r="G293" s="73"/>
      <c r="H293" s="73"/>
      <c r="I293" s="73"/>
      <c r="J293" s="72"/>
      <c r="K293" s="73"/>
      <c r="L293" s="73"/>
      <c r="M293" s="73"/>
      <c r="N293" s="73"/>
      <c r="O293" s="73"/>
      <c r="P293" s="72"/>
      <c r="Q293" s="199"/>
    </row>
    <row r="294" spans="1:17" s="70" customFormat="1" ht="15">
      <c r="A294" s="49"/>
      <c r="B294" s="71"/>
      <c r="C294" s="49"/>
      <c r="D294" s="49"/>
      <c r="E294" s="72"/>
      <c r="F294" s="73"/>
      <c r="G294" s="73"/>
      <c r="H294" s="73"/>
      <c r="I294" s="73"/>
      <c r="J294" s="72"/>
      <c r="K294" s="73"/>
      <c r="L294" s="73"/>
      <c r="M294" s="73"/>
      <c r="N294" s="73"/>
      <c r="O294" s="73"/>
      <c r="P294" s="72"/>
      <c r="Q294" s="199"/>
    </row>
    <row r="295" spans="1:17" s="70" customFormat="1" ht="15">
      <c r="A295" s="49"/>
      <c r="B295" s="71"/>
      <c r="C295" s="49"/>
      <c r="D295" s="49"/>
      <c r="E295" s="72"/>
      <c r="F295" s="73"/>
      <c r="G295" s="73"/>
      <c r="H295" s="73"/>
      <c r="I295" s="73"/>
      <c r="J295" s="72"/>
      <c r="K295" s="73"/>
      <c r="L295" s="73"/>
      <c r="M295" s="73"/>
      <c r="N295" s="73"/>
      <c r="O295" s="73"/>
      <c r="P295" s="72"/>
      <c r="Q295" s="199"/>
    </row>
    <row r="296" spans="1:17" s="70" customFormat="1" ht="15">
      <c r="A296" s="49"/>
      <c r="B296" s="71"/>
      <c r="C296" s="49"/>
      <c r="D296" s="49"/>
      <c r="E296" s="72"/>
      <c r="F296" s="73"/>
      <c r="G296" s="73"/>
      <c r="H296" s="73"/>
      <c r="I296" s="73"/>
      <c r="J296" s="72"/>
      <c r="K296" s="73"/>
      <c r="L296" s="73"/>
      <c r="M296" s="73"/>
      <c r="N296" s="73"/>
      <c r="O296" s="73"/>
      <c r="P296" s="72"/>
      <c r="Q296" s="199"/>
    </row>
    <row r="297" spans="1:17" s="70" customFormat="1" ht="15">
      <c r="A297" s="49"/>
      <c r="B297" s="71"/>
      <c r="C297" s="49"/>
      <c r="D297" s="49"/>
      <c r="E297" s="72"/>
      <c r="F297" s="73"/>
      <c r="G297" s="73"/>
      <c r="H297" s="73"/>
      <c r="I297" s="73"/>
      <c r="J297" s="72"/>
      <c r="K297" s="73"/>
      <c r="L297" s="73"/>
      <c r="M297" s="73"/>
      <c r="N297" s="73"/>
      <c r="O297" s="73"/>
      <c r="P297" s="72"/>
      <c r="Q297" s="199"/>
    </row>
    <row r="298" spans="1:17" s="70" customFormat="1" ht="15">
      <c r="A298" s="49"/>
      <c r="B298" s="71"/>
      <c r="C298" s="49"/>
      <c r="D298" s="49"/>
      <c r="E298" s="72"/>
      <c r="F298" s="73"/>
      <c r="G298" s="73"/>
      <c r="H298" s="73"/>
      <c r="I298" s="73"/>
      <c r="J298" s="72"/>
      <c r="K298" s="73"/>
      <c r="L298" s="73"/>
      <c r="M298" s="73"/>
      <c r="N298" s="73"/>
      <c r="O298" s="73"/>
      <c r="P298" s="72"/>
      <c r="Q298" s="199"/>
    </row>
    <row r="299" spans="1:17" s="70" customFormat="1" ht="15">
      <c r="A299" s="49"/>
      <c r="B299" s="71"/>
      <c r="C299" s="49"/>
      <c r="D299" s="49"/>
      <c r="E299" s="72"/>
      <c r="F299" s="73"/>
      <c r="G299" s="73"/>
      <c r="H299" s="73"/>
      <c r="I299" s="73"/>
      <c r="J299" s="72"/>
      <c r="K299" s="73"/>
      <c r="L299" s="73"/>
      <c r="M299" s="73"/>
      <c r="N299" s="73"/>
      <c r="O299" s="73"/>
      <c r="P299" s="72"/>
      <c r="Q299" s="199"/>
    </row>
    <row r="300" spans="1:17" s="70" customFormat="1" ht="15">
      <c r="A300" s="49"/>
      <c r="B300" s="71"/>
      <c r="C300" s="49"/>
      <c r="D300" s="49"/>
      <c r="E300" s="72"/>
      <c r="F300" s="73"/>
      <c r="G300" s="73"/>
      <c r="H300" s="73"/>
      <c r="I300" s="73"/>
      <c r="J300" s="72"/>
      <c r="K300" s="73"/>
      <c r="L300" s="73"/>
      <c r="M300" s="73"/>
      <c r="N300" s="73"/>
      <c r="O300" s="73"/>
      <c r="P300" s="72"/>
      <c r="Q300" s="199"/>
    </row>
    <row r="301" spans="1:17" s="70" customFormat="1" ht="15">
      <c r="A301" s="49"/>
      <c r="B301" s="71"/>
      <c r="C301" s="49"/>
      <c r="D301" s="49"/>
      <c r="E301" s="72"/>
      <c r="F301" s="73"/>
      <c r="G301" s="73"/>
      <c r="H301" s="73"/>
      <c r="I301" s="73"/>
      <c r="J301" s="72"/>
      <c r="K301" s="73"/>
      <c r="L301" s="73"/>
      <c r="M301" s="73"/>
      <c r="N301" s="73"/>
      <c r="O301" s="73"/>
      <c r="P301" s="72"/>
      <c r="Q301" s="199"/>
    </row>
    <row r="302" spans="1:17" s="70" customFormat="1" ht="15">
      <c r="A302" s="49"/>
      <c r="B302" s="71"/>
      <c r="C302" s="49"/>
      <c r="D302" s="49"/>
      <c r="E302" s="72"/>
      <c r="F302" s="73"/>
      <c r="G302" s="73"/>
      <c r="H302" s="73"/>
      <c r="I302" s="73"/>
      <c r="J302" s="72"/>
      <c r="K302" s="73"/>
      <c r="L302" s="73"/>
      <c r="M302" s="73"/>
      <c r="N302" s="73"/>
      <c r="O302" s="73"/>
      <c r="P302" s="72"/>
      <c r="Q302" s="199"/>
    </row>
    <row r="303" spans="1:17" s="70" customFormat="1" ht="15">
      <c r="A303" s="49"/>
      <c r="B303" s="71"/>
      <c r="C303" s="49"/>
      <c r="D303" s="49"/>
      <c r="E303" s="72"/>
      <c r="F303" s="73"/>
      <c r="G303" s="73"/>
      <c r="H303" s="73"/>
      <c r="I303" s="73"/>
      <c r="J303" s="72"/>
      <c r="K303" s="73"/>
      <c r="L303" s="73"/>
      <c r="M303" s="73"/>
      <c r="N303" s="73"/>
      <c r="O303" s="73"/>
      <c r="P303" s="72"/>
      <c r="Q303" s="199"/>
    </row>
    <row r="304" spans="1:17" s="70" customFormat="1" ht="15">
      <c r="A304" s="49"/>
      <c r="B304" s="71"/>
      <c r="C304" s="49"/>
      <c r="D304" s="49"/>
      <c r="E304" s="72"/>
      <c r="F304" s="73"/>
      <c r="G304" s="73"/>
      <c r="H304" s="73"/>
      <c r="I304" s="73"/>
      <c r="J304" s="72"/>
      <c r="K304" s="73"/>
      <c r="L304" s="73"/>
      <c r="M304" s="73"/>
      <c r="N304" s="73"/>
      <c r="O304" s="73"/>
      <c r="P304" s="72"/>
      <c r="Q304" s="199"/>
    </row>
    <row r="305" spans="1:17" s="70" customFormat="1" ht="15">
      <c r="A305" s="49"/>
      <c r="B305" s="71"/>
      <c r="C305" s="49"/>
      <c r="D305" s="49"/>
      <c r="E305" s="72"/>
      <c r="F305" s="73"/>
      <c r="G305" s="73"/>
      <c r="H305" s="73"/>
      <c r="I305" s="73"/>
      <c r="J305" s="72"/>
      <c r="K305" s="73"/>
      <c r="L305" s="73"/>
      <c r="M305" s="73"/>
      <c r="N305" s="73"/>
      <c r="O305" s="73"/>
      <c r="P305" s="72"/>
      <c r="Q305" s="199"/>
    </row>
    <row r="306" spans="1:17" s="70" customFormat="1" ht="15">
      <c r="A306" s="49"/>
      <c r="B306" s="71"/>
      <c r="C306" s="49"/>
      <c r="D306" s="49"/>
      <c r="E306" s="72"/>
      <c r="F306" s="73"/>
      <c r="G306" s="73"/>
      <c r="H306" s="73"/>
      <c r="I306" s="73"/>
      <c r="J306" s="72"/>
      <c r="K306" s="73"/>
      <c r="L306" s="73"/>
      <c r="M306" s="73"/>
      <c r="N306" s="73"/>
      <c r="O306" s="73"/>
      <c r="P306" s="72"/>
      <c r="Q306" s="199"/>
    </row>
    <row r="307" spans="1:17" s="70" customFormat="1" ht="15">
      <c r="A307" s="49"/>
      <c r="B307" s="71"/>
      <c r="C307" s="49"/>
      <c r="D307" s="49"/>
      <c r="E307" s="72"/>
      <c r="F307" s="73"/>
      <c r="G307" s="73"/>
      <c r="H307" s="73"/>
      <c r="I307" s="73"/>
      <c r="J307" s="72"/>
      <c r="K307" s="73"/>
      <c r="L307" s="73"/>
      <c r="M307" s="73"/>
      <c r="N307" s="73"/>
      <c r="O307" s="73"/>
      <c r="P307" s="72"/>
      <c r="Q307" s="199"/>
    </row>
    <row r="308" spans="1:17" s="70" customFormat="1" ht="15">
      <c r="A308" s="49"/>
      <c r="B308" s="71"/>
      <c r="C308" s="49"/>
      <c r="D308" s="49"/>
      <c r="E308" s="72"/>
      <c r="F308" s="73"/>
      <c r="G308" s="73"/>
      <c r="H308" s="73"/>
      <c r="I308" s="73"/>
      <c r="J308" s="72"/>
      <c r="K308" s="73"/>
      <c r="L308" s="73"/>
      <c r="M308" s="73"/>
      <c r="N308" s="73"/>
      <c r="O308" s="73"/>
      <c r="P308" s="72"/>
      <c r="Q308" s="199"/>
    </row>
    <row r="309" spans="1:17" s="70" customFormat="1" ht="15">
      <c r="A309" s="49"/>
      <c r="B309" s="71"/>
      <c r="C309" s="49"/>
      <c r="D309" s="49"/>
      <c r="E309" s="72"/>
      <c r="F309" s="73"/>
      <c r="G309" s="73"/>
      <c r="H309" s="73"/>
      <c r="I309" s="73"/>
      <c r="J309" s="72"/>
      <c r="K309" s="73"/>
      <c r="L309" s="73"/>
      <c r="M309" s="73"/>
      <c r="N309" s="73"/>
      <c r="O309" s="73"/>
      <c r="P309" s="72"/>
      <c r="Q309" s="199"/>
    </row>
    <row r="310" spans="1:17" s="70" customFormat="1" ht="15">
      <c r="A310" s="49"/>
      <c r="B310" s="71"/>
      <c r="C310" s="49"/>
      <c r="D310" s="49"/>
      <c r="E310" s="72"/>
      <c r="F310" s="73"/>
      <c r="G310" s="73"/>
      <c r="H310" s="73"/>
      <c r="I310" s="73"/>
      <c r="J310" s="72"/>
      <c r="K310" s="73"/>
      <c r="L310" s="73"/>
      <c r="M310" s="73"/>
      <c r="N310" s="73"/>
      <c r="O310" s="73"/>
      <c r="P310" s="72"/>
      <c r="Q310" s="199"/>
    </row>
    <row r="311" spans="1:17" s="70" customFormat="1" ht="15">
      <c r="A311" s="49"/>
      <c r="B311" s="71"/>
      <c r="C311" s="49"/>
      <c r="D311" s="49"/>
      <c r="E311" s="72"/>
      <c r="F311" s="73"/>
      <c r="G311" s="73"/>
      <c r="H311" s="73"/>
      <c r="I311" s="73"/>
      <c r="J311" s="72"/>
      <c r="K311" s="73"/>
      <c r="L311" s="73"/>
      <c r="M311" s="73"/>
      <c r="N311" s="73"/>
      <c r="O311" s="73"/>
      <c r="P311" s="72"/>
      <c r="Q311" s="199"/>
    </row>
    <row r="312" spans="1:17" s="70" customFormat="1" ht="15">
      <c r="A312" s="49"/>
      <c r="B312" s="71"/>
      <c r="C312" s="49"/>
      <c r="D312" s="49"/>
      <c r="E312" s="72"/>
      <c r="F312" s="73"/>
      <c r="G312" s="73"/>
      <c r="H312" s="73"/>
      <c r="I312" s="73"/>
      <c r="J312" s="72"/>
      <c r="K312" s="73"/>
      <c r="L312" s="73"/>
      <c r="M312" s="73"/>
      <c r="N312" s="73"/>
      <c r="O312" s="73"/>
      <c r="P312" s="72"/>
      <c r="Q312" s="199"/>
    </row>
    <row r="313" spans="1:17" s="70" customFormat="1" ht="15">
      <c r="A313" s="49"/>
      <c r="B313" s="71"/>
      <c r="C313" s="49"/>
      <c r="D313" s="49"/>
      <c r="E313" s="72"/>
      <c r="F313" s="73"/>
      <c r="G313" s="73"/>
      <c r="H313" s="73"/>
      <c r="I313" s="73"/>
      <c r="J313" s="72"/>
      <c r="K313" s="73"/>
      <c r="L313" s="73"/>
      <c r="M313" s="73"/>
      <c r="N313" s="73"/>
      <c r="O313" s="73"/>
      <c r="P313" s="72"/>
      <c r="Q313" s="199"/>
    </row>
    <row r="314" spans="1:17" s="70" customFormat="1" ht="15">
      <c r="A314" s="49"/>
      <c r="B314" s="71"/>
      <c r="C314" s="49"/>
      <c r="D314" s="49"/>
      <c r="E314" s="72"/>
      <c r="F314" s="73"/>
      <c r="G314" s="73"/>
      <c r="H314" s="73"/>
      <c r="I314" s="73"/>
      <c r="J314" s="72"/>
      <c r="K314" s="73"/>
      <c r="L314" s="73"/>
      <c r="M314" s="73"/>
      <c r="N314" s="73"/>
      <c r="O314" s="73"/>
      <c r="P314" s="72"/>
      <c r="Q314" s="199"/>
    </row>
    <row r="315" spans="1:17" s="70" customFormat="1" ht="15">
      <c r="A315" s="49"/>
      <c r="B315" s="71"/>
      <c r="C315" s="49"/>
      <c r="D315" s="49"/>
      <c r="E315" s="72"/>
      <c r="F315" s="73"/>
      <c r="G315" s="73"/>
      <c r="H315" s="73"/>
      <c r="I315" s="73"/>
      <c r="J315" s="72"/>
      <c r="K315" s="73"/>
      <c r="L315" s="73"/>
      <c r="M315" s="73"/>
      <c r="N315" s="73"/>
      <c r="O315" s="73"/>
      <c r="P315" s="72"/>
      <c r="Q315" s="199"/>
    </row>
    <row r="316" spans="1:17" s="70" customFormat="1" ht="15">
      <c r="A316" s="49"/>
      <c r="B316" s="71"/>
      <c r="C316" s="49"/>
      <c r="D316" s="49"/>
      <c r="E316" s="72"/>
      <c r="F316" s="73"/>
      <c r="G316" s="73"/>
      <c r="H316" s="73"/>
      <c r="I316" s="73"/>
      <c r="J316" s="72"/>
      <c r="K316" s="73"/>
      <c r="L316" s="73"/>
      <c r="M316" s="73"/>
      <c r="N316" s="73"/>
      <c r="O316" s="73"/>
      <c r="P316" s="72"/>
      <c r="Q316" s="199"/>
    </row>
    <row r="317" spans="1:17" s="70" customFormat="1" ht="15">
      <c r="A317" s="49"/>
      <c r="B317" s="71"/>
      <c r="C317" s="49"/>
      <c r="D317" s="49"/>
      <c r="E317" s="72"/>
      <c r="F317" s="73"/>
      <c r="G317" s="73"/>
      <c r="H317" s="73"/>
      <c r="I317" s="73"/>
      <c r="J317" s="72"/>
      <c r="K317" s="73"/>
      <c r="L317" s="73"/>
      <c r="M317" s="73"/>
      <c r="N317" s="73"/>
      <c r="O317" s="73"/>
      <c r="P317" s="72"/>
      <c r="Q317" s="199"/>
    </row>
    <row r="318" spans="1:17" s="70" customFormat="1" ht="15">
      <c r="A318" s="49"/>
      <c r="B318" s="71"/>
      <c r="C318" s="49"/>
      <c r="D318" s="49"/>
      <c r="E318" s="72"/>
      <c r="F318" s="73"/>
      <c r="G318" s="73"/>
      <c r="H318" s="73"/>
      <c r="I318" s="73"/>
      <c r="J318" s="72"/>
      <c r="K318" s="73"/>
      <c r="L318" s="73"/>
      <c r="M318" s="73"/>
      <c r="N318" s="73"/>
      <c r="O318" s="73"/>
      <c r="P318" s="72"/>
      <c r="Q318" s="199"/>
    </row>
    <row r="319" spans="1:17" s="70" customFormat="1" ht="15">
      <c r="A319" s="49"/>
      <c r="B319" s="71"/>
      <c r="C319" s="49"/>
      <c r="D319" s="49"/>
      <c r="E319" s="72"/>
      <c r="F319" s="73"/>
      <c r="G319" s="73"/>
      <c r="H319" s="73"/>
      <c r="I319" s="73"/>
      <c r="J319" s="72"/>
      <c r="K319" s="73"/>
      <c r="L319" s="73"/>
      <c r="M319" s="73"/>
      <c r="N319" s="73"/>
      <c r="O319" s="73"/>
      <c r="P319" s="72"/>
      <c r="Q319" s="199"/>
    </row>
    <row r="320" spans="1:17" s="70" customFormat="1" ht="15">
      <c r="A320" s="49"/>
      <c r="B320" s="71"/>
      <c r="C320" s="49"/>
      <c r="D320" s="49"/>
      <c r="E320" s="72"/>
      <c r="F320" s="73"/>
      <c r="G320" s="73"/>
      <c r="H320" s="73"/>
      <c r="I320" s="73"/>
      <c r="J320" s="72"/>
      <c r="K320" s="73"/>
      <c r="L320" s="73"/>
      <c r="M320" s="73"/>
      <c r="N320" s="73"/>
      <c r="O320" s="73"/>
      <c r="P320" s="72"/>
      <c r="Q320" s="199"/>
    </row>
    <row r="321" spans="1:17" s="70" customFormat="1" ht="15">
      <c r="A321" s="49"/>
      <c r="B321" s="71"/>
      <c r="C321" s="49"/>
      <c r="D321" s="49"/>
      <c r="E321" s="72"/>
      <c r="F321" s="73"/>
      <c r="G321" s="73"/>
      <c r="H321" s="73"/>
      <c r="I321" s="73"/>
      <c r="J321" s="72"/>
      <c r="K321" s="73"/>
      <c r="L321" s="73"/>
      <c r="M321" s="73"/>
      <c r="N321" s="73"/>
      <c r="O321" s="73"/>
      <c r="P321" s="72"/>
      <c r="Q321" s="199"/>
    </row>
    <row r="322" spans="1:17" s="70" customFormat="1" ht="15">
      <c r="A322" s="49"/>
      <c r="B322" s="71"/>
      <c r="C322" s="49"/>
      <c r="D322" s="49"/>
      <c r="E322" s="72"/>
      <c r="F322" s="73"/>
      <c r="G322" s="73"/>
      <c r="H322" s="73"/>
      <c r="I322" s="73"/>
      <c r="J322" s="72"/>
      <c r="K322" s="73"/>
      <c r="L322" s="73"/>
      <c r="M322" s="73"/>
      <c r="N322" s="73"/>
      <c r="O322" s="73"/>
      <c r="P322" s="72"/>
      <c r="Q322" s="199"/>
    </row>
    <row r="323" spans="1:17" s="70" customFormat="1" ht="15">
      <c r="A323" s="49"/>
      <c r="B323" s="71"/>
      <c r="C323" s="49"/>
      <c r="D323" s="49"/>
      <c r="E323" s="72"/>
      <c r="F323" s="73"/>
      <c r="G323" s="73"/>
      <c r="H323" s="73"/>
      <c r="I323" s="73"/>
      <c r="J323" s="72"/>
      <c r="K323" s="73"/>
      <c r="L323" s="73"/>
      <c r="M323" s="73"/>
      <c r="N323" s="73"/>
      <c r="O323" s="73"/>
      <c r="P323" s="72"/>
      <c r="Q323" s="199"/>
    </row>
    <row r="324" spans="1:17" s="70" customFormat="1" ht="15">
      <c r="A324" s="49"/>
      <c r="B324" s="71"/>
      <c r="C324" s="49"/>
      <c r="D324" s="49"/>
      <c r="E324" s="72"/>
      <c r="F324" s="73"/>
      <c r="G324" s="73"/>
      <c r="H324" s="73"/>
      <c r="I324" s="73"/>
      <c r="J324" s="72"/>
      <c r="K324" s="73"/>
      <c r="L324" s="73"/>
      <c r="M324" s="73"/>
      <c r="N324" s="73"/>
      <c r="O324" s="73"/>
      <c r="P324" s="72"/>
      <c r="Q324" s="199"/>
    </row>
    <row r="325" spans="1:17" s="70" customFormat="1" ht="15">
      <c r="A325" s="49"/>
      <c r="B325" s="71"/>
      <c r="C325" s="49"/>
      <c r="D325" s="49"/>
      <c r="E325" s="72"/>
      <c r="F325" s="73"/>
      <c r="G325" s="73"/>
      <c r="H325" s="73"/>
      <c r="I325" s="73"/>
      <c r="J325" s="72"/>
      <c r="K325" s="73"/>
      <c r="L325" s="73"/>
      <c r="M325" s="73"/>
      <c r="N325" s="73"/>
      <c r="O325" s="73"/>
      <c r="P325" s="72"/>
      <c r="Q325" s="199"/>
    </row>
    <row r="326" spans="1:17" s="70" customFormat="1" ht="15">
      <c r="A326" s="49"/>
      <c r="B326" s="71"/>
      <c r="C326" s="49"/>
      <c r="D326" s="49"/>
      <c r="E326" s="72"/>
      <c r="F326" s="73"/>
      <c r="G326" s="73"/>
      <c r="H326" s="73"/>
      <c r="I326" s="73"/>
      <c r="J326" s="72"/>
      <c r="K326" s="73"/>
      <c r="L326" s="73"/>
      <c r="M326" s="73"/>
      <c r="N326" s="73"/>
      <c r="O326" s="73"/>
      <c r="P326" s="72"/>
      <c r="Q326" s="199"/>
    </row>
    <row r="327" spans="1:17" s="70" customFormat="1" ht="15">
      <c r="A327" s="49"/>
      <c r="B327" s="71"/>
      <c r="C327" s="49"/>
      <c r="D327" s="49"/>
      <c r="E327" s="72"/>
      <c r="F327" s="73"/>
      <c r="G327" s="73"/>
      <c r="H327" s="73"/>
      <c r="I327" s="73"/>
      <c r="J327" s="72"/>
      <c r="K327" s="73"/>
      <c r="L327" s="73"/>
      <c r="M327" s="73"/>
      <c r="N327" s="73"/>
      <c r="O327" s="73"/>
      <c r="P327" s="72"/>
      <c r="Q327" s="199"/>
    </row>
    <row r="328" spans="1:17" s="70" customFormat="1" ht="15">
      <c r="A328" s="49"/>
      <c r="B328" s="71"/>
      <c r="C328" s="49"/>
      <c r="D328" s="49"/>
      <c r="E328" s="72"/>
      <c r="F328" s="73"/>
      <c r="G328" s="73"/>
      <c r="H328" s="73"/>
      <c r="I328" s="73"/>
      <c r="J328" s="72"/>
      <c r="K328" s="73"/>
      <c r="L328" s="73"/>
      <c r="M328" s="73"/>
      <c r="N328" s="73"/>
      <c r="O328" s="73"/>
      <c r="P328" s="72"/>
      <c r="Q328" s="199"/>
    </row>
    <row r="329" spans="1:17" s="70" customFormat="1" ht="15">
      <c r="A329" s="49"/>
      <c r="B329" s="71"/>
      <c r="C329" s="49"/>
      <c r="D329" s="49"/>
      <c r="E329" s="72"/>
      <c r="F329" s="73"/>
      <c r="G329" s="73"/>
      <c r="H329" s="73"/>
      <c r="I329" s="73"/>
      <c r="J329" s="72"/>
      <c r="K329" s="73"/>
      <c r="L329" s="73"/>
      <c r="M329" s="73"/>
      <c r="N329" s="73"/>
      <c r="O329" s="73"/>
      <c r="P329" s="72"/>
      <c r="Q329" s="199"/>
    </row>
    <row r="330" spans="1:17" s="70" customFormat="1" ht="15">
      <c r="A330" s="49"/>
      <c r="B330" s="71"/>
      <c r="C330" s="49"/>
      <c r="D330" s="49"/>
      <c r="E330" s="72"/>
      <c r="F330" s="73"/>
      <c r="G330" s="73"/>
      <c r="H330" s="73"/>
      <c r="I330" s="73"/>
      <c r="J330" s="72"/>
      <c r="K330" s="73"/>
      <c r="L330" s="73"/>
      <c r="M330" s="73"/>
      <c r="N330" s="73"/>
      <c r="O330" s="73"/>
      <c r="P330" s="72"/>
      <c r="Q330" s="199"/>
    </row>
    <row r="331" spans="1:17" s="70" customFormat="1" ht="15">
      <c r="A331" s="49"/>
      <c r="B331" s="71"/>
      <c r="C331" s="49"/>
      <c r="D331" s="49"/>
      <c r="E331" s="72"/>
      <c r="F331" s="73"/>
      <c r="G331" s="73"/>
      <c r="H331" s="73"/>
      <c r="I331" s="73"/>
      <c r="J331" s="72"/>
      <c r="K331" s="73"/>
      <c r="L331" s="73"/>
      <c r="M331" s="73"/>
      <c r="N331" s="73"/>
      <c r="O331" s="73"/>
      <c r="P331" s="72"/>
      <c r="Q331" s="199"/>
    </row>
    <row r="332" spans="1:17" s="70" customFormat="1" ht="15">
      <c r="A332" s="49"/>
      <c r="B332" s="71"/>
      <c r="C332" s="49"/>
      <c r="D332" s="49"/>
      <c r="E332" s="72"/>
      <c r="F332" s="73"/>
      <c r="G332" s="73"/>
      <c r="H332" s="73"/>
      <c r="I332" s="73"/>
      <c r="J332" s="72"/>
      <c r="K332" s="73"/>
      <c r="L332" s="73"/>
      <c r="M332" s="73"/>
      <c r="N332" s="73"/>
      <c r="O332" s="73"/>
      <c r="P332" s="72"/>
      <c r="Q332" s="199"/>
    </row>
    <row r="333" spans="1:17" s="70" customFormat="1" ht="15">
      <c r="A333" s="49"/>
      <c r="B333" s="71"/>
      <c r="C333" s="49"/>
      <c r="D333" s="49"/>
      <c r="E333" s="72"/>
      <c r="F333" s="73"/>
      <c r="G333" s="73"/>
      <c r="H333" s="73"/>
      <c r="I333" s="73"/>
      <c r="J333" s="72"/>
      <c r="K333" s="73"/>
      <c r="L333" s="73"/>
      <c r="M333" s="73"/>
      <c r="N333" s="73"/>
      <c r="O333" s="73"/>
      <c r="P333" s="72"/>
      <c r="Q333" s="199"/>
    </row>
    <row r="334" spans="1:17" s="70" customFormat="1" ht="15">
      <c r="A334" s="49"/>
      <c r="B334" s="71"/>
      <c r="C334" s="49"/>
      <c r="D334" s="49"/>
      <c r="E334" s="72"/>
      <c r="F334" s="73"/>
      <c r="G334" s="73"/>
      <c r="H334" s="73"/>
      <c r="I334" s="73"/>
      <c r="J334" s="72"/>
      <c r="K334" s="73"/>
      <c r="L334" s="73"/>
      <c r="M334" s="73"/>
      <c r="N334" s="73"/>
      <c r="O334" s="73"/>
      <c r="P334" s="72"/>
      <c r="Q334" s="199"/>
    </row>
    <row r="335" spans="1:17" s="70" customFormat="1" ht="15">
      <c r="A335" s="49"/>
      <c r="B335" s="71"/>
      <c r="C335" s="49"/>
      <c r="D335" s="49"/>
      <c r="E335" s="72"/>
      <c r="F335" s="73"/>
      <c r="G335" s="73"/>
      <c r="H335" s="73"/>
      <c r="I335" s="73"/>
      <c r="J335" s="72"/>
      <c r="K335" s="73"/>
      <c r="L335" s="73"/>
      <c r="M335" s="73"/>
      <c r="N335" s="73"/>
      <c r="O335" s="73"/>
      <c r="P335" s="72"/>
      <c r="Q335" s="199"/>
    </row>
    <row r="336" spans="1:17" s="70" customFormat="1" ht="15">
      <c r="A336" s="49"/>
      <c r="B336" s="71"/>
      <c r="C336" s="49"/>
      <c r="D336" s="49"/>
      <c r="E336" s="72"/>
      <c r="F336" s="73"/>
      <c r="G336" s="73"/>
      <c r="H336" s="73"/>
      <c r="I336" s="73"/>
      <c r="J336" s="72"/>
      <c r="K336" s="73"/>
      <c r="L336" s="73"/>
      <c r="M336" s="73"/>
      <c r="N336" s="73"/>
      <c r="O336" s="73"/>
      <c r="P336" s="72"/>
      <c r="Q336" s="199"/>
    </row>
    <row r="337" spans="1:17" s="70" customFormat="1" ht="15">
      <c r="A337" s="49"/>
      <c r="B337" s="71"/>
      <c r="C337" s="49"/>
      <c r="D337" s="49"/>
      <c r="E337" s="72"/>
      <c r="F337" s="73"/>
      <c r="G337" s="73"/>
      <c r="H337" s="73"/>
      <c r="I337" s="73"/>
      <c r="J337" s="72"/>
      <c r="K337" s="73"/>
      <c r="L337" s="73"/>
      <c r="M337" s="73"/>
      <c r="N337" s="73"/>
      <c r="O337" s="73"/>
      <c r="P337" s="72"/>
      <c r="Q337" s="199"/>
    </row>
    <row r="338" spans="1:17" s="70" customFormat="1" ht="15">
      <c r="A338" s="49"/>
      <c r="B338" s="71"/>
      <c r="C338" s="49"/>
      <c r="D338" s="49"/>
      <c r="E338" s="72"/>
      <c r="F338" s="73"/>
      <c r="G338" s="73"/>
      <c r="H338" s="73"/>
      <c r="I338" s="73"/>
      <c r="J338" s="72"/>
      <c r="K338" s="73"/>
      <c r="L338" s="73"/>
      <c r="M338" s="73"/>
      <c r="N338" s="73"/>
      <c r="O338" s="73"/>
      <c r="P338" s="72"/>
      <c r="Q338" s="199"/>
    </row>
    <row r="339" spans="1:17" s="70" customFormat="1" ht="15">
      <c r="A339" s="49"/>
      <c r="B339" s="71"/>
      <c r="C339" s="49"/>
      <c r="D339" s="49"/>
      <c r="E339" s="72"/>
      <c r="F339" s="73"/>
      <c r="G339" s="73"/>
      <c r="H339" s="73"/>
      <c r="I339" s="73"/>
      <c r="J339" s="72"/>
      <c r="K339" s="73"/>
      <c r="L339" s="73"/>
      <c r="M339" s="73"/>
      <c r="N339" s="73"/>
      <c r="O339" s="73"/>
      <c r="P339" s="72"/>
      <c r="Q339" s="199"/>
    </row>
    <row r="340" spans="1:17" s="70" customFormat="1" ht="15">
      <c r="A340" s="49"/>
      <c r="B340" s="71"/>
      <c r="C340" s="49"/>
      <c r="D340" s="49"/>
      <c r="E340" s="72"/>
      <c r="F340" s="73"/>
      <c r="G340" s="73"/>
      <c r="H340" s="73"/>
      <c r="I340" s="73"/>
      <c r="J340" s="72"/>
      <c r="K340" s="73"/>
      <c r="L340" s="73"/>
      <c r="M340" s="73"/>
      <c r="N340" s="73"/>
      <c r="O340" s="73"/>
      <c r="P340" s="72"/>
      <c r="Q340" s="199"/>
    </row>
    <row r="341" spans="1:17" s="70" customFormat="1" ht="15">
      <c r="A341" s="49"/>
      <c r="B341" s="71"/>
      <c r="C341" s="49"/>
      <c r="D341" s="49"/>
      <c r="E341" s="72"/>
      <c r="F341" s="73"/>
      <c r="G341" s="73"/>
      <c r="H341" s="73"/>
      <c r="I341" s="73"/>
      <c r="J341" s="72"/>
      <c r="K341" s="73"/>
      <c r="L341" s="73"/>
      <c r="M341" s="73"/>
      <c r="N341" s="73"/>
      <c r="O341" s="73"/>
      <c r="P341" s="72"/>
      <c r="Q341" s="199"/>
    </row>
    <row r="342" spans="1:17" s="70" customFormat="1" ht="15">
      <c r="A342" s="49"/>
      <c r="B342" s="71"/>
      <c r="C342" s="49"/>
      <c r="D342" s="49"/>
      <c r="E342" s="72"/>
      <c r="F342" s="73"/>
      <c r="G342" s="73"/>
      <c r="H342" s="73"/>
      <c r="I342" s="73"/>
      <c r="J342" s="72"/>
      <c r="K342" s="73"/>
      <c r="L342" s="73"/>
      <c r="M342" s="73"/>
      <c r="N342" s="73"/>
      <c r="O342" s="73"/>
      <c r="P342" s="72"/>
      <c r="Q342" s="199"/>
    </row>
    <row r="343" spans="1:17" s="70" customFormat="1" ht="15">
      <c r="A343" s="49"/>
      <c r="B343" s="71"/>
      <c r="C343" s="49"/>
      <c r="D343" s="49"/>
      <c r="E343" s="72"/>
      <c r="F343" s="73"/>
      <c r="G343" s="73"/>
      <c r="H343" s="73"/>
      <c r="I343" s="73"/>
      <c r="J343" s="72"/>
      <c r="K343" s="73"/>
      <c r="L343" s="73"/>
      <c r="M343" s="73"/>
      <c r="N343" s="73"/>
      <c r="O343" s="73"/>
      <c r="P343" s="72"/>
      <c r="Q343" s="199"/>
    </row>
    <row r="344" spans="1:17" s="70" customFormat="1" ht="15">
      <c r="A344" s="49"/>
      <c r="B344" s="71"/>
      <c r="C344" s="49"/>
      <c r="D344" s="49"/>
      <c r="E344" s="72"/>
      <c r="F344" s="73"/>
      <c r="G344" s="73"/>
      <c r="H344" s="73"/>
      <c r="I344" s="73"/>
      <c r="J344" s="72"/>
      <c r="K344" s="73"/>
      <c r="L344" s="73"/>
      <c r="M344" s="73"/>
      <c r="N344" s="73"/>
      <c r="O344" s="73"/>
      <c r="P344" s="72"/>
      <c r="Q344" s="199"/>
    </row>
    <row r="345" spans="1:17" s="70" customFormat="1" ht="15">
      <c r="A345" s="49"/>
      <c r="B345" s="71"/>
      <c r="C345" s="49"/>
      <c r="D345" s="49"/>
      <c r="E345" s="72"/>
      <c r="F345" s="73"/>
      <c r="G345" s="73"/>
      <c r="H345" s="73"/>
      <c r="I345" s="73"/>
      <c r="J345" s="72"/>
      <c r="K345" s="73"/>
      <c r="L345" s="73"/>
      <c r="M345" s="73"/>
      <c r="N345" s="73"/>
      <c r="O345" s="73"/>
      <c r="P345" s="72"/>
      <c r="Q345" s="199"/>
    </row>
    <row r="346" spans="1:17" s="70" customFormat="1" ht="15">
      <c r="A346" s="49"/>
      <c r="B346" s="71"/>
      <c r="C346" s="49"/>
      <c r="D346" s="49"/>
      <c r="E346" s="72"/>
      <c r="F346" s="73"/>
      <c r="G346" s="73"/>
      <c r="H346" s="73"/>
      <c r="I346" s="73"/>
      <c r="J346" s="72"/>
      <c r="K346" s="73"/>
      <c r="L346" s="73"/>
      <c r="M346" s="73"/>
      <c r="N346" s="73"/>
      <c r="O346" s="73"/>
      <c r="P346" s="72"/>
      <c r="Q346" s="199"/>
    </row>
    <row r="347" spans="1:17" s="70" customFormat="1" ht="15">
      <c r="A347" s="49"/>
      <c r="B347" s="71"/>
      <c r="C347" s="49"/>
      <c r="D347" s="49"/>
      <c r="E347" s="72"/>
      <c r="F347" s="73"/>
      <c r="G347" s="73"/>
      <c r="H347" s="73"/>
      <c r="I347" s="73"/>
      <c r="J347" s="72"/>
      <c r="K347" s="73"/>
      <c r="L347" s="73"/>
      <c r="M347" s="73"/>
      <c r="N347" s="73"/>
      <c r="O347" s="73"/>
      <c r="P347" s="72"/>
      <c r="Q347" s="199"/>
    </row>
    <row r="348" spans="1:17" s="70" customFormat="1" ht="15">
      <c r="A348" s="49"/>
      <c r="B348" s="71"/>
      <c r="C348" s="49"/>
      <c r="D348" s="49"/>
      <c r="E348" s="72"/>
      <c r="F348" s="73"/>
      <c r="G348" s="73"/>
      <c r="H348" s="73"/>
      <c r="I348" s="73"/>
      <c r="J348" s="72"/>
      <c r="K348" s="73"/>
      <c r="L348" s="73"/>
      <c r="M348" s="73"/>
      <c r="N348" s="73"/>
      <c r="O348" s="73"/>
      <c r="P348" s="72"/>
      <c r="Q348" s="199"/>
    </row>
    <row r="349" spans="1:17" s="70" customFormat="1" ht="15">
      <c r="A349" s="49"/>
      <c r="B349" s="71"/>
      <c r="C349" s="49"/>
      <c r="D349" s="49"/>
      <c r="E349" s="72"/>
      <c r="F349" s="73"/>
      <c r="G349" s="73"/>
      <c r="H349" s="73"/>
      <c r="I349" s="73"/>
      <c r="J349" s="72"/>
      <c r="K349" s="73"/>
      <c r="L349" s="73"/>
      <c r="M349" s="73"/>
      <c r="N349" s="73"/>
      <c r="O349" s="73"/>
      <c r="P349" s="72"/>
      <c r="Q349" s="199"/>
    </row>
    <row r="350" spans="1:17" s="70" customFormat="1" ht="15">
      <c r="A350" s="49"/>
      <c r="B350" s="71"/>
      <c r="C350" s="49"/>
      <c r="D350" s="49"/>
      <c r="E350" s="72"/>
      <c r="F350" s="73"/>
      <c r="G350" s="73"/>
      <c r="H350" s="73"/>
      <c r="I350" s="73"/>
      <c r="J350" s="72"/>
      <c r="K350" s="73"/>
      <c r="L350" s="73"/>
      <c r="M350" s="73"/>
      <c r="N350" s="73"/>
      <c r="O350" s="73"/>
      <c r="P350" s="72"/>
      <c r="Q350" s="199"/>
    </row>
    <row r="351" spans="1:17" s="70" customFormat="1" ht="15">
      <c r="A351" s="49"/>
      <c r="B351" s="71"/>
      <c r="C351" s="49"/>
      <c r="D351" s="49"/>
      <c r="E351" s="72"/>
      <c r="F351" s="73"/>
      <c r="G351" s="73"/>
      <c r="H351" s="73"/>
      <c r="I351" s="73"/>
      <c r="J351" s="72"/>
      <c r="K351" s="73"/>
      <c r="L351" s="73"/>
      <c r="M351" s="73"/>
      <c r="N351" s="73"/>
      <c r="O351" s="73"/>
      <c r="P351" s="72"/>
      <c r="Q351" s="199"/>
    </row>
    <row r="352" spans="1:17" s="70" customFormat="1" ht="15">
      <c r="A352" s="49"/>
      <c r="B352" s="71"/>
      <c r="C352" s="49"/>
      <c r="D352" s="49"/>
      <c r="E352" s="72"/>
      <c r="F352" s="73"/>
      <c r="G352" s="73"/>
      <c r="H352" s="73"/>
      <c r="I352" s="73"/>
      <c r="J352" s="72"/>
      <c r="K352" s="73"/>
      <c r="L352" s="73"/>
      <c r="M352" s="73"/>
      <c r="N352" s="73"/>
      <c r="O352" s="73"/>
      <c r="P352" s="72"/>
      <c r="Q352" s="199"/>
    </row>
    <row r="353" spans="1:17" s="70" customFormat="1" ht="15">
      <c r="A353" s="49"/>
      <c r="B353" s="71"/>
      <c r="C353" s="49"/>
      <c r="D353" s="49"/>
      <c r="E353" s="72"/>
      <c r="F353" s="73"/>
      <c r="G353" s="73"/>
      <c r="H353" s="73"/>
      <c r="I353" s="73"/>
      <c r="J353" s="72"/>
      <c r="K353" s="73"/>
      <c r="L353" s="73"/>
      <c r="M353" s="73"/>
      <c r="N353" s="73"/>
      <c r="O353" s="73"/>
      <c r="P353" s="72"/>
      <c r="Q353" s="199"/>
    </row>
    <row r="354" spans="1:17" s="70" customFormat="1" ht="15">
      <c r="A354" s="49"/>
      <c r="B354" s="71"/>
      <c r="C354" s="49"/>
      <c r="D354" s="49"/>
      <c r="E354" s="72"/>
      <c r="F354" s="73"/>
      <c r="G354" s="73"/>
      <c r="H354" s="73"/>
      <c r="I354" s="73"/>
      <c r="J354" s="72"/>
      <c r="K354" s="73"/>
      <c r="L354" s="73"/>
      <c r="M354" s="73"/>
      <c r="N354" s="73"/>
      <c r="O354" s="73"/>
      <c r="P354" s="72"/>
      <c r="Q354" s="199"/>
    </row>
    <row r="355" spans="1:17" s="70" customFormat="1" ht="15">
      <c r="A355" s="49"/>
      <c r="B355" s="71"/>
      <c r="C355" s="49"/>
      <c r="D355" s="49"/>
      <c r="E355" s="72"/>
      <c r="F355" s="73"/>
      <c r="G355" s="73"/>
      <c r="H355" s="73"/>
      <c r="I355" s="73"/>
      <c r="J355" s="72"/>
      <c r="K355" s="73"/>
      <c r="L355" s="73"/>
      <c r="M355" s="73"/>
      <c r="N355" s="73"/>
      <c r="O355" s="73"/>
      <c r="P355" s="72"/>
      <c r="Q355" s="199"/>
    </row>
    <row r="356" spans="1:17" s="70" customFormat="1" ht="15">
      <c r="A356" s="49"/>
      <c r="B356" s="71"/>
      <c r="C356" s="49"/>
      <c r="D356" s="49"/>
      <c r="E356" s="72"/>
      <c r="F356" s="73"/>
      <c r="G356" s="73"/>
      <c r="H356" s="73"/>
      <c r="I356" s="73"/>
      <c r="J356" s="72"/>
      <c r="K356" s="73"/>
      <c r="L356" s="73"/>
      <c r="M356" s="73"/>
      <c r="N356" s="73"/>
      <c r="O356" s="73"/>
      <c r="P356" s="72"/>
      <c r="Q356" s="199"/>
    </row>
    <row r="357" spans="1:17" s="70" customFormat="1" ht="15">
      <c r="A357" s="49"/>
      <c r="B357" s="71"/>
      <c r="C357" s="49"/>
      <c r="D357" s="49"/>
      <c r="E357" s="72"/>
      <c r="F357" s="73"/>
      <c r="G357" s="73"/>
      <c r="H357" s="73"/>
      <c r="I357" s="73"/>
      <c r="J357" s="72"/>
      <c r="K357" s="73"/>
      <c r="L357" s="73"/>
      <c r="M357" s="73"/>
      <c r="N357" s="73"/>
      <c r="O357" s="73"/>
      <c r="P357" s="72"/>
      <c r="Q357" s="199"/>
    </row>
    <row r="358" spans="1:17" s="70" customFormat="1" ht="15">
      <c r="A358" s="49"/>
      <c r="B358" s="71"/>
      <c r="C358" s="49"/>
      <c r="D358" s="49"/>
      <c r="E358" s="72"/>
      <c r="F358" s="73"/>
      <c r="G358" s="73"/>
      <c r="H358" s="73"/>
      <c r="I358" s="73"/>
      <c r="J358" s="72"/>
      <c r="K358" s="73"/>
      <c r="L358" s="73"/>
      <c r="M358" s="73"/>
      <c r="N358" s="73"/>
      <c r="O358" s="73"/>
      <c r="P358" s="72"/>
      <c r="Q358" s="199"/>
    </row>
    <row r="359" spans="1:17" s="70" customFormat="1" ht="15">
      <c r="A359" s="49"/>
      <c r="B359" s="71"/>
      <c r="C359" s="49"/>
      <c r="D359" s="49"/>
      <c r="E359" s="72"/>
      <c r="F359" s="73"/>
      <c r="G359" s="73"/>
      <c r="H359" s="73"/>
      <c r="I359" s="73"/>
      <c r="J359" s="72"/>
      <c r="K359" s="73"/>
      <c r="L359" s="73"/>
      <c r="M359" s="73"/>
      <c r="N359" s="73"/>
      <c r="O359" s="73"/>
      <c r="P359" s="72"/>
      <c r="Q359" s="199"/>
    </row>
    <row r="360" spans="1:17" s="70" customFormat="1" ht="15">
      <c r="A360" s="49"/>
      <c r="B360" s="71"/>
      <c r="C360" s="49"/>
      <c r="D360" s="49"/>
      <c r="E360" s="72"/>
      <c r="F360" s="73"/>
      <c r="G360" s="73"/>
      <c r="H360" s="73"/>
      <c r="I360" s="73"/>
      <c r="J360" s="72"/>
      <c r="K360" s="73"/>
      <c r="L360" s="73"/>
      <c r="M360" s="73"/>
      <c r="N360" s="73"/>
      <c r="O360" s="73"/>
      <c r="P360" s="72"/>
      <c r="Q360" s="199"/>
    </row>
    <row r="361" spans="1:17" s="70" customFormat="1" ht="15">
      <c r="A361" s="49"/>
      <c r="B361" s="71"/>
      <c r="C361" s="49"/>
      <c r="D361" s="49"/>
      <c r="E361" s="72"/>
      <c r="F361" s="73"/>
      <c r="G361" s="73"/>
      <c r="H361" s="73"/>
      <c r="I361" s="73"/>
      <c r="J361" s="72"/>
      <c r="K361" s="73"/>
      <c r="L361" s="73"/>
      <c r="M361" s="73"/>
      <c r="N361" s="73"/>
      <c r="O361" s="73"/>
      <c r="P361" s="72"/>
      <c r="Q361" s="199"/>
    </row>
    <row r="362" spans="1:17" s="70" customFormat="1" ht="15">
      <c r="A362" s="49"/>
      <c r="B362" s="71"/>
      <c r="C362" s="49"/>
      <c r="D362" s="49"/>
      <c r="E362" s="72"/>
      <c r="F362" s="73"/>
      <c r="G362" s="73"/>
      <c r="H362" s="73"/>
      <c r="I362" s="73"/>
      <c r="J362" s="72"/>
      <c r="K362" s="73"/>
      <c r="L362" s="73"/>
      <c r="M362" s="73"/>
      <c r="N362" s="73"/>
      <c r="O362" s="73"/>
      <c r="P362" s="72"/>
      <c r="Q362" s="199"/>
    </row>
    <row r="363" spans="1:17" s="70" customFormat="1" ht="15">
      <c r="A363" s="49"/>
      <c r="B363" s="71"/>
      <c r="C363" s="49"/>
      <c r="D363" s="49"/>
      <c r="E363" s="72"/>
      <c r="F363" s="73"/>
      <c r="G363" s="73"/>
      <c r="H363" s="73"/>
      <c r="I363" s="73"/>
      <c r="J363" s="72"/>
      <c r="K363" s="73"/>
      <c r="L363" s="73"/>
      <c r="M363" s="73"/>
      <c r="N363" s="73"/>
      <c r="O363" s="73"/>
      <c r="P363" s="72"/>
      <c r="Q363" s="199"/>
    </row>
    <row r="364" spans="1:17" s="70" customFormat="1" ht="15">
      <c r="A364" s="49"/>
      <c r="B364" s="71"/>
      <c r="C364" s="49"/>
      <c r="D364" s="49"/>
      <c r="E364" s="72"/>
      <c r="F364" s="73"/>
      <c r="G364" s="73"/>
      <c r="H364" s="73"/>
      <c r="I364" s="73"/>
      <c r="J364" s="72"/>
      <c r="K364" s="73"/>
      <c r="L364" s="73"/>
      <c r="M364" s="73"/>
      <c r="N364" s="73"/>
      <c r="O364" s="73"/>
      <c r="P364" s="72"/>
      <c r="Q364" s="199"/>
    </row>
    <row r="365" spans="1:17" s="70" customFormat="1" ht="15">
      <c r="A365" s="49"/>
      <c r="B365" s="71"/>
      <c r="C365" s="49"/>
      <c r="D365" s="49"/>
      <c r="E365" s="72"/>
      <c r="F365" s="73"/>
      <c r="G365" s="73"/>
      <c r="H365" s="73"/>
      <c r="I365" s="73"/>
      <c r="J365" s="72"/>
      <c r="K365" s="73"/>
      <c r="L365" s="73"/>
      <c r="M365" s="73"/>
      <c r="N365" s="73"/>
      <c r="O365" s="73"/>
      <c r="P365" s="72"/>
      <c r="Q365" s="199"/>
    </row>
    <row r="366" spans="1:17" s="70" customFormat="1" ht="15">
      <c r="A366" s="49"/>
      <c r="B366" s="71"/>
      <c r="C366" s="49"/>
      <c r="D366" s="49"/>
      <c r="E366" s="72"/>
      <c r="F366" s="73"/>
      <c r="G366" s="73"/>
      <c r="H366" s="73"/>
      <c r="I366" s="73"/>
      <c r="J366" s="72"/>
      <c r="K366" s="73"/>
      <c r="L366" s="73"/>
      <c r="M366" s="73"/>
      <c r="N366" s="73"/>
      <c r="O366" s="73"/>
      <c r="P366" s="72"/>
      <c r="Q366" s="199"/>
    </row>
    <row r="367" spans="1:17" s="70" customFormat="1" ht="15">
      <c r="A367" s="49"/>
      <c r="B367" s="71"/>
      <c r="C367" s="49"/>
      <c r="D367" s="49"/>
      <c r="E367" s="72"/>
      <c r="F367" s="73"/>
      <c r="G367" s="73"/>
      <c r="H367" s="73"/>
      <c r="I367" s="73"/>
      <c r="J367" s="72"/>
      <c r="K367" s="73"/>
      <c r="L367" s="73"/>
      <c r="M367" s="73"/>
      <c r="N367" s="73"/>
      <c r="O367" s="73"/>
      <c r="P367" s="72"/>
      <c r="Q367" s="199"/>
    </row>
    <row r="368" spans="1:17" s="70" customFormat="1" ht="15">
      <c r="A368" s="49"/>
      <c r="B368" s="71"/>
      <c r="C368" s="49"/>
      <c r="D368" s="49"/>
      <c r="E368" s="72"/>
      <c r="F368" s="73"/>
      <c r="G368" s="73"/>
      <c r="H368" s="73"/>
      <c r="I368" s="73"/>
      <c r="J368" s="72"/>
      <c r="K368" s="73"/>
      <c r="L368" s="73"/>
      <c r="M368" s="73"/>
      <c r="N368" s="73"/>
      <c r="O368" s="73"/>
      <c r="P368" s="72"/>
      <c r="Q368" s="199"/>
    </row>
    <row r="369" spans="1:17" s="70" customFormat="1" ht="15">
      <c r="A369" s="49"/>
      <c r="B369" s="71"/>
      <c r="C369" s="49"/>
      <c r="D369" s="49"/>
      <c r="E369" s="72"/>
      <c r="F369" s="73"/>
      <c r="G369" s="73"/>
      <c r="H369" s="73"/>
      <c r="I369" s="73"/>
      <c r="J369" s="72"/>
      <c r="K369" s="73"/>
      <c r="L369" s="73"/>
      <c r="M369" s="73"/>
      <c r="N369" s="73"/>
      <c r="O369" s="73"/>
      <c r="P369" s="72"/>
      <c r="Q369" s="199"/>
    </row>
    <row r="370" spans="1:17" s="70" customFormat="1" ht="15">
      <c r="A370" s="49"/>
      <c r="B370" s="71"/>
      <c r="C370" s="49"/>
      <c r="D370" s="49"/>
      <c r="E370" s="72"/>
      <c r="F370" s="73"/>
      <c r="G370" s="73"/>
      <c r="H370" s="73"/>
      <c r="I370" s="73"/>
      <c r="J370" s="72"/>
      <c r="K370" s="73"/>
      <c r="L370" s="73"/>
      <c r="M370" s="73"/>
      <c r="N370" s="73"/>
      <c r="O370" s="73"/>
      <c r="P370" s="72"/>
      <c r="Q370" s="199"/>
    </row>
    <row r="371" spans="1:17" s="70" customFormat="1" ht="15">
      <c r="A371" s="49"/>
      <c r="B371" s="71"/>
      <c r="C371" s="49"/>
      <c r="D371" s="49"/>
      <c r="E371" s="72"/>
      <c r="F371" s="73"/>
      <c r="G371" s="73"/>
      <c r="H371" s="73"/>
      <c r="I371" s="73"/>
      <c r="J371" s="72"/>
      <c r="K371" s="73"/>
      <c r="L371" s="73"/>
      <c r="M371" s="73"/>
      <c r="N371" s="73"/>
      <c r="O371" s="73"/>
      <c r="P371" s="72"/>
      <c r="Q371" s="199"/>
    </row>
    <row r="372" spans="1:17" s="70" customFormat="1" ht="15">
      <c r="A372" s="49"/>
      <c r="B372" s="71"/>
      <c r="C372" s="49"/>
      <c r="D372" s="49"/>
      <c r="E372" s="72"/>
      <c r="F372" s="73"/>
      <c r="G372" s="73"/>
      <c r="H372" s="73"/>
      <c r="I372" s="73"/>
      <c r="J372" s="72"/>
      <c r="K372" s="73"/>
      <c r="L372" s="73"/>
      <c r="M372" s="73"/>
      <c r="N372" s="73"/>
      <c r="O372" s="73"/>
      <c r="P372" s="72"/>
      <c r="Q372" s="199"/>
    </row>
    <row r="373" spans="1:17" s="70" customFormat="1" ht="15">
      <c r="A373" s="49"/>
      <c r="B373" s="71"/>
      <c r="C373" s="49"/>
      <c r="D373" s="49"/>
      <c r="E373" s="72"/>
      <c r="F373" s="73"/>
      <c r="G373" s="73"/>
      <c r="H373" s="73"/>
      <c r="I373" s="73"/>
      <c r="J373" s="72"/>
      <c r="K373" s="73"/>
      <c r="L373" s="73"/>
      <c r="M373" s="73"/>
      <c r="N373" s="73"/>
      <c r="O373" s="73"/>
      <c r="P373" s="72"/>
      <c r="Q373" s="199"/>
    </row>
    <row r="374" spans="1:17" s="70" customFormat="1" ht="15">
      <c r="A374" s="49"/>
      <c r="B374" s="71"/>
      <c r="C374" s="49"/>
      <c r="D374" s="49"/>
      <c r="E374" s="72"/>
      <c r="F374" s="73"/>
      <c r="G374" s="73"/>
      <c r="H374" s="73"/>
      <c r="I374" s="73"/>
      <c r="J374" s="72"/>
      <c r="K374" s="73"/>
      <c r="L374" s="73"/>
      <c r="M374" s="73"/>
      <c r="N374" s="73"/>
      <c r="O374" s="73"/>
      <c r="P374" s="72"/>
      <c r="Q374" s="199"/>
    </row>
    <row r="375" spans="1:17" s="70" customFormat="1" ht="15">
      <c r="A375" s="49"/>
      <c r="B375" s="71"/>
      <c r="C375" s="49"/>
      <c r="D375" s="49"/>
      <c r="E375" s="72"/>
      <c r="F375" s="73"/>
      <c r="G375" s="73"/>
      <c r="H375" s="73"/>
      <c r="I375" s="73"/>
      <c r="J375" s="72"/>
      <c r="K375" s="73"/>
      <c r="L375" s="73"/>
      <c r="M375" s="73"/>
      <c r="N375" s="73"/>
      <c r="O375" s="73"/>
      <c r="P375" s="72"/>
      <c r="Q375" s="199"/>
    </row>
    <row r="376" spans="1:17" s="70" customFormat="1" ht="15">
      <c r="A376" s="49"/>
      <c r="B376" s="71"/>
      <c r="C376" s="49"/>
      <c r="D376" s="49"/>
      <c r="E376" s="72"/>
      <c r="F376" s="73"/>
      <c r="G376" s="73"/>
      <c r="H376" s="73"/>
      <c r="I376" s="73"/>
      <c r="J376" s="72"/>
      <c r="K376" s="73"/>
      <c r="L376" s="73"/>
      <c r="M376" s="73"/>
      <c r="N376" s="73"/>
      <c r="O376" s="73"/>
      <c r="P376" s="72"/>
      <c r="Q376" s="199"/>
    </row>
    <row r="377" spans="1:17" s="70" customFormat="1" ht="15">
      <c r="A377" s="49"/>
      <c r="B377" s="71"/>
      <c r="C377" s="49"/>
      <c r="D377" s="49"/>
      <c r="E377" s="72"/>
      <c r="F377" s="73"/>
      <c r="G377" s="73"/>
      <c r="H377" s="73"/>
      <c r="I377" s="73"/>
      <c r="J377" s="72"/>
      <c r="K377" s="73"/>
      <c r="L377" s="73"/>
      <c r="M377" s="73"/>
      <c r="N377" s="73"/>
      <c r="O377" s="73"/>
      <c r="P377" s="72"/>
      <c r="Q377" s="199"/>
    </row>
    <row r="378" spans="1:17" s="70" customFormat="1" ht="15">
      <c r="A378" s="49"/>
      <c r="B378" s="71"/>
      <c r="C378" s="49"/>
      <c r="D378" s="49"/>
      <c r="E378" s="72"/>
      <c r="F378" s="73"/>
      <c r="G378" s="73"/>
      <c r="H378" s="73"/>
      <c r="I378" s="73"/>
      <c r="J378" s="72"/>
      <c r="K378" s="73"/>
      <c r="L378" s="73"/>
      <c r="M378" s="73"/>
      <c r="N378" s="73"/>
      <c r="O378" s="73"/>
      <c r="P378" s="72"/>
      <c r="Q378" s="199"/>
    </row>
    <row r="379" spans="1:17" s="70" customFormat="1" ht="15">
      <c r="A379" s="49"/>
      <c r="B379" s="71"/>
      <c r="C379" s="49"/>
      <c r="D379" s="49"/>
      <c r="E379" s="72"/>
      <c r="F379" s="73"/>
      <c r="G379" s="73"/>
      <c r="H379" s="73"/>
      <c r="I379" s="73"/>
      <c r="J379" s="72"/>
      <c r="K379" s="73"/>
      <c r="L379" s="73"/>
      <c r="M379" s="73"/>
      <c r="N379" s="73"/>
      <c r="O379" s="73"/>
      <c r="P379" s="72"/>
      <c r="Q379" s="199"/>
    </row>
    <row r="380" spans="1:17" s="70" customFormat="1" ht="15">
      <c r="A380" s="49"/>
      <c r="B380" s="71"/>
      <c r="C380" s="49"/>
      <c r="D380" s="49"/>
      <c r="E380" s="72"/>
      <c r="F380" s="73"/>
      <c r="G380" s="73"/>
      <c r="H380" s="73"/>
      <c r="I380" s="73"/>
      <c r="J380" s="72"/>
      <c r="K380" s="73"/>
      <c r="L380" s="73"/>
      <c r="M380" s="73"/>
      <c r="N380" s="73"/>
      <c r="O380" s="73"/>
      <c r="P380" s="72"/>
      <c r="Q380" s="199"/>
    </row>
    <row r="381" spans="1:17" s="70" customFormat="1" ht="15">
      <c r="A381" s="49"/>
      <c r="B381" s="71"/>
      <c r="C381" s="49"/>
      <c r="D381" s="49"/>
      <c r="E381" s="72"/>
      <c r="F381" s="73"/>
      <c r="G381" s="73"/>
      <c r="H381" s="73"/>
      <c r="I381" s="73"/>
      <c r="J381" s="72"/>
      <c r="K381" s="73"/>
      <c r="L381" s="73"/>
      <c r="M381" s="73"/>
      <c r="N381" s="73"/>
      <c r="O381" s="73"/>
      <c r="P381" s="72"/>
      <c r="Q381" s="199"/>
    </row>
    <row r="382" spans="1:17" s="70" customFormat="1" ht="15">
      <c r="A382" s="49"/>
      <c r="B382" s="71"/>
      <c r="C382" s="49"/>
      <c r="D382" s="49"/>
      <c r="E382" s="72"/>
      <c r="F382" s="73"/>
      <c r="G382" s="73"/>
      <c r="H382" s="73"/>
      <c r="I382" s="73"/>
      <c r="J382" s="72"/>
      <c r="K382" s="73"/>
      <c r="L382" s="73"/>
      <c r="M382" s="73"/>
      <c r="N382" s="73"/>
      <c r="O382" s="73"/>
      <c r="P382" s="72"/>
      <c r="Q382" s="199"/>
    </row>
    <row r="383" spans="1:17" s="70" customFormat="1" ht="15">
      <c r="A383" s="49"/>
      <c r="B383" s="71"/>
      <c r="C383" s="49"/>
      <c r="D383" s="49"/>
      <c r="E383" s="72"/>
      <c r="F383" s="73"/>
      <c r="G383" s="73"/>
      <c r="H383" s="73"/>
      <c r="I383" s="73"/>
      <c r="J383" s="72"/>
      <c r="K383" s="73"/>
      <c r="L383" s="73"/>
      <c r="M383" s="73"/>
      <c r="N383" s="73"/>
      <c r="O383" s="73"/>
      <c r="P383" s="72"/>
      <c r="Q383" s="199"/>
    </row>
    <row r="384" spans="1:17" s="70" customFormat="1" ht="15">
      <c r="A384" s="49"/>
      <c r="B384" s="71"/>
      <c r="C384" s="49"/>
      <c r="D384" s="49"/>
      <c r="E384" s="72"/>
      <c r="F384" s="73"/>
      <c r="G384" s="73"/>
      <c r="H384" s="73"/>
      <c r="I384" s="73"/>
      <c r="J384" s="72"/>
      <c r="K384" s="73"/>
      <c r="L384" s="73"/>
      <c r="M384" s="73"/>
      <c r="N384" s="73"/>
      <c r="O384" s="73"/>
      <c r="P384" s="72"/>
      <c r="Q384" s="199"/>
    </row>
    <row r="385" spans="1:17" s="70" customFormat="1" ht="15">
      <c r="A385" s="49"/>
      <c r="B385" s="71"/>
      <c r="C385" s="49"/>
      <c r="D385" s="49"/>
      <c r="E385" s="72"/>
      <c r="F385" s="73"/>
      <c r="G385" s="73"/>
      <c r="H385" s="73"/>
      <c r="I385" s="73"/>
      <c r="J385" s="72"/>
      <c r="K385" s="73"/>
      <c r="L385" s="73"/>
      <c r="M385" s="73"/>
      <c r="N385" s="73"/>
      <c r="O385" s="73"/>
      <c r="P385" s="72"/>
      <c r="Q385" s="199"/>
    </row>
    <row r="386" spans="1:17" s="70" customFormat="1" ht="15">
      <c r="A386" s="49"/>
      <c r="B386" s="71"/>
      <c r="C386" s="49"/>
      <c r="D386" s="49"/>
      <c r="E386" s="72"/>
      <c r="F386" s="73"/>
      <c r="G386" s="73"/>
      <c r="H386" s="73"/>
      <c r="I386" s="73"/>
      <c r="J386" s="72"/>
      <c r="K386" s="73"/>
      <c r="L386" s="73"/>
      <c r="M386" s="73"/>
      <c r="N386" s="73"/>
      <c r="O386" s="73"/>
      <c r="P386" s="72"/>
      <c r="Q386" s="199"/>
    </row>
    <row r="387" spans="1:17" s="70" customFormat="1" ht="15">
      <c r="A387" s="49"/>
      <c r="B387" s="71"/>
      <c r="C387" s="49"/>
      <c r="D387" s="49"/>
      <c r="E387" s="72"/>
      <c r="F387" s="73"/>
      <c r="G387" s="73"/>
      <c r="H387" s="73"/>
      <c r="I387" s="73"/>
      <c r="J387" s="72"/>
      <c r="K387" s="73"/>
      <c r="L387" s="73"/>
      <c r="M387" s="73"/>
      <c r="N387" s="73"/>
      <c r="O387" s="73"/>
      <c r="P387" s="72"/>
      <c r="Q387" s="199"/>
    </row>
    <row r="388" spans="1:17" s="70" customFormat="1" ht="15">
      <c r="A388" s="49"/>
      <c r="B388" s="71"/>
      <c r="C388" s="49"/>
      <c r="D388" s="49"/>
      <c r="E388" s="72"/>
      <c r="F388" s="73"/>
      <c r="G388" s="73"/>
      <c r="H388" s="73"/>
      <c r="I388" s="73"/>
      <c r="J388" s="72"/>
      <c r="K388" s="73"/>
      <c r="L388" s="73"/>
      <c r="M388" s="73"/>
      <c r="N388" s="73"/>
      <c r="O388" s="73"/>
      <c r="P388" s="72"/>
      <c r="Q388" s="199"/>
    </row>
    <row r="389" spans="1:17" s="70" customFormat="1" ht="15">
      <c r="A389" s="49"/>
      <c r="B389" s="71"/>
      <c r="C389" s="49"/>
      <c r="D389" s="49"/>
      <c r="E389" s="72"/>
      <c r="F389" s="73"/>
      <c r="G389" s="73"/>
      <c r="H389" s="73"/>
      <c r="I389" s="73"/>
      <c r="J389" s="72"/>
      <c r="K389" s="73"/>
      <c r="L389" s="73"/>
      <c r="M389" s="73"/>
      <c r="N389" s="73"/>
      <c r="O389" s="73"/>
      <c r="P389" s="72"/>
      <c r="Q389" s="199"/>
    </row>
    <row r="390" spans="1:17" s="70" customFormat="1" ht="15">
      <c r="A390" s="49"/>
      <c r="B390" s="71"/>
      <c r="C390" s="49"/>
      <c r="D390" s="49"/>
      <c r="E390" s="72"/>
      <c r="F390" s="73"/>
      <c r="G390" s="73"/>
      <c r="H390" s="73"/>
      <c r="I390" s="73"/>
      <c r="J390" s="72"/>
      <c r="K390" s="73"/>
      <c r="L390" s="73"/>
      <c r="M390" s="73"/>
      <c r="N390" s="73"/>
      <c r="O390" s="73"/>
      <c r="P390" s="72"/>
      <c r="Q390" s="199"/>
    </row>
    <row r="391" spans="1:17" s="70" customFormat="1" ht="15">
      <c r="A391" s="49"/>
      <c r="B391" s="71"/>
      <c r="C391" s="49"/>
      <c r="D391" s="49"/>
      <c r="E391" s="72"/>
      <c r="F391" s="73"/>
      <c r="G391" s="73"/>
      <c r="H391" s="73"/>
      <c r="I391" s="73"/>
      <c r="J391" s="72"/>
      <c r="K391" s="73"/>
      <c r="L391" s="73"/>
      <c r="M391" s="73"/>
      <c r="N391" s="73"/>
      <c r="O391" s="73"/>
      <c r="P391" s="72"/>
      <c r="Q391" s="199"/>
    </row>
    <row r="392" spans="1:17" s="70" customFormat="1" ht="15">
      <c r="A392" s="49"/>
      <c r="B392" s="71"/>
      <c r="C392" s="49"/>
      <c r="D392" s="49"/>
      <c r="E392" s="72"/>
      <c r="F392" s="73"/>
      <c r="G392" s="73"/>
      <c r="H392" s="73"/>
      <c r="I392" s="73"/>
      <c r="J392" s="72"/>
      <c r="K392" s="73"/>
      <c r="L392" s="73"/>
      <c r="M392" s="73"/>
      <c r="N392" s="73"/>
      <c r="O392" s="73"/>
      <c r="P392" s="72"/>
      <c r="Q392" s="199"/>
    </row>
    <row r="393" spans="1:17" s="70" customFormat="1" ht="15">
      <c r="A393" s="49"/>
      <c r="B393" s="71"/>
      <c r="C393" s="49"/>
      <c r="D393" s="49"/>
      <c r="E393" s="72"/>
      <c r="F393" s="73"/>
      <c r="G393" s="73"/>
      <c r="H393" s="73"/>
      <c r="I393" s="73"/>
      <c r="J393" s="72"/>
      <c r="K393" s="73"/>
      <c r="L393" s="73"/>
      <c r="M393" s="73"/>
      <c r="N393" s="73"/>
      <c r="O393" s="73"/>
      <c r="P393" s="72"/>
      <c r="Q393" s="199"/>
    </row>
    <row r="394" spans="1:17" s="70" customFormat="1" ht="15">
      <c r="A394" s="49"/>
      <c r="B394" s="71"/>
      <c r="C394" s="49"/>
      <c r="D394" s="49"/>
      <c r="E394" s="72"/>
      <c r="F394" s="73"/>
      <c r="G394" s="73"/>
      <c r="H394" s="73"/>
      <c r="I394" s="73"/>
      <c r="J394" s="72"/>
      <c r="K394" s="73"/>
      <c r="L394" s="73"/>
      <c r="M394" s="73"/>
      <c r="N394" s="73"/>
      <c r="O394" s="73"/>
      <c r="P394" s="72"/>
      <c r="Q394" s="199"/>
    </row>
    <row r="395" spans="1:17" s="70" customFormat="1" ht="15">
      <c r="A395" s="49"/>
      <c r="B395" s="71"/>
      <c r="C395" s="49"/>
      <c r="D395" s="49"/>
      <c r="E395" s="72"/>
      <c r="F395" s="73"/>
      <c r="G395" s="73"/>
      <c r="H395" s="73"/>
      <c r="I395" s="73"/>
      <c r="J395" s="72"/>
      <c r="K395" s="73"/>
      <c r="L395" s="73"/>
      <c r="M395" s="73"/>
      <c r="N395" s="73"/>
      <c r="O395" s="73"/>
      <c r="P395" s="72"/>
      <c r="Q395" s="199"/>
    </row>
    <row r="396" spans="1:17" s="70" customFormat="1" ht="15">
      <c r="A396" s="49"/>
      <c r="B396" s="71"/>
      <c r="C396" s="49"/>
      <c r="D396" s="49"/>
      <c r="E396" s="72"/>
      <c r="F396" s="73"/>
      <c r="G396" s="73"/>
      <c r="H396" s="73"/>
      <c r="I396" s="73"/>
      <c r="J396" s="72"/>
      <c r="K396" s="73"/>
      <c r="L396" s="73"/>
      <c r="M396" s="73"/>
      <c r="N396" s="73"/>
      <c r="O396" s="73"/>
      <c r="P396" s="72"/>
      <c r="Q396" s="199"/>
    </row>
    <row r="397" spans="1:17" s="70" customFormat="1" ht="15">
      <c r="A397" s="49"/>
      <c r="B397" s="71"/>
      <c r="C397" s="49"/>
      <c r="D397" s="49"/>
      <c r="E397" s="72"/>
      <c r="F397" s="73"/>
      <c r="G397" s="73"/>
      <c r="H397" s="73"/>
      <c r="I397" s="73"/>
      <c r="J397" s="72"/>
      <c r="K397" s="73"/>
      <c r="L397" s="73"/>
      <c r="M397" s="73"/>
      <c r="N397" s="73"/>
      <c r="O397" s="73"/>
      <c r="P397" s="72"/>
      <c r="Q397" s="199"/>
    </row>
    <row r="398" spans="1:17" s="70" customFormat="1" ht="15">
      <c r="A398" s="49"/>
      <c r="B398" s="71"/>
      <c r="C398" s="49"/>
      <c r="D398" s="49"/>
      <c r="E398" s="72"/>
      <c r="F398" s="73"/>
      <c r="G398" s="73"/>
      <c r="H398" s="73"/>
      <c r="I398" s="73"/>
      <c r="J398" s="72"/>
      <c r="K398" s="73"/>
      <c r="L398" s="73"/>
      <c r="M398" s="73"/>
      <c r="N398" s="73"/>
      <c r="O398" s="73"/>
      <c r="P398" s="72"/>
      <c r="Q398" s="199"/>
    </row>
    <row r="399" spans="1:17" s="70" customFormat="1" ht="15">
      <c r="A399" s="49"/>
      <c r="B399" s="71"/>
      <c r="C399" s="49"/>
      <c r="D399" s="49"/>
      <c r="E399" s="72"/>
      <c r="F399" s="73"/>
      <c r="G399" s="73"/>
      <c r="H399" s="73"/>
      <c r="I399" s="73"/>
      <c r="J399" s="72"/>
      <c r="K399" s="73"/>
      <c r="L399" s="73"/>
      <c r="M399" s="73"/>
      <c r="N399" s="73"/>
      <c r="O399" s="73"/>
      <c r="P399" s="72"/>
      <c r="Q399" s="199"/>
    </row>
    <row r="400" spans="1:17" s="70" customFormat="1" ht="15">
      <c r="A400" s="49"/>
      <c r="B400" s="71"/>
      <c r="C400" s="49"/>
      <c r="D400" s="49"/>
      <c r="E400" s="72"/>
      <c r="F400" s="73"/>
      <c r="G400" s="73"/>
      <c r="H400" s="73"/>
      <c r="I400" s="73"/>
      <c r="J400" s="72"/>
      <c r="K400" s="73"/>
      <c r="L400" s="73"/>
      <c r="M400" s="73"/>
      <c r="N400" s="73"/>
      <c r="O400" s="73"/>
      <c r="P400" s="72"/>
      <c r="Q400" s="199"/>
    </row>
    <row r="401" spans="1:17" s="70" customFormat="1" ht="15">
      <c r="A401" s="49"/>
      <c r="B401" s="71"/>
      <c r="C401" s="49"/>
      <c r="D401" s="49"/>
      <c r="E401" s="72"/>
      <c r="F401" s="73"/>
      <c r="G401" s="73"/>
      <c r="H401" s="73"/>
      <c r="I401" s="73"/>
      <c r="J401" s="72"/>
      <c r="K401" s="73"/>
      <c r="L401" s="73"/>
      <c r="M401" s="73"/>
      <c r="N401" s="73"/>
      <c r="O401" s="73"/>
      <c r="P401" s="72"/>
      <c r="Q401" s="199"/>
    </row>
    <row r="402" spans="1:17" s="70" customFormat="1" ht="15">
      <c r="A402" s="49"/>
      <c r="B402" s="71"/>
      <c r="C402" s="49"/>
      <c r="D402" s="49"/>
      <c r="E402" s="72"/>
      <c r="F402" s="73"/>
      <c r="G402" s="73"/>
      <c r="H402" s="73"/>
      <c r="I402" s="73"/>
      <c r="J402" s="72"/>
      <c r="K402" s="73"/>
      <c r="L402" s="73"/>
      <c r="M402" s="73"/>
      <c r="N402" s="73"/>
      <c r="O402" s="73"/>
      <c r="P402" s="72"/>
      <c r="Q402" s="199"/>
    </row>
    <row r="403" spans="1:17" s="70" customFormat="1" ht="15">
      <c r="A403" s="49"/>
      <c r="B403" s="71"/>
      <c r="C403" s="49"/>
      <c r="D403" s="49"/>
      <c r="E403" s="72"/>
      <c r="F403" s="73"/>
      <c r="G403" s="73"/>
      <c r="H403" s="73"/>
      <c r="I403" s="73"/>
      <c r="J403" s="72"/>
      <c r="K403" s="73"/>
      <c r="L403" s="73"/>
      <c r="M403" s="73"/>
      <c r="N403" s="73"/>
      <c r="O403" s="73"/>
      <c r="P403" s="72"/>
      <c r="Q403" s="199"/>
    </row>
    <row r="404" spans="1:17" s="70" customFormat="1" ht="15">
      <c r="A404" s="49"/>
      <c r="B404" s="71"/>
      <c r="C404" s="49"/>
      <c r="D404" s="49"/>
      <c r="E404" s="72"/>
      <c r="F404" s="73"/>
      <c r="G404" s="73"/>
      <c r="H404" s="73"/>
      <c r="I404" s="73"/>
      <c r="J404" s="72"/>
      <c r="K404" s="73"/>
      <c r="L404" s="73"/>
      <c r="M404" s="73"/>
      <c r="N404" s="73"/>
      <c r="O404" s="73"/>
      <c r="P404" s="72"/>
      <c r="Q404" s="199"/>
    </row>
    <row r="405" spans="1:17" s="70" customFormat="1" ht="15">
      <c r="A405" s="49"/>
      <c r="B405" s="71"/>
      <c r="C405" s="49"/>
      <c r="D405" s="49"/>
      <c r="E405" s="72"/>
      <c r="F405" s="73"/>
      <c r="G405" s="73"/>
      <c r="H405" s="73"/>
      <c r="I405" s="73"/>
      <c r="J405" s="72"/>
      <c r="K405" s="73"/>
      <c r="L405" s="73"/>
      <c r="M405" s="73"/>
      <c r="N405" s="73"/>
      <c r="O405" s="73"/>
      <c r="P405" s="72"/>
      <c r="Q405" s="199"/>
    </row>
    <row r="406" spans="1:17" s="70" customFormat="1" ht="15">
      <c r="A406" s="49"/>
      <c r="B406" s="71"/>
      <c r="C406" s="49"/>
      <c r="D406" s="49"/>
      <c r="E406" s="72"/>
      <c r="F406" s="73"/>
      <c r="G406" s="73"/>
      <c r="H406" s="73"/>
      <c r="I406" s="73"/>
      <c r="J406" s="72"/>
      <c r="K406" s="73"/>
      <c r="L406" s="73"/>
      <c r="M406" s="73"/>
      <c r="N406" s="73"/>
      <c r="O406" s="73"/>
      <c r="P406" s="72"/>
      <c r="Q406" s="199"/>
    </row>
    <row r="407" spans="1:17" s="70" customFormat="1" ht="15">
      <c r="A407" s="49"/>
      <c r="B407" s="71"/>
      <c r="C407" s="49"/>
      <c r="D407" s="49"/>
      <c r="E407" s="72"/>
      <c r="F407" s="73"/>
      <c r="G407" s="73"/>
      <c r="H407" s="73"/>
      <c r="I407" s="73"/>
      <c r="J407" s="72"/>
      <c r="K407" s="73"/>
      <c r="L407" s="73"/>
      <c r="M407" s="73"/>
      <c r="N407" s="73"/>
      <c r="O407" s="73"/>
      <c r="P407" s="72"/>
      <c r="Q407" s="199"/>
    </row>
    <row r="408" spans="1:17" s="70" customFormat="1" ht="15">
      <c r="A408" s="49"/>
      <c r="B408" s="71"/>
      <c r="C408" s="49"/>
      <c r="D408" s="49"/>
      <c r="E408" s="72"/>
      <c r="F408" s="73"/>
      <c r="G408" s="73"/>
      <c r="H408" s="73"/>
      <c r="I408" s="73"/>
      <c r="J408" s="72"/>
      <c r="K408" s="73"/>
      <c r="L408" s="73"/>
      <c r="M408" s="73"/>
      <c r="N408" s="73"/>
      <c r="O408" s="73"/>
      <c r="P408" s="72"/>
      <c r="Q408" s="199"/>
    </row>
    <row r="409" spans="1:17" s="70" customFormat="1" ht="15">
      <c r="A409" s="49"/>
      <c r="B409" s="71"/>
      <c r="C409" s="49"/>
      <c r="D409" s="49"/>
      <c r="E409" s="72"/>
      <c r="F409" s="73"/>
      <c r="G409" s="73"/>
      <c r="H409" s="73"/>
      <c r="I409" s="73"/>
      <c r="J409" s="72"/>
      <c r="K409" s="73"/>
      <c r="L409" s="73"/>
      <c r="M409" s="73"/>
      <c r="N409" s="73"/>
      <c r="O409" s="73"/>
      <c r="P409" s="72"/>
      <c r="Q409" s="199"/>
    </row>
    <row r="410" spans="1:17" s="70" customFormat="1" ht="15">
      <c r="A410" s="49"/>
      <c r="B410" s="71"/>
      <c r="C410" s="49"/>
      <c r="D410" s="49"/>
      <c r="E410" s="72"/>
      <c r="F410" s="73"/>
      <c r="G410" s="73"/>
      <c r="H410" s="73"/>
      <c r="I410" s="73"/>
      <c r="J410" s="72"/>
      <c r="K410" s="73"/>
      <c r="L410" s="73"/>
      <c r="M410" s="73"/>
      <c r="N410" s="73"/>
      <c r="O410" s="73"/>
      <c r="P410" s="72"/>
      <c r="Q410" s="199"/>
    </row>
    <row r="411" spans="1:17" s="70" customFormat="1" ht="15">
      <c r="A411" s="49"/>
      <c r="B411" s="71"/>
      <c r="C411" s="49"/>
      <c r="D411" s="49"/>
      <c r="E411" s="72"/>
      <c r="F411" s="73"/>
      <c r="G411" s="73"/>
      <c r="H411" s="73"/>
      <c r="I411" s="73"/>
      <c r="J411" s="72"/>
      <c r="K411" s="73"/>
      <c r="L411" s="73"/>
      <c r="M411" s="73"/>
      <c r="N411" s="73"/>
      <c r="O411" s="73"/>
      <c r="P411" s="72"/>
      <c r="Q411" s="199"/>
    </row>
    <row r="412" spans="1:17" s="70" customFormat="1" ht="15">
      <c r="A412" s="49"/>
      <c r="B412" s="71"/>
      <c r="C412" s="49"/>
      <c r="D412" s="49"/>
      <c r="E412" s="72"/>
      <c r="F412" s="73"/>
      <c r="G412" s="73"/>
      <c r="H412" s="73"/>
      <c r="I412" s="73"/>
      <c r="J412" s="72"/>
      <c r="K412" s="73"/>
      <c r="L412" s="73"/>
      <c r="M412" s="73"/>
      <c r="N412" s="73"/>
      <c r="O412" s="73"/>
      <c r="P412" s="72"/>
      <c r="Q412" s="199"/>
    </row>
    <row r="413" spans="1:17" s="70" customFormat="1" ht="15">
      <c r="A413" s="49"/>
      <c r="B413" s="71"/>
      <c r="C413" s="49"/>
      <c r="D413" s="49"/>
      <c r="E413" s="72"/>
      <c r="F413" s="73"/>
      <c r="G413" s="73"/>
      <c r="H413" s="73"/>
      <c r="I413" s="73"/>
      <c r="J413" s="72"/>
      <c r="K413" s="73"/>
      <c r="L413" s="73"/>
      <c r="M413" s="73"/>
      <c r="N413" s="73"/>
      <c r="O413" s="73"/>
      <c r="P413" s="72"/>
      <c r="Q413" s="199"/>
    </row>
    <row r="414" spans="1:17" s="70" customFormat="1" ht="15">
      <c r="A414" s="49"/>
      <c r="B414" s="71"/>
      <c r="C414" s="49"/>
      <c r="D414" s="49"/>
      <c r="E414" s="72"/>
      <c r="F414" s="73"/>
      <c r="G414" s="73"/>
      <c r="H414" s="73"/>
      <c r="I414" s="73"/>
      <c r="J414" s="72"/>
      <c r="K414" s="73"/>
      <c r="L414" s="73"/>
      <c r="M414" s="73"/>
      <c r="N414" s="73"/>
      <c r="O414" s="73"/>
      <c r="P414" s="72"/>
      <c r="Q414" s="199"/>
    </row>
    <row r="415" spans="1:17" s="70" customFormat="1" ht="15">
      <c r="A415" s="49"/>
      <c r="B415" s="71"/>
      <c r="C415" s="49"/>
      <c r="D415" s="49"/>
      <c r="E415" s="72"/>
      <c r="F415" s="73"/>
      <c r="G415" s="73"/>
      <c r="H415" s="73"/>
      <c r="I415" s="73"/>
      <c r="J415" s="72"/>
      <c r="K415" s="73"/>
      <c r="L415" s="73"/>
      <c r="M415" s="73"/>
      <c r="N415" s="73"/>
      <c r="O415" s="73"/>
      <c r="P415" s="72"/>
      <c r="Q415" s="199"/>
    </row>
    <row r="416" spans="1:17" s="70" customFormat="1" ht="15">
      <c r="A416" s="49"/>
      <c r="B416" s="71"/>
      <c r="C416" s="49"/>
      <c r="D416" s="49"/>
      <c r="E416" s="72"/>
      <c r="F416" s="73"/>
      <c r="G416" s="73"/>
      <c r="H416" s="73"/>
      <c r="I416" s="73"/>
      <c r="J416" s="72"/>
      <c r="K416" s="73"/>
      <c r="L416" s="73"/>
      <c r="M416" s="73"/>
      <c r="N416" s="73"/>
      <c r="O416" s="73"/>
      <c r="P416" s="72"/>
      <c r="Q416" s="199"/>
    </row>
    <row r="417" spans="1:17" s="70" customFormat="1" ht="15">
      <c r="A417" s="49"/>
      <c r="B417" s="71"/>
      <c r="C417" s="49"/>
      <c r="D417" s="49"/>
      <c r="E417" s="72"/>
      <c r="F417" s="73"/>
      <c r="G417" s="73"/>
      <c r="H417" s="73"/>
      <c r="I417" s="73"/>
      <c r="J417" s="72"/>
      <c r="K417" s="73"/>
      <c r="L417" s="73"/>
      <c r="M417" s="73"/>
      <c r="N417" s="73"/>
      <c r="O417" s="73"/>
      <c r="P417" s="72"/>
      <c r="Q417" s="199"/>
    </row>
    <row r="418" spans="1:17" s="70" customFormat="1" ht="15">
      <c r="A418" s="49"/>
      <c r="B418" s="71"/>
      <c r="C418" s="49"/>
      <c r="D418" s="49"/>
      <c r="E418" s="72"/>
      <c r="F418" s="73"/>
      <c r="G418" s="73"/>
      <c r="H418" s="73"/>
      <c r="I418" s="73"/>
      <c r="J418" s="72"/>
      <c r="K418" s="73"/>
      <c r="L418" s="73"/>
      <c r="M418" s="73"/>
      <c r="N418" s="73"/>
      <c r="O418" s="73"/>
      <c r="P418" s="72"/>
      <c r="Q418" s="199"/>
    </row>
    <row r="419" spans="1:17" s="70" customFormat="1" ht="15">
      <c r="A419" s="49"/>
      <c r="B419" s="71"/>
      <c r="C419" s="49"/>
      <c r="D419" s="49"/>
      <c r="E419" s="72"/>
      <c r="F419" s="73"/>
      <c r="G419" s="73"/>
      <c r="H419" s="73"/>
      <c r="I419" s="73"/>
      <c r="J419" s="72"/>
      <c r="K419" s="73"/>
      <c r="L419" s="73"/>
      <c r="M419" s="73"/>
      <c r="N419" s="73"/>
      <c r="O419" s="73"/>
      <c r="P419" s="72"/>
      <c r="Q419" s="199"/>
    </row>
    <row r="420" spans="1:17" s="70" customFormat="1" ht="15">
      <c r="A420" s="49"/>
      <c r="B420" s="71"/>
      <c r="C420" s="49"/>
      <c r="D420" s="49"/>
      <c r="E420" s="72"/>
      <c r="F420" s="73"/>
      <c r="G420" s="73"/>
      <c r="H420" s="73"/>
      <c r="I420" s="73"/>
      <c r="J420" s="72"/>
      <c r="K420" s="73"/>
      <c r="L420" s="73"/>
      <c r="M420" s="73"/>
      <c r="N420" s="73"/>
      <c r="O420" s="73"/>
      <c r="P420" s="72"/>
      <c r="Q420" s="199"/>
    </row>
    <row r="421" spans="1:17" s="70" customFormat="1" ht="15">
      <c r="A421" s="49"/>
      <c r="B421" s="71"/>
      <c r="C421" s="49"/>
      <c r="D421" s="49"/>
      <c r="E421" s="72"/>
      <c r="F421" s="73"/>
      <c r="G421" s="73"/>
      <c r="H421" s="73"/>
      <c r="I421" s="73"/>
      <c r="J421" s="72"/>
      <c r="K421" s="73"/>
      <c r="L421" s="73"/>
      <c r="M421" s="73"/>
      <c r="N421" s="73"/>
      <c r="O421" s="73"/>
      <c r="P421" s="72"/>
      <c r="Q421" s="199"/>
    </row>
    <row r="422" spans="1:17" s="70" customFormat="1" ht="15">
      <c r="A422" s="49"/>
      <c r="B422" s="71"/>
      <c r="C422" s="49"/>
      <c r="D422" s="49"/>
      <c r="E422" s="72"/>
      <c r="F422" s="73"/>
      <c r="G422" s="73"/>
      <c r="H422" s="73"/>
      <c r="I422" s="73"/>
      <c r="J422" s="72"/>
      <c r="K422" s="73"/>
      <c r="L422" s="73"/>
      <c r="M422" s="73"/>
      <c r="N422" s="73"/>
      <c r="O422" s="73"/>
      <c r="P422" s="72"/>
      <c r="Q422" s="199"/>
    </row>
    <row r="423" spans="1:17" s="70" customFormat="1" ht="15">
      <c r="A423" s="49"/>
      <c r="B423" s="71"/>
      <c r="C423" s="49"/>
      <c r="D423" s="49"/>
      <c r="E423" s="72"/>
      <c r="F423" s="73"/>
      <c r="G423" s="73"/>
      <c r="H423" s="73"/>
      <c r="I423" s="73"/>
      <c r="J423" s="72"/>
      <c r="K423" s="73"/>
      <c r="L423" s="73"/>
      <c r="M423" s="73"/>
      <c r="N423" s="73"/>
      <c r="O423" s="73"/>
      <c r="P423" s="72"/>
      <c r="Q423" s="199"/>
    </row>
    <row r="424" spans="1:17" s="70" customFormat="1" ht="15">
      <c r="A424" s="49"/>
      <c r="B424" s="71"/>
      <c r="C424" s="49"/>
      <c r="D424" s="49"/>
      <c r="E424" s="72"/>
      <c r="F424" s="73"/>
      <c r="G424" s="73"/>
      <c r="H424" s="73"/>
      <c r="I424" s="73"/>
      <c r="J424" s="72"/>
      <c r="K424" s="73"/>
      <c r="L424" s="73"/>
      <c r="M424" s="73"/>
      <c r="N424" s="73"/>
      <c r="O424" s="73"/>
      <c r="P424" s="72"/>
      <c r="Q424" s="199"/>
    </row>
    <row r="425" spans="1:17" s="70" customFormat="1" ht="15">
      <c r="A425" s="49"/>
      <c r="B425" s="71"/>
      <c r="C425" s="49"/>
      <c r="D425" s="49"/>
      <c r="E425" s="72"/>
      <c r="F425" s="73"/>
      <c r="G425" s="73"/>
      <c r="H425" s="73"/>
      <c r="I425" s="73"/>
      <c r="J425" s="72"/>
      <c r="K425" s="73"/>
      <c r="L425" s="73"/>
      <c r="M425" s="73"/>
      <c r="N425" s="73"/>
      <c r="O425" s="73"/>
      <c r="P425" s="72"/>
      <c r="Q425" s="199"/>
    </row>
    <row r="426" spans="1:17" s="70" customFormat="1" ht="15">
      <c r="A426" s="49"/>
      <c r="B426" s="71"/>
      <c r="C426" s="49"/>
      <c r="D426" s="49"/>
      <c r="E426" s="72"/>
      <c r="F426" s="73"/>
      <c r="G426" s="73"/>
      <c r="H426" s="73"/>
      <c r="I426" s="73"/>
      <c r="J426" s="72"/>
      <c r="K426" s="73"/>
      <c r="L426" s="73"/>
      <c r="M426" s="73"/>
      <c r="N426" s="73"/>
      <c r="O426" s="73"/>
      <c r="P426" s="72"/>
      <c r="Q426" s="199"/>
    </row>
    <row r="427" spans="1:17" s="70" customFormat="1" ht="15">
      <c r="A427" s="49"/>
      <c r="B427" s="71"/>
      <c r="C427" s="49"/>
      <c r="D427" s="49"/>
      <c r="E427" s="72"/>
      <c r="F427" s="73"/>
      <c r="G427" s="73"/>
      <c r="H427" s="73"/>
      <c r="I427" s="73"/>
      <c r="J427" s="72"/>
      <c r="K427" s="73"/>
      <c r="L427" s="73"/>
      <c r="M427" s="73"/>
      <c r="N427" s="73"/>
      <c r="O427" s="73"/>
      <c r="P427" s="72"/>
      <c r="Q427" s="199"/>
    </row>
    <row r="428" spans="1:17" s="70" customFormat="1" ht="15">
      <c r="A428" s="49"/>
      <c r="B428" s="71"/>
      <c r="C428" s="49"/>
      <c r="D428" s="49"/>
      <c r="E428" s="72"/>
      <c r="F428" s="73"/>
      <c r="G428" s="73"/>
      <c r="H428" s="73"/>
      <c r="I428" s="73"/>
      <c r="J428" s="72"/>
      <c r="K428" s="73"/>
      <c r="L428" s="73"/>
      <c r="M428" s="73"/>
      <c r="N428" s="73"/>
      <c r="O428" s="73"/>
      <c r="P428" s="72"/>
      <c r="Q428" s="199"/>
    </row>
    <row r="429" spans="1:17" s="70" customFormat="1" ht="15">
      <c r="A429" s="49"/>
      <c r="B429" s="71"/>
      <c r="C429" s="49"/>
      <c r="D429" s="49"/>
      <c r="E429" s="72"/>
      <c r="F429" s="73"/>
      <c r="G429" s="73"/>
      <c r="H429" s="73"/>
      <c r="I429" s="73"/>
      <c r="J429" s="72"/>
      <c r="K429" s="73"/>
      <c r="L429" s="73"/>
      <c r="M429" s="73"/>
      <c r="N429" s="73"/>
      <c r="O429" s="73"/>
      <c r="P429" s="72"/>
      <c r="Q429" s="199"/>
    </row>
    <row r="430" spans="1:17" s="70" customFormat="1" ht="15">
      <c r="A430" s="49"/>
      <c r="B430" s="71"/>
      <c r="C430" s="49"/>
      <c r="D430" s="49"/>
      <c r="E430" s="72"/>
      <c r="F430" s="73"/>
      <c r="G430" s="73"/>
      <c r="H430" s="73"/>
      <c r="I430" s="73"/>
      <c r="J430" s="72"/>
      <c r="K430" s="73"/>
      <c r="L430" s="73"/>
      <c r="M430" s="73"/>
      <c r="N430" s="73"/>
      <c r="O430" s="73"/>
      <c r="P430" s="72"/>
      <c r="Q430" s="199"/>
    </row>
    <row r="431" spans="1:17" s="70" customFormat="1" ht="15">
      <c r="A431" s="49"/>
      <c r="B431" s="71"/>
      <c r="C431" s="49"/>
      <c r="D431" s="49"/>
      <c r="E431" s="72"/>
      <c r="F431" s="73"/>
      <c r="G431" s="73"/>
      <c r="H431" s="73"/>
      <c r="I431" s="73"/>
      <c r="J431" s="72"/>
      <c r="K431" s="73"/>
      <c r="L431" s="73"/>
      <c r="M431" s="73"/>
      <c r="N431" s="73"/>
      <c r="O431" s="73"/>
      <c r="P431" s="72"/>
      <c r="Q431" s="199"/>
    </row>
    <row r="432" spans="1:17" s="70" customFormat="1" ht="15">
      <c r="A432" s="49"/>
      <c r="B432" s="71"/>
      <c r="C432" s="49"/>
      <c r="D432" s="49"/>
      <c r="E432" s="72"/>
      <c r="F432" s="73"/>
      <c r="G432" s="73"/>
      <c r="H432" s="73"/>
      <c r="I432" s="73"/>
      <c r="J432" s="72"/>
      <c r="K432" s="73"/>
      <c r="L432" s="73"/>
      <c r="M432" s="73"/>
      <c r="N432" s="73"/>
      <c r="O432" s="73"/>
      <c r="P432" s="72"/>
      <c r="Q432" s="199"/>
    </row>
    <row r="433" spans="1:17" s="70" customFormat="1" ht="15">
      <c r="A433" s="49"/>
      <c r="B433" s="71"/>
      <c r="C433" s="49"/>
      <c r="D433" s="49"/>
      <c r="E433" s="72"/>
      <c r="F433" s="73"/>
      <c r="G433" s="73"/>
      <c r="H433" s="73"/>
      <c r="I433" s="73"/>
      <c r="J433" s="72"/>
      <c r="K433" s="73"/>
      <c r="L433" s="73"/>
      <c r="M433" s="73"/>
      <c r="N433" s="73"/>
      <c r="O433" s="73"/>
      <c r="P433" s="72"/>
      <c r="Q433" s="199"/>
    </row>
    <row r="434" spans="1:17" s="70" customFormat="1" ht="15">
      <c r="A434" s="49"/>
      <c r="B434" s="71"/>
      <c r="C434" s="49"/>
      <c r="D434" s="49"/>
      <c r="E434" s="72"/>
      <c r="F434" s="73"/>
      <c r="G434" s="73"/>
      <c r="H434" s="73"/>
      <c r="I434" s="73"/>
      <c r="J434" s="72"/>
      <c r="K434" s="73"/>
      <c r="L434" s="73"/>
      <c r="M434" s="73"/>
      <c r="N434" s="73"/>
      <c r="O434" s="73"/>
      <c r="P434" s="72"/>
      <c r="Q434" s="199"/>
    </row>
    <row r="435" spans="1:17" s="70" customFormat="1" ht="15">
      <c r="A435" s="49"/>
      <c r="B435" s="71"/>
      <c r="C435" s="49"/>
      <c r="D435" s="49"/>
      <c r="E435" s="72"/>
      <c r="F435" s="73"/>
      <c r="G435" s="73"/>
      <c r="H435" s="73"/>
      <c r="I435" s="73"/>
      <c r="J435" s="72"/>
      <c r="K435" s="73"/>
      <c r="L435" s="73"/>
      <c r="M435" s="73"/>
      <c r="N435" s="73"/>
      <c r="O435" s="73"/>
      <c r="P435" s="72"/>
      <c r="Q435" s="199"/>
    </row>
    <row r="436" spans="1:17" s="70" customFormat="1" ht="15">
      <c r="A436" s="49"/>
      <c r="B436" s="71"/>
      <c r="C436" s="49"/>
      <c r="D436" s="49"/>
      <c r="E436" s="72"/>
      <c r="F436" s="73"/>
      <c r="G436" s="73"/>
      <c r="H436" s="73"/>
      <c r="I436" s="73"/>
      <c r="J436" s="72"/>
      <c r="K436" s="73"/>
      <c r="L436" s="73"/>
      <c r="M436" s="73"/>
      <c r="N436" s="73"/>
      <c r="O436" s="73"/>
      <c r="P436" s="72"/>
      <c r="Q436" s="199"/>
    </row>
    <row r="437" spans="1:17" s="70" customFormat="1" ht="15">
      <c r="A437" s="49"/>
      <c r="B437" s="71"/>
      <c r="C437" s="49"/>
      <c r="D437" s="49"/>
      <c r="E437" s="72"/>
      <c r="F437" s="73"/>
      <c r="G437" s="73"/>
      <c r="H437" s="73"/>
      <c r="I437" s="73"/>
      <c r="J437" s="72"/>
      <c r="K437" s="73"/>
      <c r="L437" s="73"/>
      <c r="M437" s="73"/>
      <c r="N437" s="73"/>
      <c r="O437" s="73"/>
      <c r="P437" s="72"/>
      <c r="Q437" s="199"/>
    </row>
    <row r="438" spans="1:17" s="70" customFormat="1" ht="15">
      <c r="A438" s="49"/>
      <c r="B438" s="71"/>
      <c r="C438" s="49"/>
      <c r="D438" s="49"/>
      <c r="E438" s="72"/>
      <c r="F438" s="73"/>
      <c r="G438" s="73"/>
      <c r="H438" s="73"/>
      <c r="I438" s="73"/>
      <c r="J438" s="72"/>
      <c r="K438" s="73"/>
      <c r="L438" s="73"/>
      <c r="M438" s="73"/>
      <c r="N438" s="73"/>
      <c r="O438" s="73"/>
      <c r="P438" s="72"/>
      <c r="Q438" s="199"/>
    </row>
    <row r="439" spans="1:17" s="70" customFormat="1" ht="15">
      <c r="A439" s="49"/>
      <c r="B439" s="71"/>
      <c r="C439" s="49"/>
      <c r="D439" s="49"/>
      <c r="E439" s="72"/>
      <c r="F439" s="73"/>
      <c r="G439" s="73"/>
      <c r="H439" s="73"/>
      <c r="I439" s="73"/>
      <c r="J439" s="72"/>
      <c r="K439" s="73"/>
      <c r="L439" s="73"/>
      <c r="M439" s="73"/>
      <c r="N439" s="73"/>
      <c r="O439" s="73"/>
      <c r="P439" s="72"/>
      <c r="Q439" s="199"/>
    </row>
    <row r="440" spans="1:17" s="70" customFormat="1" ht="15">
      <c r="A440" s="49"/>
      <c r="B440" s="71"/>
      <c r="C440" s="49"/>
      <c r="D440" s="49"/>
      <c r="E440" s="72"/>
      <c r="F440" s="73"/>
      <c r="G440" s="73"/>
      <c r="H440" s="73"/>
      <c r="I440" s="73"/>
      <c r="J440" s="72"/>
      <c r="K440" s="73"/>
      <c r="L440" s="73"/>
      <c r="M440" s="73"/>
      <c r="N440" s="73"/>
      <c r="O440" s="73"/>
      <c r="P440" s="72"/>
      <c r="Q440" s="199"/>
    </row>
    <row r="441" spans="1:17" s="70" customFormat="1" ht="15">
      <c r="A441" s="49"/>
      <c r="B441" s="71"/>
      <c r="C441" s="49"/>
      <c r="D441" s="49"/>
      <c r="E441" s="72"/>
      <c r="F441" s="73"/>
      <c r="G441" s="73"/>
      <c r="H441" s="73"/>
      <c r="I441" s="73"/>
      <c r="J441" s="72"/>
      <c r="K441" s="73"/>
      <c r="L441" s="73"/>
      <c r="M441" s="73"/>
      <c r="N441" s="73"/>
      <c r="O441" s="73"/>
      <c r="P441" s="72"/>
      <c r="Q441" s="199"/>
    </row>
    <row r="442" spans="1:17" s="70" customFormat="1" ht="15">
      <c r="A442" s="49"/>
      <c r="B442" s="71"/>
      <c r="C442" s="49"/>
      <c r="D442" s="49"/>
      <c r="E442" s="72"/>
      <c r="F442" s="73"/>
      <c r="G442" s="73"/>
      <c r="H442" s="73"/>
      <c r="I442" s="73"/>
      <c r="J442" s="72"/>
      <c r="K442" s="73"/>
      <c r="L442" s="73"/>
      <c r="M442" s="73"/>
      <c r="N442" s="73"/>
      <c r="O442" s="73"/>
      <c r="P442" s="72"/>
      <c r="Q442" s="199"/>
    </row>
    <row r="443" spans="1:17" s="70" customFormat="1" ht="15">
      <c r="A443" s="49"/>
      <c r="B443" s="71"/>
      <c r="C443" s="49"/>
      <c r="D443" s="49"/>
      <c r="E443" s="72"/>
      <c r="F443" s="73"/>
      <c r="G443" s="73"/>
      <c r="H443" s="73"/>
      <c r="I443" s="73"/>
      <c r="J443" s="72"/>
      <c r="K443" s="73"/>
      <c r="L443" s="73"/>
      <c r="M443" s="73"/>
      <c r="N443" s="73"/>
      <c r="O443" s="73"/>
      <c r="P443" s="72"/>
      <c r="Q443" s="199"/>
    </row>
    <row r="444" spans="1:17" s="70" customFormat="1" ht="15">
      <c r="A444" s="49"/>
      <c r="B444" s="71"/>
      <c r="C444" s="49"/>
      <c r="D444" s="49"/>
      <c r="E444" s="72"/>
      <c r="F444" s="73"/>
      <c r="G444" s="73"/>
      <c r="H444" s="73"/>
      <c r="I444" s="73"/>
      <c r="J444" s="72"/>
      <c r="K444" s="73"/>
      <c r="L444" s="73"/>
      <c r="M444" s="73"/>
      <c r="N444" s="73"/>
      <c r="O444" s="73"/>
      <c r="P444" s="72"/>
      <c r="Q444" s="199"/>
    </row>
    <row r="445" spans="1:17" s="70" customFormat="1" ht="15">
      <c r="A445" s="49"/>
      <c r="B445" s="71"/>
      <c r="C445" s="49"/>
      <c r="D445" s="49"/>
      <c r="E445" s="72"/>
      <c r="F445" s="73"/>
      <c r="G445" s="73"/>
      <c r="H445" s="73"/>
      <c r="I445" s="73"/>
      <c r="J445" s="72"/>
      <c r="K445" s="73"/>
      <c r="L445" s="73"/>
      <c r="M445" s="73"/>
      <c r="N445" s="73"/>
      <c r="O445" s="73"/>
      <c r="P445" s="72"/>
      <c r="Q445" s="199"/>
    </row>
    <row r="446" spans="1:17" s="70" customFormat="1" ht="15">
      <c r="A446" s="49"/>
      <c r="B446" s="71"/>
      <c r="C446" s="49"/>
      <c r="D446" s="49"/>
      <c r="E446" s="72"/>
      <c r="F446" s="73"/>
      <c r="G446" s="73"/>
      <c r="H446" s="73"/>
      <c r="I446" s="73"/>
      <c r="J446" s="72"/>
      <c r="K446" s="73"/>
      <c r="L446" s="73"/>
      <c r="M446" s="73"/>
      <c r="N446" s="73"/>
      <c r="O446" s="73"/>
      <c r="P446" s="72"/>
      <c r="Q446" s="199"/>
    </row>
    <row r="447" spans="1:17" s="70" customFormat="1" ht="15">
      <c r="A447" s="49"/>
      <c r="B447" s="71"/>
      <c r="C447" s="49"/>
      <c r="D447" s="49"/>
      <c r="E447" s="72"/>
      <c r="F447" s="73"/>
      <c r="G447" s="73"/>
      <c r="H447" s="73"/>
      <c r="I447" s="73"/>
      <c r="J447" s="72"/>
      <c r="K447" s="73"/>
      <c r="L447" s="73"/>
      <c r="M447" s="73"/>
      <c r="N447" s="73"/>
      <c r="O447" s="73"/>
      <c r="P447" s="72"/>
      <c r="Q447" s="199"/>
    </row>
    <row r="448" spans="1:17" s="70" customFormat="1" ht="15">
      <c r="A448" s="49"/>
      <c r="B448" s="71"/>
      <c r="C448" s="49"/>
      <c r="D448" s="49"/>
      <c r="E448" s="72"/>
      <c r="F448" s="73"/>
      <c r="G448" s="73"/>
      <c r="H448" s="73"/>
      <c r="I448" s="73"/>
      <c r="J448" s="72"/>
      <c r="K448" s="73"/>
      <c r="L448" s="73"/>
      <c r="M448" s="73"/>
      <c r="N448" s="73"/>
      <c r="O448" s="73"/>
      <c r="P448" s="72"/>
      <c r="Q448" s="199"/>
    </row>
    <row r="449" spans="1:17" s="70" customFormat="1" ht="15">
      <c r="A449" s="49"/>
      <c r="B449" s="71"/>
      <c r="C449" s="49"/>
      <c r="D449" s="49"/>
      <c r="E449" s="72"/>
      <c r="F449" s="73"/>
      <c r="G449" s="73"/>
      <c r="H449" s="73"/>
      <c r="I449" s="73"/>
      <c r="J449" s="72"/>
      <c r="K449" s="73"/>
      <c r="L449" s="73"/>
      <c r="M449" s="73"/>
      <c r="N449" s="73"/>
      <c r="O449" s="73"/>
      <c r="P449" s="72"/>
      <c r="Q449" s="199"/>
    </row>
    <row r="450" spans="1:17" s="70" customFormat="1" ht="15">
      <c r="A450" s="49"/>
      <c r="B450" s="71"/>
      <c r="C450" s="49"/>
      <c r="D450" s="49"/>
      <c r="E450" s="72"/>
      <c r="F450" s="73"/>
      <c r="G450" s="73"/>
      <c r="H450" s="73"/>
      <c r="I450" s="73"/>
      <c r="J450" s="72"/>
      <c r="K450" s="73"/>
      <c r="L450" s="73"/>
      <c r="M450" s="73"/>
      <c r="N450" s="73"/>
      <c r="O450" s="73"/>
      <c r="P450" s="72"/>
      <c r="Q450" s="199"/>
    </row>
    <row r="451" spans="1:17" s="70" customFormat="1" ht="15">
      <c r="A451" s="49"/>
      <c r="B451" s="71"/>
      <c r="C451" s="49"/>
      <c r="D451" s="49"/>
      <c r="E451" s="72"/>
      <c r="F451" s="73"/>
      <c r="G451" s="73"/>
      <c r="H451" s="73"/>
      <c r="I451" s="73"/>
      <c r="J451" s="72"/>
      <c r="K451" s="73"/>
      <c r="L451" s="73"/>
      <c r="M451" s="73"/>
      <c r="N451" s="73"/>
      <c r="O451" s="73"/>
      <c r="P451" s="72"/>
      <c r="Q451" s="199"/>
    </row>
    <row r="452" spans="1:17" s="70" customFormat="1" ht="15">
      <c r="A452" s="49"/>
      <c r="B452" s="71"/>
      <c r="C452" s="49"/>
      <c r="D452" s="49"/>
      <c r="E452" s="72"/>
      <c r="F452" s="73"/>
      <c r="G452" s="73"/>
      <c r="H452" s="73"/>
      <c r="I452" s="73"/>
      <c r="J452" s="72"/>
      <c r="K452" s="73"/>
      <c r="L452" s="73"/>
      <c r="M452" s="73"/>
      <c r="N452" s="73"/>
      <c r="O452" s="73"/>
      <c r="P452" s="72"/>
      <c r="Q452" s="199"/>
    </row>
    <row r="453" spans="1:17" s="70" customFormat="1" ht="15">
      <c r="A453" s="49"/>
      <c r="B453" s="71"/>
      <c r="C453" s="49"/>
      <c r="D453" s="49"/>
      <c r="E453" s="72"/>
      <c r="F453" s="73"/>
      <c r="G453" s="73"/>
      <c r="H453" s="73"/>
      <c r="I453" s="73"/>
      <c r="J453" s="72"/>
      <c r="K453" s="73"/>
      <c r="L453" s="73"/>
      <c r="M453" s="73"/>
      <c r="N453" s="73"/>
      <c r="O453" s="73"/>
      <c r="P453" s="72"/>
      <c r="Q453" s="199"/>
    </row>
    <row r="454" spans="1:17" s="70" customFormat="1" ht="15">
      <c r="A454" s="49"/>
      <c r="B454" s="71"/>
      <c r="C454" s="49"/>
      <c r="D454" s="49"/>
      <c r="E454" s="72"/>
      <c r="F454" s="73"/>
      <c r="G454" s="73"/>
      <c r="H454" s="73"/>
      <c r="I454" s="73"/>
      <c r="J454" s="72"/>
      <c r="K454" s="73"/>
      <c r="L454" s="73"/>
      <c r="M454" s="73"/>
      <c r="N454" s="73"/>
      <c r="O454" s="73"/>
      <c r="P454" s="72"/>
      <c r="Q454" s="199"/>
    </row>
    <row r="455" spans="1:17" s="70" customFormat="1" ht="15">
      <c r="A455" s="49"/>
      <c r="B455" s="71"/>
      <c r="C455" s="49"/>
      <c r="D455" s="49"/>
      <c r="E455" s="72"/>
      <c r="F455" s="73"/>
      <c r="G455" s="73"/>
      <c r="H455" s="73"/>
      <c r="I455" s="73"/>
      <c r="J455" s="72"/>
      <c r="K455" s="73"/>
      <c r="L455" s="73"/>
      <c r="M455" s="73"/>
      <c r="N455" s="73"/>
      <c r="O455" s="73"/>
      <c r="P455" s="72"/>
      <c r="Q455" s="199"/>
    </row>
    <row r="456" spans="1:17" s="70" customFormat="1" ht="15">
      <c r="A456" s="49"/>
      <c r="B456" s="71"/>
      <c r="C456" s="49"/>
      <c r="D456" s="49"/>
      <c r="E456" s="72"/>
      <c r="F456" s="73"/>
      <c r="G456" s="73"/>
      <c r="H456" s="73"/>
      <c r="I456" s="73"/>
      <c r="J456" s="72"/>
      <c r="K456" s="73"/>
      <c r="L456" s="73"/>
      <c r="M456" s="73"/>
      <c r="N456" s="73"/>
      <c r="O456" s="73"/>
      <c r="P456" s="72"/>
      <c r="Q456" s="199"/>
    </row>
    <row r="457" spans="1:17" s="70" customFormat="1" ht="15">
      <c r="A457" s="49"/>
      <c r="B457" s="71"/>
      <c r="C457" s="49"/>
      <c r="D457" s="49"/>
      <c r="E457" s="72"/>
      <c r="F457" s="73"/>
      <c r="G457" s="73"/>
      <c r="H457" s="73"/>
      <c r="I457" s="73"/>
      <c r="J457" s="72"/>
      <c r="K457" s="73"/>
      <c r="L457" s="73"/>
      <c r="M457" s="73"/>
      <c r="N457" s="73"/>
      <c r="O457" s="73"/>
      <c r="P457" s="72"/>
      <c r="Q457" s="199"/>
    </row>
    <row r="458" spans="1:17" s="70" customFormat="1" ht="15">
      <c r="A458" s="49"/>
      <c r="B458" s="71"/>
      <c r="C458" s="49"/>
      <c r="D458" s="49"/>
      <c r="E458" s="72"/>
      <c r="F458" s="73"/>
      <c r="G458" s="73"/>
      <c r="H458" s="73"/>
      <c r="I458" s="73"/>
      <c r="J458" s="72"/>
      <c r="K458" s="73"/>
      <c r="L458" s="73"/>
      <c r="M458" s="73"/>
      <c r="N458" s="73"/>
      <c r="O458" s="73"/>
      <c r="P458" s="72"/>
      <c r="Q458" s="199"/>
    </row>
    <row r="459" spans="1:17" s="70" customFormat="1" ht="15">
      <c r="A459" s="49"/>
      <c r="B459" s="71"/>
      <c r="C459" s="49"/>
      <c r="D459" s="49"/>
      <c r="E459" s="72"/>
      <c r="F459" s="73"/>
      <c r="G459" s="73"/>
      <c r="H459" s="73"/>
      <c r="I459" s="73"/>
      <c r="J459" s="72"/>
      <c r="K459" s="73"/>
      <c r="L459" s="73"/>
      <c r="M459" s="73"/>
      <c r="N459" s="73"/>
      <c r="O459" s="73"/>
      <c r="P459" s="72"/>
      <c r="Q459" s="199"/>
    </row>
    <row r="460" spans="1:17" s="70" customFormat="1" ht="15">
      <c r="A460" s="49"/>
      <c r="B460" s="71"/>
      <c r="C460" s="49"/>
      <c r="D460" s="49"/>
      <c r="E460" s="72"/>
      <c r="F460" s="73"/>
      <c r="G460" s="73"/>
      <c r="H460" s="73"/>
      <c r="I460" s="73"/>
      <c r="J460" s="72"/>
      <c r="K460" s="73"/>
      <c r="L460" s="73"/>
      <c r="M460" s="73"/>
      <c r="N460" s="73"/>
      <c r="O460" s="73"/>
      <c r="P460" s="72"/>
      <c r="Q460" s="199"/>
    </row>
    <row r="461" spans="1:17" s="70" customFormat="1" ht="15">
      <c r="A461" s="49"/>
      <c r="B461" s="71"/>
      <c r="C461" s="49"/>
      <c r="D461" s="49"/>
      <c r="E461" s="72"/>
      <c r="F461" s="73"/>
      <c r="G461" s="73"/>
      <c r="H461" s="73"/>
      <c r="I461" s="73"/>
      <c r="J461" s="72"/>
      <c r="K461" s="73"/>
      <c r="L461" s="73"/>
      <c r="M461" s="73"/>
      <c r="N461" s="73"/>
      <c r="O461" s="73"/>
      <c r="P461" s="72"/>
      <c r="Q461" s="199"/>
    </row>
    <row r="462" spans="1:17" s="70" customFormat="1" ht="15">
      <c r="A462" s="49"/>
      <c r="B462" s="71"/>
      <c r="C462" s="49"/>
      <c r="D462" s="49"/>
      <c r="E462" s="72"/>
      <c r="F462" s="73"/>
      <c r="G462" s="73"/>
      <c r="H462" s="73"/>
      <c r="I462" s="73"/>
      <c r="J462" s="72"/>
      <c r="K462" s="73"/>
      <c r="L462" s="73"/>
      <c r="M462" s="73"/>
      <c r="N462" s="73"/>
      <c r="O462" s="73"/>
      <c r="P462" s="72"/>
      <c r="Q462" s="199"/>
    </row>
    <row r="463" spans="1:17" s="70" customFormat="1" ht="15">
      <c r="A463" s="49"/>
      <c r="B463" s="71"/>
      <c r="C463" s="49"/>
      <c r="D463" s="49"/>
      <c r="E463" s="72"/>
      <c r="F463" s="73"/>
      <c r="G463" s="73"/>
      <c r="H463" s="73"/>
      <c r="I463" s="73"/>
      <c r="J463" s="72"/>
      <c r="K463" s="73"/>
      <c r="L463" s="73"/>
      <c r="M463" s="73"/>
      <c r="N463" s="73"/>
      <c r="O463" s="73"/>
      <c r="P463" s="72"/>
      <c r="Q463" s="199"/>
    </row>
    <row r="464" spans="1:17" s="70" customFormat="1" ht="15">
      <c r="A464" s="49"/>
      <c r="B464" s="71"/>
      <c r="C464" s="49"/>
      <c r="D464" s="49"/>
      <c r="E464" s="72"/>
      <c r="F464" s="73"/>
      <c r="G464" s="73"/>
      <c r="H464" s="73"/>
      <c r="I464" s="73"/>
      <c r="J464" s="72"/>
      <c r="K464" s="73"/>
      <c r="L464" s="73"/>
      <c r="M464" s="73"/>
      <c r="N464" s="73"/>
      <c r="O464" s="73"/>
      <c r="P464" s="72"/>
      <c r="Q464" s="199"/>
    </row>
    <row r="465" spans="1:17" s="70" customFormat="1" ht="15">
      <c r="A465" s="49"/>
      <c r="B465" s="71"/>
      <c r="C465" s="49"/>
      <c r="D465" s="49"/>
      <c r="E465" s="72"/>
      <c r="F465" s="73"/>
      <c r="G465" s="73"/>
      <c r="H465" s="73"/>
      <c r="I465" s="73"/>
      <c r="J465" s="72"/>
      <c r="K465" s="73"/>
      <c r="L465" s="73"/>
      <c r="M465" s="73"/>
      <c r="N465" s="73"/>
      <c r="O465" s="73"/>
      <c r="P465" s="72"/>
      <c r="Q465" s="199"/>
    </row>
    <row r="466" spans="1:17" s="70" customFormat="1" ht="15">
      <c r="A466" s="49"/>
      <c r="B466" s="71"/>
      <c r="C466" s="49"/>
      <c r="D466" s="49"/>
      <c r="E466" s="72"/>
      <c r="F466" s="73"/>
      <c r="G466" s="73"/>
      <c r="H466" s="73"/>
      <c r="I466" s="73"/>
      <c r="J466" s="72"/>
      <c r="K466" s="73"/>
      <c r="L466" s="73"/>
      <c r="M466" s="73"/>
      <c r="N466" s="73"/>
      <c r="O466" s="73"/>
      <c r="P466" s="72"/>
      <c r="Q466" s="199"/>
    </row>
    <row r="467" spans="1:17" s="70" customFormat="1" ht="15">
      <c r="A467" s="49"/>
      <c r="B467" s="71"/>
      <c r="C467" s="49"/>
      <c r="D467" s="49"/>
      <c r="E467" s="72"/>
      <c r="F467" s="73"/>
      <c r="G467" s="73"/>
      <c r="H467" s="73"/>
      <c r="I467" s="73"/>
      <c r="J467" s="72"/>
      <c r="K467" s="73"/>
      <c r="L467" s="73"/>
      <c r="M467" s="73"/>
      <c r="N467" s="73"/>
      <c r="O467" s="73"/>
      <c r="P467" s="72"/>
      <c r="Q467" s="199"/>
    </row>
    <row r="468" spans="1:17" s="70" customFormat="1" ht="15">
      <c r="A468" s="49"/>
      <c r="B468" s="71"/>
      <c r="C468" s="49"/>
      <c r="D468" s="49"/>
      <c r="E468" s="72"/>
      <c r="F468" s="73"/>
      <c r="G468" s="73"/>
      <c r="H468" s="73"/>
      <c r="I468" s="73"/>
      <c r="J468" s="72"/>
      <c r="K468" s="73"/>
      <c r="L468" s="73"/>
      <c r="M468" s="73"/>
      <c r="N468" s="73"/>
      <c r="O468" s="73"/>
      <c r="P468" s="72"/>
      <c r="Q468" s="199"/>
    </row>
    <row r="469" spans="1:17" s="70" customFormat="1" ht="15">
      <c r="A469" s="49"/>
      <c r="B469" s="71"/>
      <c r="C469" s="49"/>
      <c r="D469" s="49"/>
      <c r="E469" s="72"/>
      <c r="F469" s="73"/>
      <c r="G469" s="73"/>
      <c r="H469" s="73"/>
      <c r="I469" s="73"/>
      <c r="J469" s="72"/>
      <c r="K469" s="73"/>
      <c r="L469" s="73"/>
      <c r="M469" s="73"/>
      <c r="N469" s="73"/>
      <c r="O469" s="73"/>
      <c r="P469" s="72"/>
      <c r="Q469" s="199"/>
    </row>
    <row r="470" spans="1:17" s="70" customFormat="1" ht="15">
      <c r="A470" s="49"/>
      <c r="B470" s="71"/>
      <c r="C470" s="49"/>
      <c r="D470" s="49"/>
      <c r="E470" s="72"/>
      <c r="F470" s="73"/>
      <c r="G470" s="73"/>
      <c r="H470" s="73"/>
      <c r="I470" s="73"/>
      <c r="J470" s="72"/>
      <c r="K470" s="73"/>
      <c r="L470" s="73"/>
      <c r="M470" s="73"/>
      <c r="N470" s="73"/>
      <c r="O470" s="73"/>
      <c r="P470" s="72"/>
      <c r="Q470" s="199"/>
    </row>
    <row r="471" spans="1:17" s="70" customFormat="1" ht="15">
      <c r="A471" s="49"/>
      <c r="B471" s="71"/>
      <c r="C471" s="49"/>
      <c r="D471" s="49"/>
      <c r="E471" s="72"/>
      <c r="F471" s="73"/>
      <c r="G471" s="73"/>
      <c r="H471" s="73"/>
      <c r="I471" s="73"/>
      <c r="J471" s="72"/>
      <c r="K471" s="73"/>
      <c r="L471" s="73"/>
      <c r="M471" s="73"/>
      <c r="N471" s="73"/>
      <c r="O471" s="73"/>
      <c r="P471" s="72"/>
      <c r="Q471" s="199"/>
    </row>
    <row r="472" spans="1:17" s="70" customFormat="1" ht="15">
      <c r="A472" s="49"/>
      <c r="B472" s="71"/>
      <c r="C472" s="49"/>
      <c r="D472" s="49"/>
      <c r="E472" s="72"/>
      <c r="F472" s="73"/>
      <c r="G472" s="73"/>
      <c r="H472" s="73"/>
      <c r="I472" s="73"/>
      <c r="J472" s="72"/>
      <c r="K472" s="73"/>
      <c r="L472" s="73"/>
      <c r="M472" s="73"/>
      <c r="N472" s="73"/>
      <c r="O472" s="73"/>
      <c r="P472" s="72"/>
      <c r="Q472" s="199"/>
    </row>
    <row r="473" spans="1:17" s="70" customFormat="1" ht="15">
      <c r="A473" s="49"/>
      <c r="B473" s="71"/>
      <c r="C473" s="49"/>
      <c r="D473" s="49"/>
      <c r="E473" s="72"/>
      <c r="F473" s="73"/>
      <c r="G473" s="73"/>
      <c r="H473" s="73"/>
      <c r="I473" s="73"/>
      <c r="J473" s="72"/>
      <c r="K473" s="73"/>
      <c r="L473" s="73"/>
      <c r="M473" s="73"/>
      <c r="N473" s="73"/>
      <c r="O473" s="73"/>
      <c r="P473" s="72"/>
      <c r="Q473" s="199"/>
    </row>
    <row r="474" spans="1:17" s="70" customFormat="1" ht="15">
      <c r="A474" s="49"/>
      <c r="B474" s="71"/>
      <c r="C474" s="49"/>
      <c r="D474" s="49"/>
      <c r="E474" s="72"/>
      <c r="F474" s="73"/>
      <c r="G474" s="73"/>
      <c r="H474" s="73"/>
      <c r="I474" s="73"/>
      <c r="J474" s="72"/>
      <c r="K474" s="73"/>
      <c r="L474" s="73"/>
      <c r="M474" s="73"/>
      <c r="N474" s="73"/>
      <c r="O474" s="73"/>
      <c r="P474" s="72"/>
      <c r="Q474" s="199"/>
    </row>
    <row r="475" spans="1:17" s="70" customFormat="1" ht="15">
      <c r="A475" s="49"/>
      <c r="B475" s="71"/>
      <c r="C475" s="49"/>
      <c r="D475" s="49"/>
      <c r="E475" s="72"/>
      <c r="F475" s="73"/>
      <c r="G475" s="73"/>
      <c r="H475" s="73"/>
      <c r="I475" s="73"/>
      <c r="J475" s="72"/>
      <c r="K475" s="73"/>
      <c r="L475" s="73"/>
      <c r="M475" s="73"/>
      <c r="N475" s="73"/>
      <c r="O475" s="73"/>
      <c r="P475" s="72"/>
      <c r="Q475" s="199"/>
    </row>
    <row r="476" spans="1:17" s="70" customFormat="1" ht="15">
      <c r="A476" s="49"/>
      <c r="B476" s="71"/>
      <c r="C476" s="49"/>
      <c r="D476" s="49"/>
      <c r="E476" s="72"/>
      <c r="F476" s="73"/>
      <c r="G476" s="73"/>
      <c r="H476" s="73"/>
      <c r="I476" s="73"/>
      <c r="J476" s="72"/>
      <c r="K476" s="73"/>
      <c r="L476" s="73"/>
      <c r="M476" s="73"/>
      <c r="N476" s="73"/>
      <c r="O476" s="73"/>
      <c r="P476" s="72"/>
      <c r="Q476" s="199"/>
    </row>
    <row r="477" spans="1:17" s="70" customFormat="1" ht="15">
      <c r="A477" s="49"/>
      <c r="B477" s="71"/>
      <c r="C477" s="49"/>
      <c r="D477" s="49"/>
      <c r="E477" s="72"/>
      <c r="F477" s="73"/>
      <c r="G477" s="73"/>
      <c r="H477" s="73"/>
      <c r="I477" s="73"/>
      <c r="J477" s="72"/>
      <c r="K477" s="73"/>
      <c r="L477" s="73"/>
      <c r="M477" s="73"/>
      <c r="N477" s="73"/>
      <c r="O477" s="73"/>
      <c r="P477" s="72"/>
      <c r="Q477" s="199"/>
    </row>
    <row r="478" spans="1:17" s="70" customFormat="1" ht="15">
      <c r="A478" s="49"/>
      <c r="B478" s="71"/>
      <c r="C478" s="49"/>
      <c r="D478" s="49"/>
      <c r="E478" s="72"/>
      <c r="F478" s="73"/>
      <c r="G478" s="73"/>
      <c r="H478" s="73"/>
      <c r="I478" s="73"/>
      <c r="J478" s="72"/>
      <c r="K478" s="73"/>
      <c r="L478" s="73"/>
      <c r="M478" s="73"/>
      <c r="N478" s="73"/>
      <c r="O478" s="73"/>
      <c r="P478" s="72"/>
      <c r="Q478" s="199"/>
    </row>
    <row r="479" spans="1:17" s="70" customFormat="1" ht="15">
      <c r="A479" s="49"/>
      <c r="B479" s="71"/>
      <c r="C479" s="49"/>
      <c r="D479" s="49"/>
      <c r="E479" s="72"/>
      <c r="F479" s="73"/>
      <c r="G479" s="73"/>
      <c r="H479" s="73"/>
      <c r="I479" s="73"/>
      <c r="J479" s="72"/>
      <c r="K479" s="73"/>
      <c r="L479" s="73"/>
      <c r="M479" s="73"/>
      <c r="N479" s="73"/>
      <c r="O479" s="73"/>
      <c r="P479" s="72"/>
      <c r="Q479" s="199"/>
    </row>
    <row r="480" spans="1:17" s="70" customFormat="1" ht="15">
      <c r="A480" s="49"/>
      <c r="B480" s="71"/>
      <c r="C480" s="49"/>
      <c r="D480" s="49"/>
      <c r="E480" s="72"/>
      <c r="F480" s="73"/>
      <c r="G480" s="73"/>
      <c r="H480" s="73"/>
      <c r="I480" s="73"/>
      <c r="J480" s="72"/>
      <c r="K480" s="73"/>
      <c r="L480" s="73"/>
      <c r="M480" s="73"/>
      <c r="N480" s="73"/>
      <c r="O480" s="73"/>
      <c r="P480" s="72"/>
      <c r="Q480" s="199"/>
    </row>
    <row r="481" spans="1:17" s="70" customFormat="1" ht="15">
      <c r="A481" s="49"/>
      <c r="B481" s="71"/>
      <c r="C481" s="49"/>
      <c r="D481" s="49"/>
      <c r="E481" s="72"/>
      <c r="F481" s="73"/>
      <c r="G481" s="73"/>
      <c r="H481" s="73"/>
      <c r="I481" s="73"/>
      <c r="J481" s="72"/>
      <c r="K481" s="73"/>
      <c r="L481" s="73"/>
      <c r="M481" s="73"/>
      <c r="N481" s="73"/>
      <c r="O481" s="73"/>
      <c r="P481" s="72"/>
      <c r="Q481" s="199"/>
    </row>
    <row r="482" spans="1:17" s="70" customFormat="1" ht="15">
      <c r="A482" s="49"/>
      <c r="B482" s="71"/>
      <c r="C482" s="49"/>
      <c r="D482" s="49"/>
      <c r="E482" s="72"/>
      <c r="F482" s="73"/>
      <c r="G482" s="73"/>
      <c r="H482" s="73"/>
      <c r="I482" s="73"/>
      <c r="J482" s="72"/>
      <c r="K482" s="73"/>
      <c r="L482" s="73"/>
      <c r="M482" s="73"/>
      <c r="N482" s="73"/>
      <c r="O482" s="73"/>
      <c r="P482" s="72"/>
      <c r="Q482" s="199"/>
    </row>
    <row r="483" spans="1:17" s="70" customFormat="1" ht="15">
      <c r="A483" s="49"/>
      <c r="B483" s="71"/>
      <c r="C483" s="49"/>
      <c r="D483" s="49"/>
      <c r="E483" s="72"/>
      <c r="F483" s="73"/>
      <c r="G483" s="73"/>
      <c r="H483" s="73"/>
      <c r="I483" s="73"/>
      <c r="J483" s="72"/>
      <c r="K483" s="73"/>
      <c r="L483" s="73"/>
      <c r="M483" s="73"/>
      <c r="N483" s="73"/>
      <c r="O483" s="73"/>
      <c r="P483" s="72"/>
      <c r="Q483" s="199"/>
    </row>
    <row r="484" spans="1:17" s="70" customFormat="1" ht="15">
      <c r="A484" s="49"/>
      <c r="B484" s="71"/>
      <c r="C484" s="49"/>
      <c r="D484" s="49"/>
      <c r="E484" s="72"/>
      <c r="F484" s="73"/>
      <c r="G484" s="73"/>
      <c r="H484" s="73"/>
      <c r="I484" s="73"/>
      <c r="J484" s="72"/>
      <c r="K484" s="73"/>
      <c r="L484" s="73"/>
      <c r="M484" s="73"/>
      <c r="N484" s="73"/>
      <c r="O484" s="73"/>
      <c r="P484" s="72"/>
      <c r="Q484" s="199"/>
    </row>
    <row r="485" spans="1:17" s="70" customFormat="1" ht="15">
      <c r="A485" s="49"/>
      <c r="B485" s="71"/>
      <c r="C485" s="49"/>
      <c r="D485" s="49"/>
      <c r="E485" s="72"/>
      <c r="F485" s="73"/>
      <c r="G485" s="73"/>
      <c r="H485" s="73"/>
      <c r="I485" s="73"/>
      <c r="J485" s="72"/>
      <c r="K485" s="73"/>
      <c r="L485" s="73"/>
      <c r="M485" s="73"/>
      <c r="N485" s="73"/>
      <c r="O485" s="73"/>
      <c r="P485" s="72"/>
      <c r="Q485" s="199"/>
    </row>
    <row r="486" spans="1:17" s="70" customFormat="1" ht="15">
      <c r="A486" s="49"/>
      <c r="B486" s="71"/>
      <c r="C486" s="49"/>
      <c r="D486" s="49"/>
      <c r="E486" s="72"/>
      <c r="F486" s="73"/>
      <c r="G486" s="73"/>
      <c r="H486" s="73"/>
      <c r="I486" s="73"/>
      <c r="J486" s="72"/>
      <c r="K486" s="73"/>
      <c r="L486" s="73"/>
      <c r="M486" s="73"/>
      <c r="N486" s="73"/>
      <c r="O486" s="73"/>
      <c r="P486" s="72"/>
      <c r="Q486" s="199"/>
    </row>
    <row r="487" spans="1:17" s="70" customFormat="1" ht="15">
      <c r="A487" s="49"/>
      <c r="B487" s="71"/>
      <c r="C487" s="49"/>
      <c r="D487" s="49"/>
      <c r="E487" s="72"/>
      <c r="F487" s="73"/>
      <c r="G487" s="73"/>
      <c r="H487" s="73"/>
      <c r="I487" s="73"/>
      <c r="J487" s="72"/>
      <c r="K487" s="73"/>
      <c r="L487" s="73"/>
      <c r="M487" s="73"/>
      <c r="N487" s="73"/>
      <c r="O487" s="73"/>
      <c r="P487" s="72"/>
      <c r="Q487" s="199"/>
    </row>
    <row r="488" spans="1:17" s="70" customFormat="1" ht="15">
      <c r="A488" s="49"/>
      <c r="B488" s="71"/>
      <c r="C488" s="49"/>
      <c r="D488" s="49"/>
      <c r="E488" s="72"/>
      <c r="F488" s="73"/>
      <c r="G488" s="73"/>
      <c r="H488" s="73"/>
      <c r="I488" s="73"/>
      <c r="J488" s="72"/>
      <c r="K488" s="73"/>
      <c r="L488" s="73"/>
      <c r="M488" s="73"/>
      <c r="N488" s="73"/>
      <c r="O488" s="73"/>
      <c r="P488" s="72"/>
      <c r="Q488" s="199"/>
    </row>
    <row r="489" spans="1:17" s="70" customFormat="1" ht="15">
      <c r="A489" s="49"/>
      <c r="B489" s="71"/>
      <c r="C489" s="49"/>
      <c r="D489" s="49"/>
      <c r="E489" s="72"/>
      <c r="F489" s="73"/>
      <c r="G489" s="73"/>
      <c r="H489" s="73"/>
      <c r="I489" s="73"/>
      <c r="J489" s="72"/>
      <c r="K489" s="73"/>
      <c r="L489" s="73"/>
      <c r="M489" s="73"/>
      <c r="N489" s="73"/>
      <c r="O489" s="73"/>
      <c r="P489" s="72"/>
      <c r="Q489" s="199"/>
    </row>
    <row r="490" spans="1:17" s="70" customFormat="1" ht="15">
      <c r="A490" s="49"/>
      <c r="B490" s="71"/>
      <c r="C490" s="49"/>
      <c r="D490" s="49"/>
      <c r="E490" s="72"/>
      <c r="F490" s="73"/>
      <c r="G490" s="73"/>
      <c r="H490" s="73"/>
      <c r="I490" s="73"/>
      <c r="J490" s="72"/>
      <c r="K490" s="73"/>
      <c r="L490" s="73"/>
      <c r="M490" s="73"/>
      <c r="N490" s="73"/>
      <c r="O490" s="73"/>
      <c r="P490" s="72"/>
      <c r="Q490" s="199"/>
    </row>
    <row r="491" spans="1:17" s="70" customFormat="1" ht="15">
      <c r="A491" s="49"/>
      <c r="B491" s="71"/>
      <c r="C491" s="49"/>
      <c r="D491" s="49"/>
      <c r="E491" s="72"/>
      <c r="F491" s="73"/>
      <c r="G491" s="73"/>
      <c r="H491" s="73"/>
      <c r="I491" s="73"/>
      <c r="J491" s="72"/>
      <c r="K491" s="73"/>
      <c r="L491" s="73"/>
      <c r="M491" s="73"/>
      <c r="N491" s="73"/>
      <c r="O491" s="73"/>
      <c r="P491" s="72"/>
      <c r="Q491" s="199"/>
    </row>
    <row r="492" spans="1:17" s="70" customFormat="1" ht="15">
      <c r="A492" s="49"/>
      <c r="B492" s="71"/>
      <c r="C492" s="49"/>
      <c r="D492" s="49"/>
      <c r="E492" s="72"/>
      <c r="F492" s="73"/>
      <c r="G492" s="73"/>
      <c r="H492" s="73"/>
      <c r="I492" s="73"/>
      <c r="J492" s="72"/>
      <c r="K492" s="73"/>
      <c r="L492" s="73"/>
      <c r="M492" s="73"/>
      <c r="N492" s="73"/>
      <c r="O492" s="73"/>
      <c r="P492" s="72"/>
      <c r="Q492" s="199"/>
    </row>
    <row r="493" spans="1:17" s="70" customFormat="1" ht="15">
      <c r="A493" s="49"/>
      <c r="B493" s="71"/>
      <c r="C493" s="49"/>
      <c r="D493" s="49"/>
      <c r="E493" s="72"/>
      <c r="F493" s="73"/>
      <c r="G493" s="73"/>
      <c r="H493" s="73"/>
      <c r="I493" s="73"/>
      <c r="J493" s="72"/>
      <c r="K493" s="73"/>
      <c r="L493" s="73"/>
      <c r="M493" s="73"/>
      <c r="N493" s="73"/>
      <c r="O493" s="73"/>
      <c r="P493" s="72"/>
      <c r="Q493" s="199"/>
    </row>
    <row r="494" spans="1:17" s="70" customFormat="1" ht="15">
      <c r="A494" s="49"/>
      <c r="B494" s="71"/>
      <c r="C494" s="49"/>
      <c r="D494" s="49"/>
      <c r="E494" s="72"/>
      <c r="F494" s="73"/>
      <c r="G494" s="73"/>
      <c r="H494" s="73"/>
      <c r="I494" s="73"/>
      <c r="J494" s="72"/>
      <c r="K494" s="73"/>
      <c r="L494" s="73"/>
      <c r="M494" s="73"/>
      <c r="N494" s="73"/>
      <c r="O494" s="73"/>
      <c r="P494" s="72"/>
      <c r="Q494" s="199"/>
    </row>
    <row r="495" spans="1:17" s="70" customFormat="1" ht="15">
      <c r="A495" s="49"/>
      <c r="B495" s="71"/>
      <c r="C495" s="49"/>
      <c r="D495" s="49"/>
      <c r="E495" s="72"/>
      <c r="F495" s="73"/>
      <c r="G495" s="73"/>
      <c r="H495" s="73"/>
      <c r="I495" s="73"/>
      <c r="J495" s="72"/>
      <c r="K495" s="73"/>
      <c r="L495" s="73"/>
      <c r="M495" s="73"/>
      <c r="N495" s="73"/>
      <c r="O495" s="73"/>
      <c r="P495" s="72"/>
      <c r="Q495" s="199"/>
    </row>
    <row r="496" spans="1:17" s="70" customFormat="1" ht="15">
      <c r="A496" s="49"/>
      <c r="B496" s="71"/>
      <c r="C496" s="49"/>
      <c r="D496" s="49"/>
      <c r="E496" s="72"/>
      <c r="F496" s="73"/>
      <c r="G496" s="73"/>
      <c r="H496" s="73"/>
      <c r="I496" s="73"/>
      <c r="J496" s="72"/>
      <c r="K496" s="73"/>
      <c r="L496" s="73"/>
      <c r="M496" s="73"/>
      <c r="N496" s="73"/>
      <c r="O496" s="73"/>
      <c r="P496" s="72"/>
      <c r="Q496" s="199"/>
    </row>
    <row r="497" spans="1:17" s="70" customFormat="1" ht="15">
      <c r="A497" s="49"/>
      <c r="B497" s="71"/>
      <c r="C497" s="49"/>
      <c r="D497" s="49"/>
      <c r="E497" s="72"/>
      <c r="F497" s="73"/>
      <c r="G497" s="73"/>
      <c r="H497" s="73"/>
      <c r="I497" s="73"/>
      <c r="J497" s="72"/>
      <c r="K497" s="73"/>
      <c r="L497" s="73"/>
      <c r="M497" s="73"/>
      <c r="N497" s="73"/>
      <c r="O497" s="73"/>
      <c r="P497" s="72"/>
      <c r="Q497" s="199"/>
    </row>
    <row r="498" spans="1:17" s="70" customFormat="1" ht="15">
      <c r="A498" s="49"/>
      <c r="B498" s="71"/>
      <c r="C498" s="49"/>
      <c r="D498" s="49"/>
      <c r="E498" s="72"/>
      <c r="F498" s="73"/>
      <c r="G498" s="73"/>
      <c r="H498" s="73"/>
      <c r="I498" s="73"/>
      <c r="J498" s="72"/>
      <c r="K498" s="73"/>
      <c r="L498" s="73"/>
      <c r="M498" s="73"/>
      <c r="N498" s="73"/>
      <c r="O498" s="73"/>
      <c r="P498" s="72"/>
      <c r="Q498" s="199"/>
    </row>
    <row r="499" spans="1:17" s="70" customFormat="1" ht="15">
      <c r="A499" s="49"/>
      <c r="B499" s="71"/>
      <c r="C499" s="49"/>
      <c r="D499" s="49"/>
      <c r="E499" s="72"/>
      <c r="F499" s="73"/>
      <c r="G499" s="73"/>
      <c r="H499" s="73"/>
      <c r="I499" s="73"/>
      <c r="J499" s="72"/>
      <c r="K499" s="73"/>
      <c r="L499" s="73"/>
      <c r="M499" s="73"/>
      <c r="N499" s="73"/>
      <c r="O499" s="73"/>
      <c r="P499" s="72"/>
      <c r="Q499" s="199"/>
    </row>
    <row r="500" spans="1:17" s="70" customFormat="1" ht="15">
      <c r="A500" s="49"/>
      <c r="B500" s="71"/>
      <c r="C500" s="49"/>
      <c r="D500" s="49"/>
      <c r="E500" s="72"/>
      <c r="F500" s="73"/>
      <c r="G500" s="73"/>
      <c r="H500" s="73"/>
      <c r="I500" s="73"/>
      <c r="J500" s="72"/>
      <c r="K500" s="73"/>
      <c r="L500" s="73"/>
      <c r="M500" s="73"/>
      <c r="N500" s="73"/>
      <c r="O500" s="73"/>
      <c r="P500" s="72"/>
      <c r="Q500" s="199"/>
    </row>
    <row r="501" spans="1:17" s="70" customFormat="1" ht="15">
      <c r="A501" s="49"/>
      <c r="B501" s="71"/>
      <c r="C501" s="49"/>
      <c r="D501" s="49"/>
      <c r="E501" s="72"/>
      <c r="F501" s="73"/>
      <c r="G501" s="73"/>
      <c r="H501" s="73"/>
      <c r="I501" s="73"/>
      <c r="J501" s="72"/>
      <c r="K501" s="73"/>
      <c r="L501" s="73"/>
      <c r="M501" s="73"/>
      <c r="N501" s="73"/>
      <c r="O501" s="73"/>
      <c r="P501" s="72"/>
      <c r="Q501" s="199"/>
    </row>
    <row r="502" spans="1:17" s="70" customFormat="1" ht="15">
      <c r="A502" s="49"/>
      <c r="B502" s="71"/>
      <c r="C502" s="49"/>
      <c r="D502" s="49"/>
      <c r="E502" s="72"/>
      <c r="F502" s="73"/>
      <c r="G502" s="73"/>
      <c r="H502" s="73"/>
      <c r="I502" s="73"/>
      <c r="J502" s="72"/>
      <c r="K502" s="73"/>
      <c r="L502" s="73"/>
      <c r="M502" s="73"/>
      <c r="N502" s="73"/>
      <c r="O502" s="73"/>
      <c r="P502" s="72"/>
      <c r="Q502" s="199"/>
    </row>
    <row r="503" spans="1:17" s="70" customFormat="1" ht="15">
      <c r="A503" s="49"/>
      <c r="B503" s="71"/>
      <c r="C503" s="49"/>
      <c r="D503" s="49"/>
      <c r="E503" s="72"/>
      <c r="F503" s="73"/>
      <c r="G503" s="73"/>
      <c r="H503" s="73"/>
      <c r="I503" s="73"/>
      <c r="J503" s="72"/>
      <c r="K503" s="73"/>
      <c r="L503" s="73"/>
      <c r="M503" s="73"/>
      <c r="N503" s="73"/>
      <c r="O503" s="73"/>
      <c r="P503" s="72"/>
      <c r="Q503" s="199"/>
    </row>
    <row r="504" spans="1:17" s="70" customFormat="1" ht="15">
      <c r="A504" s="49"/>
      <c r="B504" s="71"/>
      <c r="C504" s="49"/>
      <c r="D504" s="49"/>
      <c r="E504" s="72"/>
      <c r="F504" s="73"/>
      <c r="G504" s="73"/>
      <c r="H504" s="73"/>
      <c r="I504" s="73"/>
      <c r="J504" s="72"/>
      <c r="K504" s="73"/>
      <c r="L504" s="73"/>
      <c r="M504" s="73"/>
      <c r="N504" s="73"/>
      <c r="O504" s="73"/>
      <c r="P504" s="72"/>
      <c r="Q504" s="199"/>
    </row>
    <row r="505" spans="1:17" s="70" customFormat="1" ht="15">
      <c r="A505" s="49"/>
      <c r="B505" s="71"/>
      <c r="C505" s="49"/>
      <c r="D505" s="49"/>
      <c r="E505" s="72"/>
      <c r="F505" s="73"/>
      <c r="G505" s="73"/>
      <c r="H505" s="73"/>
      <c r="I505" s="73"/>
      <c r="J505" s="72"/>
      <c r="K505" s="73"/>
      <c r="L505" s="73"/>
      <c r="M505" s="73"/>
      <c r="N505" s="73"/>
      <c r="O505" s="73"/>
      <c r="P505" s="72"/>
      <c r="Q505" s="199"/>
    </row>
    <row r="506" spans="1:17" s="70" customFormat="1" ht="15">
      <c r="A506" s="49"/>
      <c r="B506" s="71"/>
      <c r="C506" s="49"/>
      <c r="D506" s="49"/>
      <c r="E506" s="72"/>
      <c r="F506" s="73"/>
      <c r="G506" s="73"/>
      <c r="H506" s="73"/>
      <c r="I506" s="73"/>
      <c r="J506" s="72"/>
      <c r="K506" s="73"/>
      <c r="L506" s="73"/>
      <c r="M506" s="73"/>
      <c r="N506" s="73"/>
      <c r="O506" s="73"/>
      <c r="P506" s="72"/>
      <c r="Q506" s="199"/>
    </row>
    <row r="507" spans="1:17" s="70" customFormat="1" ht="15">
      <c r="A507" s="49"/>
      <c r="B507" s="71"/>
      <c r="C507" s="49"/>
      <c r="D507" s="49"/>
      <c r="E507" s="72"/>
      <c r="F507" s="73"/>
      <c r="G507" s="73"/>
      <c r="H507" s="73"/>
      <c r="I507" s="73"/>
      <c r="J507" s="72"/>
      <c r="K507" s="73"/>
      <c r="L507" s="73"/>
      <c r="M507" s="73"/>
      <c r="N507" s="73"/>
      <c r="O507" s="73"/>
      <c r="P507" s="72"/>
      <c r="Q507" s="199"/>
    </row>
    <row r="508" spans="1:17" s="70" customFormat="1" ht="15">
      <c r="A508" s="49"/>
      <c r="B508" s="71"/>
      <c r="C508" s="49"/>
      <c r="D508" s="49"/>
      <c r="E508" s="72"/>
      <c r="F508" s="73"/>
      <c r="G508" s="73"/>
      <c r="H508" s="73"/>
      <c r="I508" s="73"/>
      <c r="J508" s="72"/>
      <c r="K508" s="73"/>
      <c r="L508" s="73"/>
      <c r="M508" s="73"/>
      <c r="N508" s="73"/>
      <c r="O508" s="73"/>
      <c r="P508" s="72"/>
      <c r="Q508" s="199"/>
    </row>
    <row r="509" spans="1:17" s="70" customFormat="1" ht="15">
      <c r="A509" s="49"/>
      <c r="B509" s="71"/>
      <c r="C509" s="49"/>
      <c r="D509" s="49"/>
      <c r="E509" s="72"/>
      <c r="F509" s="73"/>
      <c r="G509" s="73"/>
      <c r="H509" s="73"/>
      <c r="I509" s="73"/>
      <c r="J509" s="72"/>
      <c r="K509" s="73"/>
      <c r="L509" s="73"/>
      <c r="M509" s="73"/>
      <c r="N509" s="73"/>
      <c r="O509" s="73"/>
      <c r="P509" s="72"/>
      <c r="Q509" s="199"/>
    </row>
    <row r="510" spans="1:17" s="70" customFormat="1" ht="15">
      <c r="A510" s="49"/>
      <c r="B510" s="71"/>
      <c r="C510" s="49"/>
      <c r="D510" s="49"/>
      <c r="E510" s="72"/>
      <c r="F510" s="73"/>
      <c r="G510" s="73"/>
      <c r="H510" s="73"/>
      <c r="I510" s="73"/>
      <c r="J510" s="72"/>
      <c r="K510" s="73"/>
      <c r="L510" s="73"/>
      <c r="M510" s="73"/>
      <c r="N510" s="73"/>
      <c r="O510" s="73"/>
      <c r="P510" s="72"/>
      <c r="Q510" s="199"/>
    </row>
    <row r="511" spans="1:17" s="70" customFormat="1" ht="15">
      <c r="A511" s="49"/>
      <c r="B511" s="71"/>
      <c r="C511" s="49"/>
      <c r="D511" s="49"/>
      <c r="E511" s="72"/>
      <c r="F511" s="73"/>
      <c r="G511" s="73"/>
      <c r="H511" s="73"/>
      <c r="I511" s="73"/>
      <c r="J511" s="72"/>
      <c r="K511" s="73"/>
      <c r="L511" s="73"/>
      <c r="M511" s="73"/>
      <c r="N511" s="73"/>
      <c r="O511" s="73"/>
      <c r="P511" s="72"/>
      <c r="Q511" s="199"/>
    </row>
    <row r="512" spans="1:17" s="70" customFormat="1" ht="15">
      <c r="A512" s="49"/>
      <c r="B512" s="71"/>
      <c r="C512" s="49"/>
      <c r="D512" s="49"/>
      <c r="E512" s="72"/>
      <c r="F512" s="73"/>
      <c r="G512" s="73"/>
      <c r="H512" s="73"/>
      <c r="I512" s="73"/>
      <c r="J512" s="72"/>
      <c r="K512" s="73"/>
      <c r="L512" s="73"/>
      <c r="M512" s="73"/>
      <c r="N512" s="73"/>
      <c r="O512" s="73"/>
      <c r="P512" s="72"/>
      <c r="Q512" s="199"/>
    </row>
    <row r="513" spans="1:17" s="70" customFormat="1" ht="15">
      <c r="A513" s="49"/>
      <c r="B513" s="71"/>
      <c r="C513" s="49"/>
      <c r="D513" s="49"/>
      <c r="E513" s="72"/>
      <c r="F513" s="73"/>
      <c r="G513" s="73"/>
      <c r="H513" s="73"/>
      <c r="I513" s="73"/>
      <c r="J513" s="72"/>
      <c r="K513" s="73"/>
      <c r="L513" s="73"/>
      <c r="M513" s="73"/>
      <c r="N513" s="73"/>
      <c r="O513" s="73"/>
      <c r="P513" s="72"/>
      <c r="Q513" s="199"/>
    </row>
    <row r="514" spans="1:17" s="70" customFormat="1" ht="15">
      <c r="A514" s="49"/>
      <c r="B514" s="71"/>
      <c r="C514" s="49"/>
      <c r="D514" s="49"/>
      <c r="E514" s="72"/>
      <c r="F514" s="73"/>
      <c r="G514" s="73"/>
      <c r="H514" s="73"/>
      <c r="I514" s="73"/>
      <c r="J514" s="72"/>
      <c r="K514" s="73"/>
      <c r="L514" s="73"/>
      <c r="M514" s="73"/>
      <c r="N514" s="73"/>
      <c r="O514" s="73"/>
      <c r="P514" s="72"/>
      <c r="Q514" s="199"/>
    </row>
    <row r="515" spans="1:17" s="70" customFormat="1" ht="15">
      <c r="A515" s="49"/>
      <c r="B515" s="71"/>
      <c r="C515" s="49"/>
      <c r="D515" s="49"/>
      <c r="E515" s="72"/>
      <c r="F515" s="73"/>
      <c r="G515" s="73"/>
      <c r="H515" s="73"/>
      <c r="I515" s="73"/>
      <c r="J515" s="72"/>
      <c r="K515" s="73"/>
      <c r="L515" s="73"/>
      <c r="M515" s="73"/>
      <c r="N515" s="73"/>
      <c r="O515" s="73"/>
      <c r="P515" s="72"/>
      <c r="Q515" s="199"/>
    </row>
    <row r="516" spans="1:17" s="70" customFormat="1" ht="15">
      <c r="A516" s="49"/>
      <c r="B516" s="71"/>
      <c r="C516" s="49"/>
      <c r="D516" s="49"/>
      <c r="E516" s="72"/>
      <c r="F516" s="73"/>
      <c r="G516" s="73"/>
      <c r="H516" s="73"/>
      <c r="I516" s="73"/>
      <c r="J516" s="72"/>
      <c r="K516" s="73"/>
      <c r="L516" s="73"/>
      <c r="M516" s="73"/>
      <c r="N516" s="73"/>
      <c r="O516" s="73"/>
      <c r="P516" s="72"/>
      <c r="Q516" s="199"/>
    </row>
    <row r="517" spans="1:17" s="70" customFormat="1" ht="15">
      <c r="A517" s="49"/>
      <c r="B517" s="71"/>
      <c r="C517" s="49"/>
      <c r="D517" s="49"/>
      <c r="E517" s="72"/>
      <c r="F517" s="73"/>
      <c r="G517" s="73"/>
      <c r="H517" s="73"/>
      <c r="I517" s="73"/>
      <c r="J517" s="72"/>
      <c r="K517" s="73"/>
      <c r="L517" s="73"/>
      <c r="M517" s="73"/>
      <c r="N517" s="73"/>
      <c r="O517" s="73"/>
      <c r="P517" s="72"/>
      <c r="Q517" s="199"/>
    </row>
    <row r="518" spans="1:17" s="70" customFormat="1" ht="15">
      <c r="A518" s="49"/>
      <c r="B518" s="71"/>
      <c r="C518" s="49"/>
      <c r="D518" s="49"/>
      <c r="E518" s="72"/>
      <c r="F518" s="73"/>
      <c r="G518" s="73"/>
      <c r="H518" s="73"/>
      <c r="I518" s="73"/>
      <c r="J518" s="72"/>
      <c r="K518" s="73"/>
      <c r="L518" s="73"/>
      <c r="M518" s="73"/>
      <c r="N518" s="73"/>
      <c r="O518" s="73"/>
      <c r="P518" s="72"/>
      <c r="Q518" s="199"/>
    </row>
    <row r="519" spans="1:17" s="70" customFormat="1" ht="15">
      <c r="A519" s="49"/>
      <c r="B519" s="71"/>
      <c r="C519" s="49"/>
      <c r="D519" s="49"/>
      <c r="E519" s="72"/>
      <c r="F519" s="73"/>
      <c r="G519" s="73"/>
      <c r="H519" s="73"/>
      <c r="I519" s="73"/>
      <c r="J519" s="72"/>
      <c r="K519" s="73"/>
      <c r="L519" s="73"/>
      <c r="M519" s="73"/>
      <c r="N519" s="73"/>
      <c r="O519" s="73"/>
      <c r="P519" s="72"/>
      <c r="Q519" s="199"/>
    </row>
    <row r="520" spans="1:17" s="70" customFormat="1" ht="15">
      <c r="A520" s="49"/>
      <c r="B520" s="71"/>
      <c r="C520" s="49"/>
      <c r="D520" s="49"/>
      <c r="E520" s="72"/>
      <c r="F520" s="73"/>
      <c r="G520" s="73"/>
      <c r="H520" s="73"/>
      <c r="I520" s="73"/>
      <c r="J520" s="72"/>
      <c r="K520" s="73"/>
      <c r="L520" s="73"/>
      <c r="M520" s="73"/>
      <c r="N520" s="73"/>
      <c r="O520" s="73"/>
      <c r="P520" s="72"/>
      <c r="Q520" s="199"/>
    </row>
    <row r="521" spans="1:17" s="70" customFormat="1" ht="15">
      <c r="A521" s="49"/>
      <c r="B521" s="71"/>
      <c r="C521" s="49"/>
      <c r="D521" s="49"/>
      <c r="E521" s="72"/>
      <c r="F521" s="73"/>
      <c r="G521" s="73"/>
      <c r="H521" s="73"/>
      <c r="I521" s="73"/>
      <c r="J521" s="72"/>
      <c r="K521" s="73"/>
      <c r="L521" s="73"/>
      <c r="M521" s="73"/>
      <c r="N521" s="73"/>
      <c r="O521" s="73"/>
      <c r="P521" s="72"/>
      <c r="Q521" s="199"/>
    </row>
    <row r="522" spans="1:17" s="70" customFormat="1" ht="15">
      <c r="A522" s="49"/>
      <c r="B522" s="71"/>
      <c r="C522" s="49"/>
      <c r="D522" s="49"/>
      <c r="E522" s="72"/>
      <c r="F522" s="73"/>
      <c r="G522" s="73"/>
      <c r="H522" s="73"/>
      <c r="I522" s="73"/>
      <c r="J522" s="72"/>
      <c r="K522" s="73"/>
      <c r="L522" s="73"/>
      <c r="M522" s="73"/>
      <c r="N522" s="73"/>
      <c r="O522" s="73"/>
      <c r="P522" s="72"/>
      <c r="Q522" s="199"/>
    </row>
    <row r="523" spans="1:17" s="70" customFormat="1" ht="15">
      <c r="A523" s="49"/>
      <c r="B523" s="71"/>
      <c r="C523" s="49"/>
      <c r="D523" s="49"/>
      <c r="E523" s="72"/>
      <c r="F523" s="73"/>
      <c r="G523" s="73"/>
      <c r="H523" s="73"/>
      <c r="I523" s="73"/>
      <c r="J523" s="72"/>
      <c r="K523" s="73"/>
      <c r="L523" s="73"/>
      <c r="M523" s="73"/>
      <c r="N523" s="73"/>
      <c r="O523" s="73"/>
      <c r="P523" s="72"/>
      <c r="Q523" s="199"/>
    </row>
    <row r="524" spans="1:17" s="70" customFormat="1" ht="15">
      <c r="A524" s="49"/>
      <c r="B524" s="71"/>
      <c r="C524" s="49"/>
      <c r="D524" s="49"/>
      <c r="E524" s="72"/>
      <c r="F524" s="73"/>
      <c r="G524" s="73"/>
      <c r="H524" s="73"/>
      <c r="I524" s="73"/>
      <c r="J524" s="72"/>
      <c r="K524" s="73"/>
      <c r="L524" s="73"/>
      <c r="M524" s="73"/>
      <c r="N524" s="73"/>
      <c r="O524" s="73"/>
      <c r="P524" s="72"/>
      <c r="Q524" s="199"/>
    </row>
    <row r="525" spans="1:17" s="70" customFormat="1" ht="15">
      <c r="A525" s="49"/>
      <c r="B525" s="71"/>
      <c r="C525" s="49"/>
      <c r="D525" s="49"/>
      <c r="E525" s="72"/>
      <c r="F525" s="73"/>
      <c r="G525" s="73"/>
      <c r="H525" s="73"/>
      <c r="I525" s="73"/>
      <c r="J525" s="72"/>
      <c r="K525" s="73"/>
      <c r="L525" s="73"/>
      <c r="M525" s="73"/>
      <c r="N525" s="73"/>
      <c r="O525" s="73"/>
      <c r="P525" s="72"/>
      <c r="Q525" s="199"/>
    </row>
    <row r="526" spans="1:17" s="70" customFormat="1" ht="15">
      <c r="A526" s="49"/>
      <c r="B526" s="71"/>
      <c r="C526" s="49"/>
      <c r="D526" s="49"/>
      <c r="E526" s="72"/>
      <c r="F526" s="73"/>
      <c r="G526" s="73"/>
      <c r="H526" s="73"/>
      <c r="I526" s="73"/>
      <c r="J526" s="72"/>
      <c r="K526" s="73"/>
      <c r="L526" s="73"/>
      <c r="M526" s="73"/>
      <c r="N526" s="73"/>
      <c r="O526" s="73"/>
      <c r="P526" s="72"/>
      <c r="Q526" s="199"/>
    </row>
    <row r="527" spans="1:17" s="70" customFormat="1" ht="15">
      <c r="A527" s="49"/>
      <c r="B527" s="71"/>
      <c r="C527" s="49"/>
      <c r="D527" s="49"/>
      <c r="E527" s="72"/>
      <c r="F527" s="73"/>
      <c r="G527" s="73"/>
      <c r="H527" s="73"/>
      <c r="I527" s="73"/>
      <c r="J527" s="72"/>
      <c r="K527" s="73"/>
      <c r="L527" s="73"/>
      <c r="M527" s="73"/>
      <c r="N527" s="73"/>
      <c r="O527" s="73"/>
      <c r="P527" s="72"/>
      <c r="Q527" s="199"/>
    </row>
    <row r="528" spans="1:17" s="70" customFormat="1" ht="15">
      <c r="A528" s="49"/>
      <c r="B528" s="71"/>
      <c r="C528" s="49"/>
      <c r="D528" s="49"/>
      <c r="E528" s="72"/>
      <c r="F528" s="73"/>
      <c r="G528" s="73"/>
      <c r="H528" s="73"/>
      <c r="I528" s="73"/>
      <c r="J528" s="72"/>
      <c r="K528" s="73"/>
      <c r="L528" s="73"/>
      <c r="M528" s="73"/>
      <c r="N528" s="73"/>
      <c r="O528" s="73"/>
      <c r="P528" s="72"/>
      <c r="Q528" s="199"/>
    </row>
    <row r="529" spans="1:17" s="70" customFormat="1" ht="15">
      <c r="A529" s="49"/>
      <c r="B529" s="71"/>
      <c r="C529" s="49"/>
      <c r="D529" s="49"/>
      <c r="E529" s="72"/>
      <c r="F529" s="73"/>
      <c r="G529" s="73"/>
      <c r="H529" s="73"/>
      <c r="I529" s="73"/>
      <c r="J529" s="72"/>
      <c r="K529" s="73"/>
      <c r="L529" s="73"/>
      <c r="M529" s="73"/>
      <c r="N529" s="73"/>
      <c r="O529" s="73"/>
      <c r="P529" s="72"/>
      <c r="Q529" s="199"/>
    </row>
    <row r="530" spans="1:17" s="70" customFormat="1" ht="15">
      <c r="A530" s="49"/>
      <c r="B530" s="71"/>
      <c r="C530" s="49"/>
      <c r="D530" s="49"/>
      <c r="E530" s="72"/>
      <c r="F530" s="73"/>
      <c r="G530" s="73"/>
      <c r="H530" s="73"/>
      <c r="I530" s="73"/>
      <c r="J530" s="72"/>
      <c r="K530" s="73"/>
      <c r="L530" s="73"/>
      <c r="M530" s="73"/>
      <c r="N530" s="73"/>
      <c r="O530" s="73"/>
      <c r="P530" s="72"/>
      <c r="Q530" s="199"/>
    </row>
    <row r="531" spans="1:17" s="70" customFormat="1" ht="15">
      <c r="A531" s="49"/>
      <c r="B531" s="71"/>
      <c r="C531" s="49"/>
      <c r="D531" s="49"/>
      <c r="E531" s="72"/>
      <c r="F531" s="73"/>
      <c r="G531" s="73"/>
      <c r="H531" s="73"/>
      <c r="I531" s="73"/>
      <c r="J531" s="72"/>
      <c r="K531" s="73"/>
      <c r="L531" s="73"/>
      <c r="M531" s="73"/>
      <c r="N531" s="73"/>
      <c r="O531" s="73"/>
      <c r="P531" s="72"/>
      <c r="Q531" s="199"/>
    </row>
    <row r="532" spans="1:17" s="70" customFormat="1" ht="15">
      <c r="A532" s="49"/>
      <c r="B532" s="71"/>
      <c r="C532" s="49"/>
      <c r="D532" s="49"/>
      <c r="E532" s="72"/>
      <c r="F532" s="73"/>
      <c r="G532" s="73"/>
      <c r="H532" s="73"/>
      <c r="I532" s="73"/>
      <c r="J532" s="72"/>
      <c r="K532" s="73"/>
      <c r="L532" s="73"/>
      <c r="M532" s="73"/>
      <c r="N532" s="73"/>
      <c r="O532" s="73"/>
      <c r="P532" s="72"/>
      <c r="Q532" s="199"/>
    </row>
    <row r="533" spans="1:17" s="70" customFormat="1" ht="15">
      <c r="A533" s="49"/>
      <c r="B533" s="71"/>
      <c r="C533" s="49"/>
      <c r="D533" s="49"/>
      <c r="E533" s="72"/>
      <c r="F533" s="73"/>
      <c r="G533" s="73"/>
      <c r="H533" s="73"/>
      <c r="I533" s="73"/>
      <c r="J533" s="72"/>
      <c r="K533" s="73"/>
      <c r="L533" s="73"/>
      <c r="M533" s="73"/>
      <c r="N533" s="73"/>
      <c r="O533" s="73"/>
      <c r="P533" s="72"/>
      <c r="Q533" s="199"/>
    </row>
    <row r="534" spans="1:17" s="70" customFormat="1" ht="15">
      <c r="A534" s="49"/>
      <c r="B534" s="71"/>
      <c r="C534" s="49"/>
      <c r="D534" s="49"/>
      <c r="E534" s="72"/>
      <c r="F534" s="73"/>
      <c r="G534" s="73"/>
      <c r="H534" s="73"/>
      <c r="I534" s="73"/>
      <c r="J534" s="72"/>
      <c r="K534" s="73"/>
      <c r="L534" s="73"/>
      <c r="M534" s="73"/>
      <c r="N534" s="73"/>
      <c r="O534" s="73"/>
      <c r="P534" s="72"/>
      <c r="Q534" s="199"/>
    </row>
    <row r="535" spans="1:17" s="70" customFormat="1" ht="15">
      <c r="A535" s="49"/>
      <c r="B535" s="71"/>
      <c r="C535" s="49"/>
      <c r="D535" s="49"/>
      <c r="E535" s="72"/>
      <c r="F535" s="73"/>
      <c r="G535" s="73"/>
      <c r="H535" s="73"/>
      <c r="I535" s="73"/>
      <c r="J535" s="72"/>
      <c r="K535" s="73"/>
      <c r="L535" s="73"/>
      <c r="M535" s="73"/>
      <c r="N535" s="73"/>
      <c r="O535" s="73"/>
      <c r="P535" s="72"/>
      <c r="Q535" s="199"/>
    </row>
    <row r="536" spans="1:17" s="70" customFormat="1" ht="15">
      <c r="A536" s="49"/>
      <c r="B536" s="71"/>
      <c r="C536" s="49"/>
      <c r="D536" s="49"/>
      <c r="E536" s="72"/>
      <c r="F536" s="73"/>
      <c r="G536" s="73"/>
      <c r="H536" s="73"/>
      <c r="I536" s="73"/>
      <c r="J536" s="72"/>
      <c r="K536" s="73"/>
      <c r="L536" s="73"/>
      <c r="M536" s="73"/>
      <c r="N536" s="73"/>
      <c r="O536" s="73"/>
      <c r="P536" s="72"/>
      <c r="Q536" s="199"/>
    </row>
    <row r="537" spans="1:17" s="70" customFormat="1" ht="15">
      <c r="A537" s="49"/>
      <c r="B537" s="71"/>
      <c r="C537" s="49"/>
      <c r="D537" s="49"/>
      <c r="E537" s="72"/>
      <c r="F537" s="73"/>
      <c r="G537" s="73"/>
      <c r="H537" s="73"/>
      <c r="I537" s="73"/>
      <c r="J537" s="72"/>
      <c r="K537" s="73"/>
      <c r="L537" s="73"/>
      <c r="M537" s="73"/>
      <c r="N537" s="73"/>
      <c r="O537" s="73"/>
      <c r="P537" s="72"/>
      <c r="Q537" s="199"/>
    </row>
    <row r="538" spans="1:17" s="70" customFormat="1" ht="15">
      <c r="A538" s="49"/>
      <c r="B538" s="71"/>
      <c r="C538" s="49"/>
      <c r="D538" s="49"/>
      <c r="E538" s="72"/>
      <c r="F538" s="73"/>
      <c r="G538" s="73"/>
      <c r="H538" s="73"/>
      <c r="I538" s="73"/>
      <c r="J538" s="72"/>
      <c r="K538" s="73"/>
      <c r="L538" s="73"/>
      <c r="M538" s="73"/>
      <c r="N538" s="73"/>
      <c r="O538" s="73"/>
      <c r="P538" s="72"/>
      <c r="Q538" s="199"/>
    </row>
    <row r="539" spans="1:17" s="70" customFormat="1" ht="15">
      <c r="A539" s="49"/>
      <c r="B539" s="71"/>
      <c r="C539" s="49"/>
      <c r="D539" s="49"/>
      <c r="E539" s="72"/>
      <c r="F539" s="73"/>
      <c r="G539" s="73"/>
      <c r="H539" s="73"/>
      <c r="I539" s="73"/>
      <c r="J539" s="72"/>
      <c r="K539" s="73"/>
      <c r="L539" s="73"/>
      <c r="M539" s="73"/>
      <c r="N539" s="73"/>
      <c r="O539" s="73"/>
      <c r="P539" s="72"/>
      <c r="Q539" s="199"/>
    </row>
    <row r="540" spans="1:17" s="70" customFormat="1" ht="15">
      <c r="A540" s="49"/>
      <c r="B540" s="71"/>
      <c r="C540" s="49"/>
      <c r="D540" s="49"/>
      <c r="E540" s="72"/>
      <c r="F540" s="73"/>
      <c r="G540" s="73"/>
      <c r="H540" s="73"/>
      <c r="I540" s="73"/>
      <c r="J540" s="72"/>
      <c r="K540" s="73"/>
      <c r="L540" s="73"/>
      <c r="M540" s="73"/>
      <c r="N540" s="73"/>
      <c r="O540" s="73"/>
      <c r="P540" s="72"/>
      <c r="Q540" s="199"/>
    </row>
    <row r="541" spans="1:17" s="70" customFormat="1" ht="15">
      <c r="A541" s="49"/>
      <c r="B541" s="71"/>
      <c r="C541" s="49"/>
      <c r="D541" s="49"/>
      <c r="E541" s="72"/>
      <c r="F541" s="73"/>
      <c r="G541" s="73"/>
      <c r="H541" s="73"/>
      <c r="I541" s="73"/>
      <c r="J541" s="72"/>
      <c r="K541" s="73"/>
      <c r="L541" s="73"/>
      <c r="M541" s="73"/>
      <c r="N541" s="73"/>
      <c r="O541" s="73"/>
      <c r="P541" s="72"/>
      <c r="Q541" s="199"/>
    </row>
    <row r="542" spans="1:17" s="70" customFormat="1" ht="15">
      <c r="A542" s="49"/>
      <c r="B542" s="71"/>
      <c r="C542" s="49"/>
      <c r="D542" s="49"/>
      <c r="E542" s="72"/>
      <c r="F542" s="73"/>
      <c r="G542" s="73"/>
      <c r="H542" s="73"/>
      <c r="I542" s="73"/>
      <c r="J542" s="72"/>
      <c r="K542" s="73"/>
      <c r="L542" s="73"/>
      <c r="M542" s="73"/>
      <c r="N542" s="73"/>
      <c r="O542" s="73"/>
      <c r="P542" s="72"/>
      <c r="Q542" s="199"/>
    </row>
    <row r="543" spans="1:17" s="70" customFormat="1" ht="15">
      <c r="A543" s="49"/>
      <c r="B543" s="71"/>
      <c r="C543" s="49"/>
      <c r="D543" s="49"/>
      <c r="E543" s="72"/>
      <c r="F543" s="73"/>
      <c r="G543" s="73"/>
      <c r="H543" s="73"/>
      <c r="I543" s="73"/>
      <c r="J543" s="72"/>
      <c r="K543" s="73"/>
      <c r="L543" s="73"/>
      <c r="M543" s="73"/>
      <c r="N543" s="73"/>
      <c r="O543" s="73"/>
      <c r="P543" s="72"/>
      <c r="Q543" s="199"/>
    </row>
    <row r="544" spans="1:17" s="70" customFormat="1" ht="15">
      <c r="A544" s="49"/>
      <c r="B544" s="71"/>
      <c r="C544" s="49"/>
      <c r="D544" s="49"/>
      <c r="E544" s="72"/>
      <c r="F544" s="73"/>
      <c r="G544" s="73"/>
      <c r="H544" s="73"/>
      <c r="I544" s="73"/>
      <c r="J544" s="72"/>
      <c r="K544" s="73"/>
      <c r="L544" s="73"/>
      <c r="M544" s="73"/>
      <c r="N544" s="73"/>
      <c r="O544" s="73"/>
      <c r="P544" s="72"/>
      <c r="Q544" s="199"/>
    </row>
    <row r="545" spans="1:17" s="70" customFormat="1" ht="15">
      <c r="A545" s="49"/>
      <c r="B545" s="71"/>
      <c r="C545" s="49"/>
      <c r="D545" s="49"/>
      <c r="E545" s="72"/>
      <c r="F545" s="73"/>
      <c r="G545" s="73"/>
      <c r="H545" s="73"/>
      <c r="I545" s="73"/>
      <c r="J545" s="72"/>
      <c r="K545" s="73"/>
      <c r="L545" s="73"/>
      <c r="M545" s="73"/>
      <c r="N545" s="73"/>
      <c r="O545" s="73"/>
      <c r="P545" s="72"/>
      <c r="Q545" s="199"/>
    </row>
    <row r="546" spans="1:17" s="70" customFormat="1" ht="15">
      <c r="A546" s="49"/>
      <c r="B546" s="71"/>
      <c r="C546" s="49"/>
      <c r="D546" s="49"/>
      <c r="E546" s="72"/>
      <c r="F546" s="73"/>
      <c r="G546" s="73"/>
      <c r="H546" s="73"/>
      <c r="I546" s="73"/>
      <c r="J546" s="72"/>
      <c r="K546" s="73"/>
      <c r="L546" s="73"/>
      <c r="M546" s="73"/>
      <c r="N546" s="73"/>
      <c r="O546" s="73"/>
      <c r="P546" s="72"/>
      <c r="Q546" s="199"/>
    </row>
    <row r="547" spans="1:17" s="70" customFormat="1" ht="15">
      <c r="A547" s="49"/>
      <c r="B547" s="71"/>
      <c r="C547" s="49"/>
      <c r="D547" s="49"/>
      <c r="E547" s="72"/>
      <c r="F547" s="73"/>
      <c r="G547" s="73"/>
      <c r="H547" s="73"/>
      <c r="I547" s="73"/>
      <c r="J547" s="72"/>
      <c r="K547" s="73"/>
      <c r="L547" s="73"/>
      <c r="M547" s="73"/>
      <c r="N547" s="73"/>
      <c r="O547" s="73"/>
      <c r="P547" s="72"/>
      <c r="Q547" s="199"/>
    </row>
    <row r="548" spans="1:17" s="70" customFormat="1" ht="15">
      <c r="A548" s="49"/>
      <c r="B548" s="71"/>
      <c r="C548" s="49"/>
      <c r="D548" s="49"/>
      <c r="E548" s="72"/>
      <c r="F548" s="73"/>
      <c r="G548" s="73"/>
      <c r="H548" s="73"/>
      <c r="I548" s="73"/>
      <c r="J548" s="72"/>
      <c r="K548" s="73"/>
      <c r="L548" s="73"/>
      <c r="M548" s="73"/>
      <c r="N548" s="73"/>
      <c r="O548" s="73"/>
      <c r="P548" s="72"/>
      <c r="Q548" s="199"/>
    </row>
    <row r="549" spans="1:17" s="70" customFormat="1" ht="15">
      <c r="A549" s="49"/>
      <c r="B549" s="71"/>
      <c r="C549" s="49"/>
      <c r="D549" s="49"/>
      <c r="E549" s="72"/>
      <c r="F549" s="73"/>
      <c r="G549" s="73"/>
      <c r="H549" s="73"/>
      <c r="I549" s="73"/>
      <c r="J549" s="72"/>
      <c r="K549" s="73"/>
      <c r="L549" s="73"/>
      <c r="M549" s="73"/>
      <c r="N549" s="73"/>
      <c r="O549" s="73"/>
      <c r="P549" s="72"/>
      <c r="Q549" s="199"/>
    </row>
    <row r="550" spans="1:17" s="70" customFormat="1" ht="15">
      <c r="A550" s="49"/>
      <c r="B550" s="71"/>
      <c r="C550" s="49"/>
      <c r="D550" s="49"/>
      <c r="E550" s="72"/>
      <c r="F550" s="73"/>
      <c r="G550" s="73"/>
      <c r="H550" s="73"/>
      <c r="I550" s="73"/>
      <c r="J550" s="72"/>
      <c r="K550" s="73"/>
      <c r="L550" s="73"/>
      <c r="M550" s="73"/>
      <c r="N550" s="73"/>
      <c r="O550" s="73"/>
      <c r="P550" s="72"/>
      <c r="Q550" s="199"/>
    </row>
    <row r="551" spans="1:17" s="70" customFormat="1" ht="15">
      <c r="A551" s="49"/>
      <c r="B551" s="71"/>
      <c r="C551" s="49"/>
      <c r="D551" s="49"/>
      <c r="E551" s="72"/>
      <c r="F551" s="73"/>
      <c r="G551" s="73"/>
      <c r="H551" s="73"/>
      <c r="I551" s="73"/>
      <c r="J551" s="72"/>
      <c r="K551" s="73"/>
      <c r="L551" s="73"/>
      <c r="M551" s="73"/>
      <c r="N551" s="73"/>
      <c r="O551" s="73"/>
      <c r="P551" s="72"/>
      <c r="Q551" s="199"/>
    </row>
    <row r="552" spans="1:17" s="70" customFormat="1" ht="15">
      <c r="A552" s="49"/>
      <c r="B552" s="71"/>
      <c r="C552" s="49"/>
      <c r="D552" s="49"/>
      <c r="E552" s="72"/>
      <c r="F552" s="73"/>
      <c r="G552" s="73"/>
      <c r="H552" s="73"/>
      <c r="I552" s="73"/>
      <c r="J552" s="72"/>
      <c r="K552" s="73"/>
      <c r="L552" s="73"/>
      <c r="M552" s="73"/>
      <c r="N552" s="73"/>
      <c r="O552" s="73"/>
      <c r="P552" s="72"/>
      <c r="Q552" s="199"/>
    </row>
    <row r="553" spans="1:17" s="70" customFormat="1" ht="15">
      <c r="A553" s="49"/>
      <c r="B553" s="71"/>
      <c r="C553" s="49"/>
      <c r="D553" s="49"/>
      <c r="E553" s="72"/>
      <c r="F553" s="73"/>
      <c r="G553" s="73"/>
      <c r="H553" s="73"/>
      <c r="I553" s="73"/>
      <c r="J553" s="72"/>
      <c r="K553" s="73"/>
      <c r="L553" s="73"/>
      <c r="M553" s="73"/>
      <c r="N553" s="73"/>
      <c r="O553" s="73"/>
      <c r="P553" s="72"/>
      <c r="Q553" s="199"/>
    </row>
    <row r="554" spans="1:17" s="70" customFormat="1" ht="15">
      <c r="A554" s="49"/>
      <c r="B554" s="71"/>
      <c r="C554" s="49"/>
      <c r="D554" s="49"/>
      <c r="E554" s="72"/>
      <c r="F554" s="73"/>
      <c r="G554" s="73"/>
      <c r="H554" s="73"/>
      <c r="I554" s="73"/>
      <c r="J554" s="72"/>
      <c r="K554" s="73"/>
      <c r="L554" s="73"/>
      <c r="M554" s="73"/>
      <c r="N554" s="73"/>
      <c r="O554" s="73"/>
      <c r="P554" s="72"/>
      <c r="Q554" s="199"/>
    </row>
    <row r="555" spans="1:17" s="70" customFormat="1" ht="15">
      <c r="A555" s="49"/>
      <c r="B555" s="71"/>
      <c r="C555" s="49"/>
      <c r="D555" s="49"/>
      <c r="E555" s="72"/>
      <c r="F555" s="73"/>
      <c r="G555" s="73"/>
      <c r="H555" s="73"/>
      <c r="I555" s="73"/>
      <c r="J555" s="72"/>
      <c r="K555" s="73"/>
      <c r="L555" s="73"/>
      <c r="M555" s="73"/>
      <c r="N555" s="73"/>
      <c r="O555" s="73"/>
      <c r="P555" s="72"/>
      <c r="Q555" s="199"/>
    </row>
    <row r="556" spans="1:17" s="70" customFormat="1" ht="15">
      <c r="A556" s="49"/>
      <c r="B556" s="71"/>
      <c r="C556" s="49"/>
      <c r="D556" s="49"/>
      <c r="E556" s="72"/>
      <c r="F556" s="73"/>
      <c r="G556" s="73"/>
      <c r="H556" s="73"/>
      <c r="I556" s="73"/>
      <c r="J556" s="72"/>
      <c r="K556" s="73"/>
      <c r="L556" s="73"/>
      <c r="M556" s="73"/>
      <c r="N556" s="73"/>
      <c r="O556" s="73"/>
      <c r="P556" s="72"/>
      <c r="Q556" s="199"/>
    </row>
    <row r="557" spans="1:17" s="70" customFormat="1" ht="15">
      <c r="A557" s="49"/>
      <c r="B557" s="71"/>
      <c r="C557" s="49"/>
      <c r="D557" s="49"/>
      <c r="E557" s="72"/>
      <c r="F557" s="73"/>
      <c r="G557" s="73"/>
      <c r="H557" s="73"/>
      <c r="I557" s="73"/>
      <c r="J557" s="72"/>
      <c r="K557" s="73"/>
      <c r="L557" s="73"/>
      <c r="M557" s="73"/>
      <c r="N557" s="73"/>
      <c r="O557" s="73"/>
      <c r="P557" s="72"/>
      <c r="Q557" s="199"/>
    </row>
    <row r="558" spans="1:17" s="70" customFormat="1" ht="15">
      <c r="A558" s="49"/>
      <c r="B558" s="71"/>
      <c r="C558" s="49"/>
      <c r="D558" s="49"/>
      <c r="E558" s="72"/>
      <c r="F558" s="73"/>
      <c r="G558" s="73"/>
      <c r="H558" s="73"/>
      <c r="I558" s="73"/>
      <c r="J558" s="72"/>
      <c r="K558" s="73"/>
      <c r="L558" s="73"/>
      <c r="M558" s="73"/>
      <c r="N558" s="73"/>
      <c r="O558" s="73"/>
      <c r="P558" s="72"/>
      <c r="Q558" s="199"/>
    </row>
    <row r="559" spans="1:17" s="70" customFormat="1" ht="15">
      <c r="A559" s="49"/>
      <c r="B559" s="71"/>
      <c r="C559" s="49"/>
      <c r="D559" s="49"/>
      <c r="E559" s="72"/>
      <c r="F559" s="73"/>
      <c r="G559" s="73"/>
      <c r="H559" s="73"/>
      <c r="I559" s="73"/>
      <c r="J559" s="72"/>
      <c r="K559" s="73"/>
      <c r="L559" s="73"/>
      <c r="M559" s="73"/>
      <c r="N559" s="73"/>
      <c r="O559" s="73"/>
      <c r="P559" s="72"/>
      <c r="Q559" s="199"/>
    </row>
    <row r="560" spans="1:17" s="70" customFormat="1" ht="15">
      <c r="A560" s="49"/>
      <c r="B560" s="71"/>
      <c r="C560" s="49"/>
      <c r="D560" s="49"/>
      <c r="E560" s="72"/>
      <c r="F560" s="73"/>
      <c r="G560" s="73"/>
      <c r="H560" s="73"/>
      <c r="I560" s="73"/>
      <c r="J560" s="72"/>
      <c r="K560" s="73"/>
      <c r="L560" s="73"/>
      <c r="M560" s="73"/>
      <c r="N560" s="73"/>
      <c r="O560" s="73"/>
      <c r="P560" s="72"/>
      <c r="Q560" s="199"/>
    </row>
    <row r="561" spans="1:17" s="70" customFormat="1" ht="15">
      <c r="A561" s="49"/>
      <c r="B561" s="71"/>
      <c r="C561" s="49"/>
      <c r="D561" s="49"/>
      <c r="E561" s="72"/>
      <c r="F561" s="73"/>
      <c r="G561" s="73"/>
      <c r="H561" s="73"/>
      <c r="I561" s="73"/>
      <c r="J561" s="72"/>
      <c r="K561" s="73"/>
      <c r="L561" s="73"/>
      <c r="M561" s="73"/>
      <c r="N561" s="73"/>
      <c r="O561" s="73"/>
      <c r="P561" s="72"/>
      <c r="Q561" s="199"/>
    </row>
    <row r="562" spans="1:17" s="70" customFormat="1" ht="15">
      <c r="A562" s="49"/>
      <c r="B562" s="71"/>
      <c r="C562" s="49"/>
      <c r="D562" s="49"/>
      <c r="E562" s="72"/>
      <c r="F562" s="73"/>
      <c r="G562" s="73"/>
      <c r="H562" s="73"/>
      <c r="I562" s="73"/>
      <c r="J562" s="72"/>
      <c r="K562" s="73"/>
      <c r="L562" s="73"/>
      <c r="M562" s="73"/>
      <c r="N562" s="73"/>
      <c r="O562" s="73"/>
      <c r="P562" s="72"/>
      <c r="Q562" s="199"/>
    </row>
    <row r="563" spans="1:17" s="70" customFormat="1" ht="15">
      <c r="A563" s="49"/>
      <c r="B563" s="71"/>
      <c r="C563" s="49"/>
      <c r="D563" s="49"/>
      <c r="E563" s="72"/>
      <c r="F563" s="73"/>
      <c r="G563" s="73"/>
      <c r="H563" s="73"/>
      <c r="I563" s="73"/>
      <c r="J563" s="72"/>
      <c r="K563" s="73"/>
      <c r="L563" s="73"/>
      <c r="M563" s="73"/>
      <c r="N563" s="73"/>
      <c r="O563" s="73"/>
      <c r="P563" s="72"/>
      <c r="Q563" s="199"/>
    </row>
    <row r="564" spans="1:17" s="70" customFormat="1" ht="15">
      <c r="A564" s="49"/>
      <c r="B564" s="71"/>
      <c r="C564" s="49"/>
      <c r="D564" s="49"/>
      <c r="E564" s="72"/>
      <c r="F564" s="73"/>
      <c r="G564" s="73"/>
      <c r="H564" s="73"/>
      <c r="I564" s="73"/>
      <c r="J564" s="72"/>
      <c r="K564" s="73"/>
      <c r="L564" s="73"/>
      <c r="M564" s="73"/>
      <c r="N564" s="73"/>
      <c r="O564" s="73"/>
      <c r="P564" s="72"/>
      <c r="Q564" s="199"/>
    </row>
    <row r="565" spans="1:17" s="70" customFormat="1" ht="15">
      <c r="A565" s="49"/>
      <c r="B565" s="71"/>
      <c r="C565" s="49"/>
      <c r="D565" s="49"/>
      <c r="E565" s="72"/>
      <c r="F565" s="73"/>
      <c r="G565" s="73"/>
      <c r="H565" s="73"/>
      <c r="I565" s="73"/>
      <c r="J565" s="72"/>
      <c r="K565" s="73"/>
      <c r="L565" s="73"/>
      <c r="M565" s="73"/>
      <c r="N565" s="73"/>
      <c r="O565" s="73"/>
      <c r="P565" s="72"/>
      <c r="Q565" s="199"/>
    </row>
    <row r="566" spans="1:17" s="70" customFormat="1" ht="15">
      <c r="A566" s="49"/>
      <c r="B566" s="71"/>
      <c r="C566" s="49"/>
      <c r="D566" s="49"/>
      <c r="E566" s="72"/>
      <c r="F566" s="73"/>
      <c r="G566" s="73"/>
      <c r="H566" s="73"/>
      <c r="I566" s="73"/>
      <c r="J566" s="72"/>
      <c r="K566" s="73"/>
      <c r="L566" s="73"/>
      <c r="M566" s="73"/>
      <c r="N566" s="73"/>
      <c r="O566" s="73"/>
      <c r="P566" s="72"/>
      <c r="Q566" s="199"/>
    </row>
    <row r="567" spans="1:17" s="70" customFormat="1" ht="15">
      <c r="A567" s="49"/>
      <c r="B567" s="71"/>
      <c r="C567" s="49"/>
      <c r="D567" s="49"/>
      <c r="E567" s="72"/>
      <c r="F567" s="73"/>
      <c r="G567" s="73"/>
      <c r="H567" s="73"/>
      <c r="I567" s="73"/>
      <c r="J567" s="72"/>
      <c r="K567" s="73"/>
      <c r="L567" s="73"/>
      <c r="M567" s="73"/>
      <c r="N567" s="73"/>
      <c r="O567" s="73"/>
      <c r="P567" s="72"/>
      <c r="Q567" s="199"/>
    </row>
    <row r="568" spans="1:17" s="70" customFormat="1" ht="15">
      <c r="A568" s="49"/>
      <c r="B568" s="71"/>
      <c r="C568" s="49"/>
      <c r="D568" s="49"/>
      <c r="E568" s="72"/>
      <c r="F568" s="73"/>
      <c r="G568" s="73"/>
      <c r="H568" s="73"/>
      <c r="I568" s="73"/>
      <c r="J568" s="72"/>
      <c r="K568" s="73"/>
      <c r="L568" s="73"/>
      <c r="M568" s="73"/>
      <c r="N568" s="73"/>
      <c r="O568" s="73"/>
      <c r="P568" s="72"/>
      <c r="Q568" s="199"/>
    </row>
    <row r="569" spans="1:17" s="70" customFormat="1" ht="15">
      <c r="A569" s="49"/>
      <c r="B569" s="71"/>
      <c r="C569" s="49"/>
      <c r="D569" s="49"/>
      <c r="E569" s="72"/>
      <c r="F569" s="73"/>
      <c r="G569" s="73"/>
      <c r="H569" s="73"/>
      <c r="I569" s="73"/>
      <c r="J569" s="72"/>
      <c r="K569" s="73"/>
      <c r="L569" s="73"/>
      <c r="M569" s="73"/>
      <c r="N569" s="73"/>
      <c r="O569" s="73"/>
      <c r="P569" s="72"/>
      <c r="Q569" s="199"/>
    </row>
    <row r="570" spans="1:17" s="70" customFormat="1" ht="15">
      <c r="A570" s="49"/>
      <c r="B570" s="71"/>
      <c r="C570" s="49"/>
      <c r="D570" s="49"/>
      <c r="E570" s="72"/>
      <c r="F570" s="73"/>
      <c r="G570" s="73"/>
      <c r="H570" s="73"/>
      <c r="I570" s="73"/>
      <c r="J570" s="72"/>
      <c r="K570" s="73"/>
      <c r="L570" s="73"/>
      <c r="M570" s="73"/>
      <c r="N570" s="73"/>
      <c r="O570" s="73"/>
      <c r="P570" s="72"/>
      <c r="Q570" s="199"/>
    </row>
    <row r="571" spans="1:17" s="70" customFormat="1" ht="15">
      <c r="A571" s="49"/>
      <c r="B571" s="71"/>
      <c r="C571" s="49"/>
      <c r="D571" s="49"/>
      <c r="E571" s="72"/>
      <c r="F571" s="73"/>
      <c r="G571" s="73"/>
      <c r="H571" s="73"/>
      <c r="I571" s="73"/>
      <c r="J571" s="72"/>
      <c r="K571" s="73"/>
      <c r="L571" s="73"/>
      <c r="M571" s="73"/>
      <c r="N571" s="73"/>
      <c r="O571" s="73"/>
      <c r="P571" s="72"/>
      <c r="Q571" s="199"/>
    </row>
    <row r="572" spans="1:17" s="70" customFormat="1" ht="15">
      <c r="A572" s="49"/>
      <c r="B572" s="71"/>
      <c r="C572" s="49"/>
      <c r="D572" s="49"/>
      <c r="E572" s="72"/>
      <c r="F572" s="73"/>
      <c r="G572" s="73"/>
      <c r="H572" s="73"/>
      <c r="I572" s="73"/>
      <c r="J572" s="72"/>
      <c r="K572" s="73"/>
      <c r="L572" s="73"/>
      <c r="M572" s="73"/>
      <c r="N572" s="73"/>
      <c r="O572" s="73"/>
      <c r="P572" s="72"/>
      <c r="Q572" s="199"/>
    </row>
    <row r="573" spans="1:17" s="70" customFormat="1" ht="15">
      <c r="A573" s="49"/>
      <c r="B573" s="71"/>
      <c r="C573" s="49"/>
      <c r="D573" s="49"/>
      <c r="E573" s="72"/>
      <c r="F573" s="73"/>
      <c r="G573" s="73"/>
      <c r="H573" s="73"/>
      <c r="I573" s="73"/>
      <c r="J573" s="72"/>
      <c r="K573" s="73"/>
      <c r="L573" s="73"/>
      <c r="M573" s="73"/>
      <c r="N573" s="73"/>
      <c r="O573" s="73"/>
      <c r="P573" s="72"/>
      <c r="Q573" s="199"/>
    </row>
    <row r="574" spans="1:17" s="70" customFormat="1" ht="15">
      <c r="A574" s="49"/>
      <c r="B574" s="71"/>
      <c r="C574" s="49"/>
      <c r="D574" s="49"/>
      <c r="E574" s="72"/>
      <c r="F574" s="73"/>
      <c r="G574" s="73"/>
      <c r="H574" s="73"/>
      <c r="I574" s="73"/>
      <c r="J574" s="72"/>
      <c r="K574" s="73"/>
      <c r="L574" s="73"/>
      <c r="M574" s="73"/>
      <c r="N574" s="73"/>
      <c r="O574" s="73"/>
      <c r="P574" s="72"/>
      <c r="Q574" s="199"/>
    </row>
    <row r="575" spans="1:17" s="70" customFormat="1" ht="15">
      <c r="A575" s="49"/>
      <c r="B575" s="71"/>
      <c r="C575" s="49"/>
      <c r="D575" s="49"/>
      <c r="E575" s="72"/>
      <c r="F575" s="73"/>
      <c r="G575" s="73"/>
      <c r="H575" s="73"/>
      <c r="I575" s="73"/>
      <c r="J575" s="72"/>
      <c r="K575" s="73"/>
      <c r="L575" s="73"/>
      <c r="M575" s="73"/>
      <c r="N575" s="73"/>
      <c r="O575" s="73"/>
      <c r="P575" s="72"/>
      <c r="Q575" s="199"/>
    </row>
    <row r="576" spans="1:17" s="70" customFormat="1" ht="15">
      <c r="A576" s="49"/>
      <c r="B576" s="71"/>
      <c r="C576" s="49"/>
      <c r="D576" s="49"/>
      <c r="E576" s="72"/>
      <c r="F576" s="73"/>
      <c r="G576" s="73"/>
      <c r="H576" s="73"/>
      <c r="I576" s="73"/>
      <c r="J576" s="72"/>
      <c r="K576" s="73"/>
      <c r="L576" s="73"/>
      <c r="M576" s="73"/>
      <c r="N576" s="73"/>
      <c r="O576" s="73"/>
      <c r="P576" s="72"/>
      <c r="Q576" s="199"/>
    </row>
    <row r="577" spans="1:17" s="70" customFormat="1" ht="15">
      <c r="A577" s="49"/>
      <c r="B577" s="71"/>
      <c r="C577" s="49"/>
      <c r="D577" s="49"/>
      <c r="E577" s="72"/>
      <c r="F577" s="73"/>
      <c r="G577" s="73"/>
      <c r="H577" s="73"/>
      <c r="I577" s="73"/>
      <c r="J577" s="72"/>
      <c r="K577" s="73"/>
      <c r="L577" s="73"/>
      <c r="M577" s="73"/>
      <c r="N577" s="73"/>
      <c r="O577" s="73"/>
      <c r="P577" s="72"/>
      <c r="Q577" s="199"/>
    </row>
    <row r="578" spans="1:17" s="70" customFormat="1" ht="15">
      <c r="A578" s="49"/>
      <c r="B578" s="71"/>
      <c r="C578" s="49"/>
      <c r="D578" s="49"/>
      <c r="E578" s="72"/>
      <c r="F578" s="73"/>
      <c r="G578" s="73"/>
      <c r="H578" s="73"/>
      <c r="I578" s="73"/>
      <c r="J578" s="72"/>
      <c r="K578" s="73"/>
      <c r="L578" s="73"/>
      <c r="M578" s="73"/>
      <c r="N578" s="73"/>
      <c r="O578" s="73"/>
      <c r="P578" s="72"/>
      <c r="Q578" s="199"/>
    </row>
    <row r="579" spans="1:17" s="70" customFormat="1" ht="15">
      <c r="A579" s="49"/>
      <c r="B579" s="71"/>
      <c r="C579" s="49"/>
      <c r="D579" s="49"/>
      <c r="E579" s="72"/>
      <c r="F579" s="73"/>
      <c r="G579" s="73"/>
      <c r="H579" s="73"/>
      <c r="I579" s="73"/>
      <c r="J579" s="72"/>
      <c r="K579" s="73"/>
      <c r="L579" s="73"/>
      <c r="M579" s="73"/>
      <c r="N579" s="73"/>
      <c r="O579" s="73"/>
      <c r="P579" s="72"/>
      <c r="Q579" s="199"/>
    </row>
    <row r="580" spans="1:17" s="70" customFormat="1" ht="15">
      <c r="A580" s="49"/>
      <c r="B580" s="71"/>
      <c r="C580" s="49"/>
      <c r="D580" s="49"/>
      <c r="E580" s="72"/>
      <c r="F580" s="73"/>
      <c r="G580" s="73"/>
      <c r="H580" s="73"/>
      <c r="I580" s="73"/>
      <c r="J580" s="72"/>
      <c r="K580" s="73"/>
      <c r="L580" s="73"/>
      <c r="M580" s="73"/>
      <c r="N580" s="73"/>
      <c r="O580" s="73"/>
      <c r="P580" s="72"/>
      <c r="Q580" s="199"/>
    </row>
    <row r="581" spans="1:17" s="70" customFormat="1" ht="15">
      <c r="A581" s="49"/>
      <c r="B581" s="71"/>
      <c r="C581" s="49"/>
      <c r="D581" s="49"/>
      <c r="E581" s="72"/>
      <c r="F581" s="73"/>
      <c r="G581" s="73"/>
      <c r="H581" s="73"/>
      <c r="I581" s="73"/>
      <c r="J581" s="72"/>
      <c r="K581" s="73"/>
      <c r="L581" s="73"/>
      <c r="M581" s="73"/>
      <c r="N581" s="73"/>
      <c r="O581" s="73"/>
      <c r="P581" s="72"/>
      <c r="Q581" s="199"/>
    </row>
    <row r="582" spans="1:17" s="70" customFormat="1" ht="15">
      <c r="A582" s="49"/>
      <c r="B582" s="71"/>
      <c r="C582" s="49"/>
      <c r="D582" s="49"/>
      <c r="E582" s="72"/>
      <c r="F582" s="73"/>
      <c r="G582" s="73"/>
      <c r="H582" s="73"/>
      <c r="I582" s="73"/>
      <c r="J582" s="72"/>
      <c r="K582" s="73"/>
      <c r="L582" s="73"/>
      <c r="M582" s="73"/>
      <c r="N582" s="73"/>
      <c r="O582" s="73"/>
      <c r="P582" s="72"/>
      <c r="Q582" s="199"/>
    </row>
    <row r="583" spans="1:17" s="70" customFormat="1" ht="15">
      <c r="A583" s="49"/>
      <c r="B583" s="71"/>
      <c r="C583" s="49"/>
      <c r="D583" s="49"/>
      <c r="E583" s="72"/>
      <c r="F583" s="73"/>
      <c r="G583" s="73"/>
      <c r="H583" s="73"/>
      <c r="I583" s="73"/>
      <c r="J583" s="72"/>
      <c r="K583" s="73"/>
      <c r="L583" s="73"/>
      <c r="M583" s="73"/>
      <c r="N583" s="73"/>
      <c r="O583" s="73"/>
      <c r="P583" s="72"/>
      <c r="Q583" s="199"/>
    </row>
    <row r="584" spans="1:17" s="70" customFormat="1" ht="15">
      <c r="A584" s="49"/>
      <c r="B584" s="71"/>
      <c r="C584" s="49"/>
      <c r="D584" s="49"/>
      <c r="E584" s="72"/>
      <c r="F584" s="73"/>
      <c r="G584" s="73"/>
      <c r="H584" s="73"/>
      <c r="I584" s="73"/>
      <c r="J584" s="72"/>
      <c r="K584" s="73"/>
      <c r="L584" s="73"/>
      <c r="M584" s="73"/>
      <c r="N584" s="73"/>
      <c r="O584" s="73"/>
      <c r="P584" s="72"/>
      <c r="Q584" s="199"/>
    </row>
    <row r="585" spans="1:17" s="70" customFormat="1" ht="15">
      <c r="A585" s="49"/>
      <c r="B585" s="71"/>
      <c r="C585" s="49"/>
      <c r="D585" s="49"/>
      <c r="E585" s="72"/>
      <c r="F585" s="73"/>
      <c r="G585" s="73"/>
      <c r="H585" s="73"/>
      <c r="I585" s="73"/>
      <c r="J585" s="72"/>
      <c r="K585" s="73"/>
      <c r="L585" s="73"/>
      <c r="M585" s="73"/>
      <c r="N585" s="73"/>
      <c r="O585" s="73"/>
      <c r="P585" s="72"/>
      <c r="Q585" s="199"/>
    </row>
    <row r="586" spans="1:17" s="70" customFormat="1" ht="15">
      <c r="A586" s="49"/>
      <c r="B586" s="71"/>
      <c r="C586" s="49"/>
      <c r="D586" s="49"/>
      <c r="E586" s="72"/>
      <c r="F586" s="73"/>
      <c r="G586" s="73"/>
      <c r="H586" s="73"/>
      <c r="I586" s="73"/>
      <c r="J586" s="72"/>
      <c r="K586" s="73"/>
      <c r="L586" s="73"/>
      <c r="M586" s="73"/>
      <c r="N586" s="73"/>
      <c r="O586" s="73"/>
      <c r="P586" s="72"/>
      <c r="Q586" s="199"/>
    </row>
    <row r="587" spans="1:17" s="70" customFormat="1" ht="15">
      <c r="A587" s="49"/>
      <c r="B587" s="71"/>
      <c r="C587" s="49"/>
      <c r="D587" s="49"/>
      <c r="E587" s="72"/>
      <c r="F587" s="73"/>
      <c r="G587" s="73"/>
      <c r="H587" s="73"/>
      <c r="I587" s="73"/>
      <c r="J587" s="72"/>
      <c r="K587" s="73"/>
      <c r="L587" s="73"/>
      <c r="M587" s="73"/>
      <c r="N587" s="73"/>
      <c r="O587" s="73"/>
      <c r="P587" s="72"/>
      <c r="Q587" s="199"/>
    </row>
    <row r="588" spans="1:17" s="70" customFormat="1" ht="15">
      <c r="A588" s="49"/>
      <c r="B588" s="71"/>
      <c r="C588" s="49"/>
      <c r="D588" s="49"/>
      <c r="E588" s="72"/>
      <c r="F588" s="73"/>
      <c r="G588" s="73"/>
      <c r="H588" s="73"/>
      <c r="I588" s="73"/>
      <c r="J588" s="72"/>
      <c r="K588" s="73"/>
      <c r="L588" s="73"/>
      <c r="M588" s="73"/>
      <c r="N588" s="73"/>
      <c r="O588" s="73"/>
      <c r="P588" s="72"/>
      <c r="Q588" s="199"/>
    </row>
    <row r="589" spans="1:17" s="70" customFormat="1" ht="15">
      <c r="A589" s="49"/>
      <c r="B589" s="71"/>
      <c r="C589" s="49"/>
      <c r="D589" s="49"/>
      <c r="E589" s="72"/>
      <c r="F589" s="73"/>
      <c r="G589" s="73"/>
      <c r="H589" s="73"/>
      <c r="I589" s="73"/>
      <c r="J589" s="72"/>
      <c r="K589" s="73"/>
      <c r="L589" s="73"/>
      <c r="M589" s="73"/>
      <c r="N589" s="73"/>
      <c r="O589" s="73"/>
      <c r="P589" s="72"/>
      <c r="Q589" s="199"/>
    </row>
    <row r="590" spans="1:17" s="70" customFormat="1" ht="15">
      <c r="A590" s="49"/>
      <c r="B590" s="71"/>
      <c r="C590" s="49"/>
      <c r="D590" s="49"/>
      <c r="E590" s="72"/>
      <c r="F590" s="73"/>
      <c r="G590" s="73"/>
      <c r="H590" s="73"/>
      <c r="I590" s="73"/>
      <c r="J590" s="72"/>
      <c r="K590" s="73"/>
      <c r="L590" s="73"/>
      <c r="M590" s="73"/>
      <c r="N590" s="73"/>
      <c r="O590" s="73"/>
      <c r="P590" s="72"/>
      <c r="Q590" s="199"/>
    </row>
    <row r="591" spans="1:17" s="70" customFormat="1" ht="15">
      <c r="A591" s="49"/>
      <c r="B591" s="71"/>
      <c r="C591" s="49"/>
      <c r="D591" s="49"/>
      <c r="E591" s="72"/>
      <c r="F591" s="73"/>
      <c r="G591" s="73"/>
      <c r="H591" s="73"/>
      <c r="I591" s="73"/>
      <c r="J591" s="72"/>
      <c r="K591" s="73"/>
      <c r="L591" s="73"/>
      <c r="M591" s="73"/>
      <c r="N591" s="73"/>
      <c r="O591" s="73"/>
      <c r="P591" s="72"/>
      <c r="Q591" s="199"/>
    </row>
    <row r="592" spans="1:17" s="70" customFormat="1" ht="15">
      <c r="A592" s="49"/>
      <c r="B592" s="71"/>
      <c r="C592" s="49"/>
      <c r="D592" s="49"/>
      <c r="E592" s="72"/>
      <c r="F592" s="73"/>
      <c r="G592" s="73"/>
      <c r="H592" s="73"/>
      <c r="I592" s="73"/>
      <c r="J592" s="72"/>
      <c r="K592" s="73"/>
      <c r="L592" s="73"/>
      <c r="M592" s="73"/>
      <c r="N592" s="73"/>
      <c r="O592" s="73"/>
      <c r="P592" s="72"/>
      <c r="Q592" s="199"/>
    </row>
    <row r="593" spans="1:17" s="70" customFormat="1" ht="15">
      <c r="A593" s="49"/>
      <c r="B593" s="71"/>
      <c r="C593" s="49"/>
      <c r="D593" s="49"/>
      <c r="E593" s="72"/>
      <c r="F593" s="73"/>
      <c r="G593" s="73"/>
      <c r="H593" s="73"/>
      <c r="I593" s="73"/>
      <c r="J593" s="72"/>
      <c r="K593" s="73"/>
      <c r="L593" s="73"/>
      <c r="M593" s="73"/>
      <c r="N593" s="73"/>
      <c r="O593" s="73"/>
      <c r="P593" s="72"/>
      <c r="Q593" s="199"/>
    </row>
    <row r="594" spans="1:17" s="70" customFormat="1" ht="15">
      <c r="A594" s="49"/>
      <c r="B594" s="71"/>
      <c r="C594" s="49"/>
      <c r="D594" s="49"/>
      <c r="E594" s="72"/>
      <c r="F594" s="73"/>
      <c r="G594" s="73"/>
      <c r="H594" s="73"/>
      <c r="I594" s="73"/>
      <c r="J594" s="72"/>
      <c r="K594" s="73"/>
      <c r="L594" s="73"/>
      <c r="M594" s="73"/>
      <c r="N594" s="73"/>
      <c r="O594" s="73"/>
      <c r="P594" s="72"/>
      <c r="Q594" s="199"/>
    </row>
    <row r="595" spans="1:17" s="70" customFormat="1" ht="15">
      <c r="A595" s="49"/>
      <c r="B595" s="71"/>
      <c r="C595" s="49"/>
      <c r="D595" s="49"/>
      <c r="E595" s="72"/>
      <c r="F595" s="73"/>
      <c r="G595" s="73"/>
      <c r="H595" s="73"/>
      <c r="I595" s="73"/>
      <c r="J595" s="72"/>
      <c r="K595" s="73"/>
      <c r="L595" s="73"/>
      <c r="M595" s="73"/>
      <c r="N595" s="73"/>
      <c r="O595" s="73"/>
      <c r="P595" s="72"/>
      <c r="Q595" s="199"/>
    </row>
    <row r="596" spans="1:17" s="70" customFormat="1" ht="15">
      <c r="A596" s="49"/>
      <c r="B596" s="71"/>
      <c r="C596" s="49"/>
      <c r="D596" s="49"/>
      <c r="E596" s="72"/>
      <c r="F596" s="73"/>
      <c r="G596" s="73"/>
      <c r="H596" s="73"/>
      <c r="I596" s="73"/>
      <c r="J596" s="72"/>
      <c r="K596" s="73"/>
      <c r="L596" s="73"/>
      <c r="M596" s="73"/>
      <c r="N596" s="73"/>
      <c r="O596" s="73"/>
      <c r="P596" s="72"/>
      <c r="Q596" s="199"/>
    </row>
    <row r="597" spans="1:17" s="70" customFormat="1" ht="15">
      <c r="A597" s="49"/>
      <c r="B597" s="71"/>
      <c r="C597" s="49"/>
      <c r="D597" s="49"/>
      <c r="E597" s="72"/>
      <c r="F597" s="73"/>
      <c r="G597" s="73"/>
      <c r="H597" s="73"/>
      <c r="I597" s="73"/>
      <c r="J597" s="72"/>
      <c r="K597" s="73"/>
      <c r="L597" s="73"/>
      <c r="M597" s="73"/>
      <c r="N597" s="73"/>
      <c r="O597" s="73"/>
      <c r="P597" s="72"/>
      <c r="Q597" s="199"/>
    </row>
  </sheetData>
  <sheetProtection/>
  <mergeCells count="38">
    <mergeCell ref="B6:P6"/>
    <mergeCell ref="J8:O8"/>
    <mergeCell ref="E8:I8"/>
    <mergeCell ref="O10:O11"/>
    <mergeCell ref="B259:E259"/>
    <mergeCell ref="B258:H258"/>
    <mergeCell ref="M258:P258"/>
    <mergeCell ref="C257:E257"/>
    <mergeCell ref="M2:P2"/>
    <mergeCell ref="M4:Q4"/>
    <mergeCell ref="L9:M9"/>
    <mergeCell ref="I9:I11"/>
    <mergeCell ref="P8:P11"/>
    <mergeCell ref="Q5:Q43"/>
    <mergeCell ref="B66:B67"/>
    <mergeCell ref="C66:C67"/>
    <mergeCell ref="F9:F11"/>
    <mergeCell ref="B8:B11"/>
    <mergeCell ref="D8:D11"/>
    <mergeCell ref="C8:C11"/>
    <mergeCell ref="E9:E11"/>
    <mergeCell ref="Q194:Q227"/>
    <mergeCell ref="Q228:Q260"/>
    <mergeCell ref="L10:L11"/>
    <mergeCell ref="M10:M11"/>
    <mergeCell ref="M259:O259"/>
    <mergeCell ref="Q68:Q86"/>
    <mergeCell ref="M257:O257"/>
    <mergeCell ref="Q87:Q124"/>
    <mergeCell ref="G10:G11"/>
    <mergeCell ref="H10:H11"/>
    <mergeCell ref="G9:H9"/>
    <mergeCell ref="Q44:Q67"/>
    <mergeCell ref="Q125:Q158"/>
    <mergeCell ref="Q159:Q193"/>
    <mergeCell ref="N9:N11"/>
    <mergeCell ref="K9:K11"/>
    <mergeCell ref="J9:J11"/>
  </mergeCells>
  <printOptions horizontalCentered="1"/>
  <pageMargins left="0.1968503937007874" right="0.1968503937007874" top="0.7086614173228347" bottom="0.5118110236220472" header="0.5118110236220472" footer="0.2362204724409449"/>
  <pageSetup fitToHeight="11" fitToWidth="1" horizontalDpi="600" verticalDpi="600" orientation="landscape" paperSize="9" scale="39" r:id="rId1"/>
  <headerFooter alignWithMargins="0">
    <oddHeader>&amp;R&amp;20Продовження додатку 4</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2017-08-16T12:57:34Z</cp:lastPrinted>
  <dcterms:created xsi:type="dcterms:W3CDTF">2014-01-17T10:52:16Z</dcterms:created>
  <dcterms:modified xsi:type="dcterms:W3CDTF">2017-08-19T08:22:18Z</dcterms:modified>
  <cp:category/>
  <cp:version/>
  <cp:contentType/>
  <cp:contentStatus/>
</cp:coreProperties>
</file>