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7" sheetId="1" r:id="rId1"/>
  </sheets>
  <definedNames>
    <definedName name="_xlfn.AGGREGATE" hidden="1">#NAME?</definedName>
    <definedName name="_xlnm.Print_Titles" localSheetId="0">'дод.7'!$9:$9</definedName>
    <definedName name="_xlnm.Print_Area" localSheetId="0">'дод.7'!$A$1:$J$231</definedName>
  </definedNames>
  <calcPr fullCalcOnLoad="1"/>
</workbook>
</file>

<file path=xl/sharedStrings.xml><?xml version="1.0" encoding="utf-8"?>
<sst xmlns="http://schemas.openxmlformats.org/spreadsheetml/2006/main" count="831" uniqueCount="446">
  <si>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</si>
  <si>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</si>
  <si>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</si>
  <si>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</si>
  <si>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</si>
  <si>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</si>
  <si>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</si>
  <si>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</si>
  <si>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</si>
  <si>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</si>
  <si>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</si>
  <si>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</si>
  <si>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</si>
  <si>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</si>
  <si>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</si>
  <si>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</si>
  <si>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</si>
  <si>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</si>
  <si>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</si>
  <si>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</si>
  <si>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</si>
  <si>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</si>
  <si>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</si>
  <si>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</si>
  <si>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</si>
  <si>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</si>
  <si>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</si>
  <si>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</si>
  <si>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</si>
  <si>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</si>
  <si>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</si>
  <si>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</si>
  <si>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</si>
  <si>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</si>
  <si>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</si>
  <si>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</si>
  <si>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</si>
  <si>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</si>
  <si>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</si>
  <si>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</si>
  <si>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</si>
  <si>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</si>
  <si>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</si>
  <si>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</si>
  <si>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</si>
  <si>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</si>
  <si>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</si>
  <si>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</si>
  <si>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</si>
  <si>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</si>
  <si>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</si>
  <si>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</si>
  <si>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</si>
  <si>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</si>
  <si>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</si>
  <si>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</si>
  <si>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</si>
  <si>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</si>
  <si>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</si>
  <si>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</si>
  <si>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</si>
  <si>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</si>
  <si>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</si>
  <si>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</si>
  <si>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</si>
  <si>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</si>
  <si>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</si>
  <si>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</si>
  <si>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</si>
  <si>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</si>
  <si>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</si>
  <si>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</si>
  <si>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</si>
  <si>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</si>
  <si>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</si>
  <si>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</si>
  <si>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</si>
  <si>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</si>
  <si>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</si>
  <si>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</si>
  <si>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</si>
  <si>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</si>
  <si>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</si>
  <si>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</si>
  <si>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</si>
  <si>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</si>
  <si>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</si>
  <si>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</si>
  <si>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</si>
  <si>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</si>
  <si>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</si>
  <si>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</si>
  <si>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</si>
  <si>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</si>
  <si>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</si>
  <si>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</si>
  <si>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</si>
  <si>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</si>
  <si>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</si>
  <si>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</si>
  <si>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</si>
  <si>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</si>
  <si>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</si>
  <si>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</si>
  <si>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</si>
  <si>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</si>
  <si>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</si>
  <si>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</si>
  <si>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</si>
  <si>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</si>
  <si>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</si>
  <si>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</si>
  <si>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</si>
  <si>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</si>
  <si>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</si>
  <si>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</si>
  <si>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</si>
  <si>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</si>
  <si>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</si>
  <si>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</si>
  <si>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</si>
  <si>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</si>
  <si>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</si>
  <si>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</si>
  <si>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</si>
  <si>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</si>
  <si>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</si>
  <si>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</si>
  <si>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</si>
  <si>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</si>
  <si>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</si>
  <si>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</si>
  <si>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</si>
  <si>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</si>
  <si>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</si>
  <si>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</si>
  <si>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</si>
  <si>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</si>
  <si>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</si>
  <si>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</si>
  <si>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</si>
  <si>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</si>
  <si>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</si>
  <si>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</si>
  <si>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</si>
  <si>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</si>
  <si>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</si>
  <si>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</si>
  <si>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</si>
  <si>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</si>
  <si>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</si>
  <si>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</si>
  <si>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</si>
  <si>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</si>
  <si>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</si>
  <si>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</si>
  <si>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</si>
  <si>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</si>
  <si>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</si>
  <si>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</si>
  <si>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</si>
  <si>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</si>
  <si>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</si>
  <si>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</si>
  <si>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</si>
  <si>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</si>
  <si>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</si>
  <si>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</si>
  <si>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</si>
  <si>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</si>
  <si>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</si>
  <si>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</si>
  <si>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</si>
  <si>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</si>
  <si>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</si>
  <si>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</si>
  <si>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</si>
  <si>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</si>
  <si>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</si>
  <si>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</si>
  <si>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</si>
  <si>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</si>
  <si>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</si>
  <si>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</si>
  <si>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</si>
  <si>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</si>
  <si>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</si>
  <si>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</si>
  <si>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</si>
  <si>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</si>
  <si>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</si>
  <si>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</si>
  <si>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</si>
  <si>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</si>
  <si>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</si>
  <si>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</si>
  <si>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</si>
  <si>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</si>
  <si>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</si>
  <si>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</si>
  <si>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</si>
  <si>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</si>
  <si>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</si>
  <si>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</si>
  <si>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</si>
  <si>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</si>
  <si>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</si>
  <si>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</si>
  <si>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</si>
  <si>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</si>
  <si>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</si>
  <si>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</si>
  <si>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</si>
  <si>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</si>
  <si>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</si>
  <si>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</si>
  <si>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</si>
  <si>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</si>
  <si>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</si>
  <si>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</si>
  <si>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</si>
  <si>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</si>
  <si>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</si>
  <si>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</si>
  <si>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</si>
  <si>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</si>
  <si>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</si>
  <si>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</si>
  <si>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</si>
  <si>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</si>
  <si>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</si>
  <si>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</si>
  <si>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</si>
  <si>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</si>
  <si>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</si>
  <si>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</si>
  <si>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</si>
  <si>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</si>
  <si>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</si>
  <si>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</si>
  <si>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</si>
  <si>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</si>
  <si>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</si>
  <si>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</si>
  <si>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</si>
  <si>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</si>
  <si>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</si>
  <si>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</si>
  <si>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</si>
  <si>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</si>
  <si>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</si>
  <si>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</si>
  <si>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</si>
  <si>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</si>
  <si>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</si>
  <si>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</si>
  <si>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</si>
  <si>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</si>
  <si>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</si>
  <si>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</si>
  <si>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</si>
  <si>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</si>
  <si>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</si>
  <si>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</si>
  <si>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</si>
  <si>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</si>
  <si>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</si>
  <si>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</si>
  <si>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</si>
  <si>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</si>
  <si>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</si>
  <si>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</si>
  <si>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</si>
  <si>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</si>
  <si>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</si>
  <si>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</si>
  <si>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</si>
  <si>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</si>
  <si>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</si>
  <si>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</si>
  <si>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</si>
  <si>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</si>
  <si>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</si>
  <si>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</si>
  <si>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</si>
  <si>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</si>
  <si>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</si>
  <si>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</si>
  <si>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</si>
  <si>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</si>
  <si>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</si>
  <si>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</si>
  <si>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</si>
  <si>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</si>
  <si>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</si>
  <si>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</si>
  <si>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</si>
  <si>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</si>
  <si>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</si>
  <si>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</si>
  <si>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</si>
  <si>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4517450</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</si>
  <si>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</si>
  <si>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</si>
  <si>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</si>
  <si>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</si>
  <si>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</si>
  <si>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</si>
  <si>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</si>
  <si>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</si>
  <si>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</si>
  <si>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</si>
  <si>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</si>
  <si>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</si>
  <si>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</si>
  <si>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</si>
  <si>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</si>
  <si>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</si>
  <si>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</si>
  <si>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</si>
  <si>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</si>
  <si>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</si>
  <si>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</si>
  <si>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</si>
  <si>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</si>
  <si>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</si>
  <si>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</si>
  <si>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</si>
  <si>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</si>
  <si>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</si>
  <si>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</si>
  <si>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</si>
  <si>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</si>
  <si>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</si>
  <si>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</si>
  <si>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</si>
  <si>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</si>
  <si>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</si>
  <si>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</si>
  <si>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</si>
  <si>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</si>
  <si>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</si>
  <si>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</si>
  <si>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</si>
  <si>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</si>
  <si>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</si>
  <si>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</si>
  <si>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</si>
  <si>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</si>
  <si>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</si>
  <si>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</si>
  <si>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</si>
  <si>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</si>
  <si>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</si>
  <si>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</si>
  <si>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</si>
  <si>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</si>
  <si>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</si>
  <si>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</si>
  <si>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</si>
  <si>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</si>
  <si>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</si>
  <si>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</si>
  <si>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</si>
  <si>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</si>
  <si>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</si>
  <si>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</si>
  <si>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</si>
  <si>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</si>
  <si>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</si>
  <si>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</si>
  <si>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</si>
  <si>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</si>
  <si>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</si>
  <si>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</si>
  <si>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</si>
  <si>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</si>
  <si>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</si>
  <si>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</si>
  <si>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</si>
  <si>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</si>
  <si>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</si>
  <si>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</si>
  <si>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</si>
  <si>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</si>
  <si>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</si>
  <si>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</si>
  <si>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</si>
  <si>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</si>
  <si>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</si>
  <si>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</si>
  <si>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</si>
  <si>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</si>
  <si>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</si>
  <si>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</si>
  <si>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</si>
  <si>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</si>
  <si>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</si>
  <si>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</si>
  <si>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</si>
  <si>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</si>
  <si>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</si>
  <si>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</si>
  <si>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</si>
  <si>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</si>
  <si>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</si>
  <si>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</si>
  <si>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</si>
  <si>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1412220</t>
  </si>
  <si>
    <t>2220</t>
  </si>
  <si>
    <t>0763</t>
  </si>
  <si>
    <t>Інші заходи в галузі охорони здоров'я</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</si>
  <si>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</si>
  <si>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</si>
  <si>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</si>
  <si>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</si>
  <si>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</si>
  <si>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</si>
  <si>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</si>
  <si>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</si>
  <si>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</si>
  <si>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</si>
  <si>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</si>
  <si>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</si>
  <si>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</si>
  <si>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</si>
  <si>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0313132</t>
  </si>
  <si>
    <t>0315030</t>
  </si>
  <si>
    <t>4818800</t>
  </si>
  <si>
    <t>Інша субвенція Сумському районному бюджету</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</si>
  <si>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</si>
  <si>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</si>
  <si>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Міська програма "Соціальна підтримка учасників антитерористичної операції та членів їх сімей" на 2017-2019 роки"</t>
  </si>
  <si>
    <t>Програма розвитку міського парку ім. І.М. Кожедуба на 2017-2020 роки</t>
  </si>
  <si>
    <t>міська "Програма фінансового забезпечення відзначення на території міста державних, професійних свят, ювілейних дат та інших подій на 2017-2019 роки"</t>
  </si>
  <si>
    <t xml:space="preserve">Програма підвищення енергоефективності в бюджетній сфері місті Суми на 2017-2019 роки </t>
  </si>
  <si>
    <t>Комплексна програма охорони навколишнього природного середовища м.Суми на 2016-2018 роки</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</si>
  <si>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</si>
  <si>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</si>
  <si>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Міська цільова Програма   захисту  населення   і території м. Суми від надзвичайних ситуацій техногенного та природного характеру на 2014-2018 роки</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</si>
  <si>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</si>
  <si>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 xml:space="preserve">                Додаток 6</t>
  </si>
  <si>
    <t>до рішення виконавчого комітету</t>
  </si>
  <si>
    <t>Директор департаменту фінансів, економіки та інвестицій</t>
  </si>
  <si>
    <t>С.А. Липова</t>
  </si>
  <si>
    <t>від 22.11.2017 № 642</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</si>
</sst>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0_р_."/>
  </numFmts>
  <fonts count="5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4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48"/>
      <name val="Times New Roman"/>
      <family val="1"/>
    </font>
    <font>
      <sz val="55"/>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0"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1"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4">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2"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3" xfId="0" applyFont="1" applyFill="1" applyBorder="1" applyAlignment="1">
      <alignment horizontal="center"/>
    </xf>
    <xf numFmtId="0" fontId="31" fillId="0" borderId="13"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2" xfId="0" applyFont="1" applyFill="1" applyBorder="1" applyAlignment="1">
      <alignment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 fontId="30"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4" fontId="30" fillId="0" borderId="12" xfId="0" applyNumberFormat="1" applyFont="1" applyFill="1" applyBorder="1" applyAlignment="1">
      <alignment horizontal="left" vertical="center" wrapText="1"/>
    </xf>
    <xf numFmtId="0" fontId="35" fillId="0" borderId="12" xfId="0" applyNumberFormat="1" applyFont="1" applyFill="1" applyBorder="1" applyAlignment="1" applyProtection="1">
      <alignment horizontal="center" vertical="center" wrapText="1"/>
      <protection/>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2" xfId="0" applyFont="1" applyFill="1" applyBorder="1" applyAlignment="1">
      <alignment horizontal="left" vertical="center" wrapText="1"/>
    </xf>
    <xf numFmtId="200" fontId="33" fillId="0" borderId="12" xfId="0" applyNumberFormat="1" applyFont="1" applyFill="1" applyBorder="1" applyAlignment="1">
      <alignment vertical="justify"/>
    </xf>
    <xf numFmtId="0" fontId="0" fillId="0" borderId="12" xfId="0" applyNumberFormat="1" applyFont="1" applyFill="1" applyBorder="1" applyAlignment="1" applyProtection="1">
      <alignment/>
      <protection/>
    </xf>
    <xf numFmtId="0" fontId="39" fillId="0" borderId="12"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40" fillId="0" borderId="0" xfId="0" applyFont="1" applyFill="1" applyAlignment="1">
      <alignment/>
    </xf>
    <xf numFmtId="4" fontId="39" fillId="0" borderId="12"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2" xfId="95" applyNumberFormat="1" applyFont="1" applyFill="1" applyBorder="1" applyAlignment="1">
      <alignment vertical="center"/>
      <protection/>
    </xf>
    <xf numFmtId="49" fontId="39" fillId="0" borderId="12" xfId="0" applyNumberFormat="1" applyFont="1" applyFill="1" applyBorder="1" applyAlignment="1">
      <alignment horizontal="center" vertical="center"/>
    </xf>
    <xf numFmtId="4" fontId="39" fillId="0" borderId="12"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2" xfId="0" applyFont="1" applyFill="1" applyBorder="1" applyAlignment="1">
      <alignment horizontal="center" vertical="center" wrapText="1"/>
    </xf>
    <xf numFmtId="0" fontId="40" fillId="0" borderId="0" xfId="0" applyFont="1" applyFill="1" applyAlignment="1">
      <alignment vertical="center"/>
    </xf>
    <xf numFmtId="4" fontId="43" fillId="0" borderId="12"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39" fillId="0" borderId="12" xfId="0" applyFont="1" applyFill="1" applyBorder="1" applyAlignment="1">
      <alignment vertical="center"/>
    </xf>
    <xf numFmtId="49" fontId="30" fillId="0" borderId="12" xfId="0" applyNumberFormat="1" applyFont="1" applyFill="1" applyBorder="1" applyAlignment="1">
      <alignment horizontal="left" vertical="center" wrapText="1"/>
    </xf>
    <xf numFmtId="49" fontId="35" fillId="0" borderId="12" xfId="0" applyNumberFormat="1" applyFont="1" applyFill="1" applyBorder="1" applyAlignment="1">
      <alignment horizontal="center" vertical="center"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horizontal="left" vertical="center" wrapText="1"/>
    </xf>
    <xf numFmtId="0" fontId="35"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2" xfId="95" applyNumberFormat="1" applyFont="1" applyFill="1" applyBorder="1" applyAlignment="1">
      <alignment vertical="center"/>
      <protection/>
    </xf>
    <xf numFmtId="0" fontId="0" fillId="0" borderId="0" xfId="0" applyFont="1" applyFill="1" applyAlignment="1">
      <alignment vertical="center"/>
    </xf>
    <xf numFmtId="0" fontId="39" fillId="0" borderId="14" xfId="0" applyFont="1" applyFill="1" applyBorder="1" applyAlignment="1">
      <alignment horizontal="left" vertic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27" borderId="0" xfId="0" applyFont="1" applyFill="1" applyBorder="1" applyAlignment="1">
      <alignment/>
    </xf>
    <xf numFmtId="0" fontId="43" fillId="0" borderId="0" xfId="0" applyFont="1" applyFill="1" applyBorder="1" applyAlignment="1">
      <alignment/>
    </xf>
    <xf numFmtId="0" fontId="39" fillId="0" borderId="15"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5"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4" fontId="35" fillId="0" borderId="12" xfId="95" applyNumberFormat="1" applyFont="1" applyFill="1" applyBorder="1" applyAlignment="1">
      <alignment vertical="center"/>
      <protection/>
    </xf>
    <xf numFmtId="4" fontId="34" fillId="0" borderId="12" xfId="0" applyNumberFormat="1" applyFont="1" applyFill="1" applyBorder="1" applyAlignment="1">
      <alignment vertical="center"/>
    </xf>
    <xf numFmtId="0" fontId="37" fillId="0" borderId="0" xfId="0" applyFont="1" applyFill="1" applyAlignment="1">
      <alignment horizontal="left" vertical="center" wrapText="1"/>
    </xf>
    <xf numFmtId="0" fontId="39" fillId="0" borderId="0" xfId="0" applyNumberFormat="1" applyFont="1" applyFill="1" applyAlignment="1" applyProtection="1">
      <alignment/>
      <protection/>
    </xf>
    <xf numFmtId="0" fontId="39" fillId="0" borderId="17" xfId="0" applyFont="1" applyFill="1" applyBorder="1" applyAlignment="1">
      <alignment horizontal="left" vertical="center" wrapText="1"/>
    </xf>
    <xf numFmtId="0" fontId="39" fillId="0" borderId="0" xfId="0" applyFont="1" applyFill="1" applyAlignment="1">
      <alignment/>
    </xf>
    <xf numFmtId="0" fontId="31" fillId="0" borderId="0" xfId="0" applyNumberFormat="1" applyFont="1" applyFill="1" applyBorder="1" applyAlignment="1" applyProtection="1">
      <alignment/>
      <protection/>
    </xf>
    <xf numFmtId="0" fontId="37" fillId="0" borderId="0" xfId="0" applyFont="1" applyFill="1" applyAlignment="1">
      <alignment vertical="center" wrapText="1"/>
    </xf>
    <xf numFmtId="0" fontId="34" fillId="0" borderId="0" xfId="0" applyFont="1" applyFill="1" applyBorder="1" applyAlignment="1">
      <alignment horizontal="left" vertical="center" wrapText="1"/>
    </xf>
    <xf numFmtId="200" fontId="33" fillId="0" borderId="0" xfId="0" applyNumberFormat="1" applyFont="1" applyFill="1" applyBorder="1" applyAlignment="1">
      <alignment vertical="justify"/>
    </xf>
    <xf numFmtId="4" fontId="34" fillId="0" borderId="0" xfId="0" applyNumberFormat="1" applyFont="1" applyFill="1" applyBorder="1" applyAlignment="1">
      <alignment vertical="center"/>
    </xf>
    <xf numFmtId="0" fontId="30" fillId="0" borderId="16" xfId="0" applyFont="1" applyFill="1" applyBorder="1" applyAlignment="1">
      <alignment vertical="center" wrapText="1"/>
    </xf>
    <xf numFmtId="0" fontId="30" fillId="0" borderId="14" xfId="0" applyFont="1" applyFill="1" applyBorder="1" applyAlignment="1">
      <alignment vertical="center" wrapText="1"/>
    </xf>
    <xf numFmtId="49" fontId="30" fillId="0" borderId="15" xfId="0" applyNumberFormat="1" applyFont="1" applyFill="1" applyBorder="1" applyAlignment="1">
      <alignment horizontal="center" vertical="center"/>
    </xf>
    <xf numFmtId="3" fontId="45" fillId="0" borderId="0" xfId="0" applyNumberFormat="1" applyFont="1" applyFill="1" applyBorder="1" applyAlignment="1">
      <alignment vertical="center" wrapText="1"/>
    </xf>
    <xf numFmtId="0" fontId="39" fillId="0" borderId="15" xfId="0" applyFont="1" applyFill="1" applyBorder="1" applyAlignment="1">
      <alignment vertical="center" wrapText="1"/>
    </xf>
    <xf numFmtId="0" fontId="30" fillId="0" borderId="15" xfId="0" applyFont="1" applyFill="1" applyBorder="1" applyAlignment="1">
      <alignment vertical="center" wrapText="1"/>
    </xf>
    <xf numFmtId="3"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3" fontId="36" fillId="0" borderId="0" xfId="0" applyNumberFormat="1" applyFont="1" applyFill="1" applyBorder="1" applyAlignment="1">
      <alignment vertical="center" wrapText="1"/>
    </xf>
    <xf numFmtId="0" fontId="31" fillId="0" borderId="0" xfId="0" applyNumberFormat="1" applyFont="1" applyFill="1" applyBorder="1" applyAlignment="1" applyProtection="1">
      <alignment horizontal="left"/>
      <protection/>
    </xf>
    <xf numFmtId="3" fontId="37" fillId="0" borderId="0" xfId="0" applyNumberFormat="1" applyFont="1" applyFill="1" applyBorder="1" applyAlignment="1">
      <alignment vertical="center" wrapText="1"/>
    </xf>
    <xf numFmtId="4" fontId="37" fillId="0" borderId="0" xfId="0" applyNumberFormat="1" applyFont="1" applyFill="1" applyBorder="1" applyAlignment="1">
      <alignment vertical="center"/>
    </xf>
    <xf numFmtId="0" fontId="52" fillId="0" borderId="0" xfId="0" applyFont="1" applyFill="1" applyBorder="1" applyAlignment="1">
      <alignment/>
    </xf>
    <xf numFmtId="218" fontId="33" fillId="0" borderId="0" xfId="0" applyNumberFormat="1" applyFont="1" applyFill="1" applyAlignment="1" applyProtection="1">
      <alignment vertical="center"/>
      <protection/>
    </xf>
    <xf numFmtId="218" fontId="38" fillId="0" borderId="0" xfId="0" applyNumberFormat="1" applyFont="1" applyFill="1" applyBorder="1" applyAlignment="1">
      <alignment horizontal="center" vertical="center" wrapText="1"/>
    </xf>
    <xf numFmtId="4" fontId="31" fillId="0" borderId="0" xfId="0" applyNumberFormat="1" applyFont="1" applyFill="1" applyBorder="1" applyAlignment="1">
      <alignment vertical="center" wrapText="1"/>
    </xf>
    <xf numFmtId="0" fontId="53" fillId="0" borderId="0" xfId="0" applyFont="1" applyFill="1" applyBorder="1" applyAlignment="1">
      <alignment horizontal="center" vertical="center" textRotation="180"/>
    </xf>
    <xf numFmtId="3" fontId="53" fillId="0" borderId="0" xfId="0" applyNumberFormat="1" applyFont="1" applyFill="1" applyBorder="1" applyAlignment="1">
      <alignment horizontal="center" vertical="center" textRotation="180" wrapText="1"/>
    </xf>
    <xf numFmtId="4" fontId="53" fillId="0" borderId="0" xfId="0" applyNumberFormat="1" applyFont="1" applyFill="1" applyAlignment="1" applyProtection="1">
      <alignment horizontal="center" vertical="center" textRotation="180"/>
      <protection/>
    </xf>
    <xf numFmtId="0" fontId="30" fillId="0" borderId="18"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2" xfId="0" applyFont="1" applyFill="1" applyBorder="1" applyAlignment="1">
      <alignment vertical="center" wrapText="1"/>
    </xf>
    <xf numFmtId="0" fontId="30" fillId="0" borderId="15" xfId="0" applyFont="1" applyFill="1" applyBorder="1" applyAlignment="1">
      <alignment horizontal="left" wrapText="1"/>
    </xf>
    <xf numFmtId="0" fontId="30" fillId="0" borderId="16" xfId="0" applyFont="1" applyFill="1" applyBorder="1" applyAlignment="1">
      <alignment horizontal="left" wrapText="1"/>
    </xf>
    <xf numFmtId="49" fontId="30" fillId="0" borderId="16" xfId="0" applyNumberFormat="1"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9" fillId="0" borderId="15" xfId="0" applyFont="1" applyFill="1" applyBorder="1" applyAlignment="1">
      <alignment horizontal="left" vertical="center" wrapText="1"/>
    </xf>
    <xf numFmtId="0" fontId="53" fillId="0" borderId="22" xfId="0" applyFont="1" applyFill="1" applyBorder="1" applyAlignment="1">
      <alignment horizontal="center" vertical="center" textRotation="180"/>
    </xf>
    <xf numFmtId="0" fontId="53" fillId="0" borderId="0" xfId="0" applyFont="1" applyFill="1" applyBorder="1" applyAlignment="1">
      <alignment horizontal="center" vertical="center" textRotation="180"/>
    </xf>
    <xf numFmtId="49" fontId="30" fillId="0" borderId="12"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49" fontId="39" fillId="0" borderId="15"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xf>
    <xf numFmtId="4" fontId="43" fillId="0" borderId="15" xfId="95" applyNumberFormat="1" applyFont="1" applyFill="1" applyBorder="1" applyAlignment="1">
      <alignment horizontal="right" vertical="center"/>
      <protection/>
    </xf>
    <xf numFmtId="4" fontId="43" fillId="0" borderId="14" xfId="95" applyNumberFormat="1" applyFont="1" applyFill="1" applyBorder="1" applyAlignment="1">
      <alignment horizontal="right" vertical="center"/>
      <protection/>
    </xf>
    <xf numFmtId="0" fontId="39" fillId="0" borderId="18" xfId="0" applyFont="1" applyFill="1" applyBorder="1" applyAlignment="1">
      <alignment horizontal="left" vertical="center" wrapText="1"/>
    </xf>
    <xf numFmtId="0" fontId="39" fillId="0" borderId="19" xfId="0" applyFont="1" applyFill="1" applyBorder="1" applyAlignment="1">
      <alignment horizontal="left" vertical="center" wrapText="1"/>
    </xf>
    <xf numFmtId="4" fontId="39" fillId="0" borderId="15" xfId="95" applyNumberFormat="1" applyFont="1" applyFill="1" applyBorder="1" applyAlignment="1">
      <alignment horizontal="right" vertical="center"/>
      <protection/>
    </xf>
    <xf numFmtId="4" fontId="39" fillId="0" borderId="14" xfId="95" applyNumberFormat="1" applyFont="1" applyFill="1" applyBorder="1" applyAlignment="1">
      <alignment horizontal="right" vertical="center"/>
      <protection/>
    </xf>
    <xf numFmtId="0" fontId="30" fillId="0" borderId="12" xfId="0" applyFont="1" applyFill="1" applyBorder="1" applyAlignment="1">
      <alignment horizontal="left" vertical="center" wrapText="1"/>
    </xf>
    <xf numFmtId="4" fontId="30" fillId="0" borderId="15"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49" fontId="30" fillId="0" borderId="15"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0" fontId="39" fillId="0" borderId="14" xfId="0" applyFont="1" applyFill="1" applyBorder="1" applyAlignment="1">
      <alignment horizontal="left" vertical="center" wrapText="1"/>
    </xf>
    <xf numFmtId="3" fontId="38" fillId="0" borderId="0" xfId="0" applyNumberFormat="1" applyFont="1" applyFill="1" applyBorder="1" applyAlignment="1">
      <alignment horizontal="left" vertical="center" wrapText="1"/>
    </xf>
    <xf numFmtId="3" fontId="36" fillId="0" borderId="0" xfId="0" applyNumberFormat="1" applyFont="1" applyFill="1" applyBorder="1" applyAlignment="1">
      <alignment horizontal="left" vertical="center" wrapText="1"/>
    </xf>
    <xf numFmtId="0" fontId="30" fillId="0" borderId="12" xfId="0" applyFont="1" applyFill="1" applyBorder="1" applyAlignment="1">
      <alignment/>
    </xf>
    <xf numFmtId="3" fontId="37" fillId="0" borderId="0" xfId="0" applyNumberFormat="1" applyFont="1" applyFill="1" applyBorder="1" applyAlignment="1">
      <alignment horizontal="center" vertical="center" wrapText="1"/>
    </xf>
    <xf numFmtId="3" fontId="37" fillId="0" borderId="0" xfId="0" applyNumberFormat="1" applyFont="1" applyFill="1" applyBorder="1" applyAlignment="1">
      <alignment horizontal="left" vertical="center" wrapText="1"/>
    </xf>
    <xf numFmtId="0" fontId="30" fillId="0" borderId="20" xfId="0" applyFont="1" applyFill="1" applyBorder="1" applyAlignment="1">
      <alignment horizontal="center" vertical="center" wrapText="1"/>
    </xf>
    <xf numFmtId="0" fontId="30" fillId="0" borderId="21" xfId="0" applyFont="1" applyFill="1" applyBorder="1" applyAlignment="1">
      <alignment horizontal="center" vertical="center" wrapText="1"/>
    </xf>
    <xf numFmtId="4" fontId="30" fillId="0" borderId="15" xfId="95" applyNumberFormat="1" applyFont="1" applyFill="1" applyBorder="1" applyAlignment="1">
      <alignment horizontal="center" vertical="center"/>
      <protection/>
    </xf>
    <xf numFmtId="4" fontId="30" fillId="0" borderId="14" xfId="95" applyNumberFormat="1" applyFont="1" applyFill="1" applyBorder="1" applyAlignment="1">
      <alignment horizontal="center" vertical="center"/>
      <protection/>
    </xf>
    <xf numFmtId="49" fontId="30" fillId="0" borderId="12" xfId="0" applyNumberFormat="1" applyFont="1" applyFill="1" applyBorder="1" applyAlignment="1">
      <alignment horizontal="left" vertical="center" wrapText="1"/>
    </xf>
    <xf numFmtId="0" fontId="37" fillId="0" borderId="0" xfId="0" applyFont="1" applyFill="1" applyAlignment="1">
      <alignment horizontal="left" vertical="center" wrapText="1"/>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xf>
    <xf numFmtId="0" fontId="38" fillId="0" borderId="0" xfId="0" applyNumberFormat="1" applyFont="1" applyFill="1" applyBorder="1" applyAlignment="1" applyProtection="1">
      <alignment horizontal="center" vertical="top" wrapText="1"/>
      <protection/>
    </xf>
    <xf numFmtId="0" fontId="30" fillId="0" borderId="15" xfId="0" applyFont="1" applyFill="1" applyBorder="1" applyAlignment="1">
      <alignment horizontal="left"/>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48"/>
  <sheetViews>
    <sheetView showZeros="0" tabSelected="1" view="pageBreakPreview" zoomScale="10" zoomScaleNormal="40" zoomScaleSheetLayoutView="10" zoomScalePageLayoutView="0" workbookViewId="0" topLeftCell="B1">
      <selection activeCell="G4" sqref="G4"/>
    </sheetView>
  </sheetViews>
  <sheetFormatPr defaultColWidth="9.16015625" defaultRowHeight="12.75"/>
  <cols>
    <col min="1" max="1" width="3.83203125" style="3" hidden="1" customWidth="1"/>
    <col min="2" max="2" width="47.16015625" style="29" customWidth="1"/>
    <col min="3" max="3" width="46.5" style="29" customWidth="1"/>
    <col min="4" max="4" width="37.16015625" style="29" customWidth="1"/>
    <col min="5" max="5" width="195.5" style="28" customWidth="1"/>
    <col min="6" max="6" width="159.83203125" style="29" customWidth="1"/>
    <col min="7" max="7" width="70.5" style="30" customWidth="1"/>
    <col min="8" max="8" width="66.66015625" style="30" customWidth="1"/>
    <col min="9" max="9" width="68.5" style="83" customWidth="1"/>
    <col min="10" max="10" width="24.83203125" style="132" customWidth="1"/>
    <col min="11" max="11" width="63.5" style="86" customWidth="1"/>
    <col min="12" max="16384" width="9.16015625" style="2" customWidth="1"/>
  </cols>
  <sheetData>
    <row r="1" spans="2:16" ht="65.25" customHeight="1">
      <c r="B1" s="40"/>
      <c r="C1" s="40"/>
      <c r="D1" s="40"/>
      <c r="G1" s="179" t="s">
        <v>441</v>
      </c>
      <c r="H1" s="179"/>
      <c r="I1" s="179"/>
      <c r="J1" s="148">
        <v>52</v>
      </c>
      <c r="L1" s="5"/>
      <c r="M1" s="5"/>
      <c r="N1" s="5"/>
      <c r="O1" s="5"/>
      <c r="P1" s="5"/>
    </row>
    <row r="2" spans="2:16" ht="62.25" customHeight="1">
      <c r="B2" s="40"/>
      <c r="C2" s="40"/>
      <c r="D2" s="40"/>
      <c r="G2" s="179" t="s">
        <v>442</v>
      </c>
      <c r="H2" s="179"/>
      <c r="I2" s="179"/>
      <c r="J2" s="148"/>
      <c r="L2" s="5"/>
      <c r="M2" s="5"/>
      <c r="N2" s="5"/>
      <c r="O2" s="5"/>
      <c r="P2" s="5"/>
    </row>
    <row r="3" spans="2:16" ht="50.25" customHeight="1">
      <c r="B3" s="40"/>
      <c r="C3" s="40"/>
      <c r="D3" s="40"/>
      <c r="G3" s="179" t="s">
        <v>445</v>
      </c>
      <c r="H3" s="179"/>
      <c r="I3" s="179"/>
      <c r="J3" s="148"/>
      <c r="L3" s="5"/>
      <c r="M3" s="5"/>
      <c r="N3" s="5"/>
      <c r="O3" s="5"/>
      <c r="P3" s="5"/>
    </row>
    <row r="4" spans="2:16" ht="50.25" customHeight="1">
      <c r="B4" s="40"/>
      <c r="C4" s="40"/>
      <c r="D4" s="40"/>
      <c r="G4" s="128"/>
      <c r="H4" s="86"/>
      <c r="I4" s="112"/>
      <c r="J4" s="148"/>
      <c r="K4" s="2"/>
      <c r="L4" s="87"/>
      <c r="M4" s="112"/>
      <c r="N4" s="5"/>
      <c r="O4" s="5"/>
      <c r="P4" s="5"/>
    </row>
    <row r="5" spans="2:16" ht="59.25" customHeight="1">
      <c r="B5" s="40"/>
      <c r="C5" s="40"/>
      <c r="D5" s="40"/>
      <c r="G5" s="128"/>
      <c r="H5" s="86"/>
      <c r="I5" s="112"/>
      <c r="J5" s="148"/>
      <c r="K5" s="2"/>
      <c r="L5" s="87"/>
      <c r="M5" s="112"/>
      <c r="N5" s="5"/>
      <c r="O5" s="5"/>
      <c r="P5" s="5"/>
    </row>
    <row r="6" spans="1:15" s="5" customFormat="1" ht="48.75" customHeight="1">
      <c r="A6" s="4"/>
      <c r="B6" s="17"/>
      <c r="C6" s="17"/>
      <c r="D6" s="17"/>
      <c r="E6" s="18"/>
      <c r="F6" s="17"/>
      <c r="G6" s="107"/>
      <c r="H6" s="107"/>
      <c r="I6" s="107"/>
      <c r="J6" s="148"/>
      <c r="L6" s="87"/>
      <c r="M6" s="112"/>
      <c r="N6" s="42"/>
      <c r="O6" s="9"/>
    </row>
    <row r="7" spans="1:15" ht="127.5" customHeight="1">
      <c r="A7" s="1"/>
      <c r="B7" s="182" t="s">
        <v>380</v>
      </c>
      <c r="C7" s="182"/>
      <c r="D7" s="182"/>
      <c r="E7" s="182"/>
      <c r="F7" s="182"/>
      <c r="G7" s="182"/>
      <c r="H7" s="182"/>
      <c r="I7" s="182"/>
      <c r="J7" s="148"/>
      <c r="K7" s="2"/>
      <c r="L7" s="80"/>
      <c r="M7" s="112"/>
      <c r="N7" s="41"/>
      <c r="O7" s="41"/>
    </row>
    <row r="8" spans="2:15" ht="46.5" customHeight="1">
      <c r="B8" s="19"/>
      <c r="C8" s="19"/>
      <c r="D8" s="19"/>
      <c r="E8" s="20"/>
      <c r="F8" s="21"/>
      <c r="G8" s="22"/>
      <c r="H8" s="23"/>
      <c r="I8" s="82" t="s">
        <v>57</v>
      </c>
      <c r="J8" s="148"/>
      <c r="K8" s="2"/>
      <c r="L8" s="80"/>
      <c r="M8" s="112"/>
      <c r="N8" s="41"/>
      <c r="O8" s="41"/>
    </row>
    <row r="9" spans="1:13" ht="361.5" customHeight="1">
      <c r="A9" s="6"/>
      <c r="B9" s="38" t="s">
        <v>94</v>
      </c>
      <c r="C9" s="38" t="s">
        <v>95</v>
      </c>
      <c r="D9" s="38" t="s">
        <v>345</v>
      </c>
      <c r="E9" s="38" t="s">
        <v>343</v>
      </c>
      <c r="F9" s="38" t="s">
        <v>344</v>
      </c>
      <c r="G9" s="38" t="s">
        <v>0</v>
      </c>
      <c r="H9" s="38" t="s">
        <v>1</v>
      </c>
      <c r="I9" s="38" t="s">
        <v>4</v>
      </c>
      <c r="J9" s="148"/>
      <c r="K9" s="2"/>
      <c r="L9" s="86"/>
      <c r="M9" s="112"/>
    </row>
    <row r="10" spans="1:11" s="73" customFormat="1" ht="93" customHeight="1">
      <c r="A10" s="71"/>
      <c r="B10" s="67"/>
      <c r="C10" s="67"/>
      <c r="D10" s="67"/>
      <c r="E10" s="68" t="s">
        <v>25</v>
      </c>
      <c r="F10" s="72"/>
      <c r="G10" s="105">
        <f>G11+G12+G13+G16+G18+G20+G21+G24+G26+G29+G32+G35+G38+G39+G41+G44+G46+G47+G49+G51+G55+G67+G68+G48+G52+G53+G64+G54+G42</f>
        <v>52006814</v>
      </c>
      <c r="H10" s="105">
        <f>H11+H12+H13+H16+H18+H20+H21+H24+H26+H29+H32+H35+H38+H39+H41+H44+H46+H47+H49+H51+H55+H67+H68+H48+H52+H53+H64+H54+H42</f>
        <v>58505426</v>
      </c>
      <c r="I10" s="105">
        <f>I11+I12+I13+I16+I18+I20+I21+I24+I26+I29+I32+I35+I38+I39+I41+I44+I46+I47+I49+I51+I55+I67+I68+I48+I52+I53+I64+I54+I42</f>
        <v>110512240</v>
      </c>
      <c r="J10" s="148"/>
      <c r="K10" s="88"/>
    </row>
    <row r="11" spans="2:10" ht="108.75" customHeight="1">
      <c r="B11" s="149" t="s">
        <v>117</v>
      </c>
      <c r="C11" s="149" t="s">
        <v>54</v>
      </c>
      <c r="D11" s="149" t="s">
        <v>2</v>
      </c>
      <c r="E11" s="161" t="s">
        <v>379</v>
      </c>
      <c r="F11" s="31" t="s">
        <v>93</v>
      </c>
      <c r="G11" s="16">
        <f>575000+223000</f>
        <v>798000</v>
      </c>
      <c r="H11" s="16"/>
      <c r="I11" s="16">
        <f>G11+H11</f>
        <v>798000</v>
      </c>
      <c r="J11" s="148"/>
    </row>
    <row r="12" spans="2:10" ht="155.25" customHeight="1">
      <c r="B12" s="171">
        <v>310180</v>
      </c>
      <c r="C12" s="149"/>
      <c r="D12" s="171"/>
      <c r="E12" s="183"/>
      <c r="F12" s="31" t="s">
        <v>370</v>
      </c>
      <c r="G12" s="16">
        <f>1132800-342800+60000+495100-120000+1760252-270000</f>
        <v>2715352</v>
      </c>
      <c r="H12" s="16">
        <f>635300-135300+280000+120000+496266+180000-676266</f>
        <v>900000</v>
      </c>
      <c r="I12" s="16">
        <f>G12+H12</f>
        <v>3615352</v>
      </c>
      <c r="J12" s="148"/>
    </row>
    <row r="13" spans="1:11" s="10" customFormat="1" ht="409.5" customHeight="1">
      <c r="A13" s="1"/>
      <c r="B13" s="166" t="s">
        <v>339</v>
      </c>
      <c r="C13" s="150" t="s">
        <v>243</v>
      </c>
      <c r="D13" s="180">
        <v>1030</v>
      </c>
      <c r="E13" s="76" t="s">
        <v>347</v>
      </c>
      <c r="F13" s="144"/>
      <c r="G13" s="162">
        <f>G15</f>
        <v>15000</v>
      </c>
      <c r="H13" s="176">
        <f>H15</f>
        <v>0</v>
      </c>
      <c r="I13" s="162">
        <f>G13+H13</f>
        <v>15000</v>
      </c>
      <c r="J13" s="148"/>
      <c r="K13" s="86"/>
    </row>
    <row r="14" spans="1:11" s="10" customFormat="1" ht="133.5" customHeight="1">
      <c r="A14" s="1"/>
      <c r="B14" s="167"/>
      <c r="C14" s="151"/>
      <c r="D14" s="181"/>
      <c r="E14" s="75" t="s">
        <v>346</v>
      </c>
      <c r="F14" s="145"/>
      <c r="G14" s="163"/>
      <c r="H14" s="177"/>
      <c r="I14" s="163"/>
      <c r="J14" s="148"/>
      <c r="K14" s="86"/>
    </row>
    <row r="15" spans="1:11" s="50" customFormat="1" ht="134.25" customHeight="1">
      <c r="A15" s="47"/>
      <c r="B15" s="55" t="s">
        <v>338</v>
      </c>
      <c r="C15" s="48" t="s">
        <v>244</v>
      </c>
      <c r="D15" s="48">
        <v>1070</v>
      </c>
      <c r="E15" s="46" t="s">
        <v>40</v>
      </c>
      <c r="F15" s="49" t="s">
        <v>62</v>
      </c>
      <c r="G15" s="54">
        <v>15000</v>
      </c>
      <c r="H15" s="54"/>
      <c r="I15" s="16">
        <f>G15+H15</f>
        <v>15000</v>
      </c>
      <c r="J15" s="148"/>
      <c r="K15" s="89"/>
    </row>
    <row r="16" spans="1:11" s="50" customFormat="1" ht="107.25" customHeight="1">
      <c r="A16" s="47"/>
      <c r="B16" s="32" t="s">
        <v>119</v>
      </c>
      <c r="C16" s="32" t="s">
        <v>118</v>
      </c>
      <c r="D16" s="32"/>
      <c r="E16" s="33" t="s">
        <v>245</v>
      </c>
      <c r="F16" s="31"/>
      <c r="G16" s="16">
        <f>G17</f>
        <v>48000</v>
      </c>
      <c r="H16" s="16">
        <f>H17</f>
        <v>0</v>
      </c>
      <c r="I16" s="16">
        <f>I17</f>
        <v>48000</v>
      </c>
      <c r="J16" s="148"/>
      <c r="K16" s="89"/>
    </row>
    <row r="17" spans="1:11" s="50" customFormat="1" ht="152.25" customHeight="1">
      <c r="A17" s="47"/>
      <c r="B17" s="48" t="s">
        <v>426</v>
      </c>
      <c r="C17" s="48" t="s">
        <v>104</v>
      </c>
      <c r="D17" s="48" t="s">
        <v>10</v>
      </c>
      <c r="E17" s="46" t="s">
        <v>126</v>
      </c>
      <c r="F17" s="49" t="s">
        <v>61</v>
      </c>
      <c r="G17" s="54">
        <f>48000</f>
        <v>48000</v>
      </c>
      <c r="H17" s="54"/>
      <c r="I17" s="54">
        <f>G17+H17</f>
        <v>48000</v>
      </c>
      <c r="J17" s="148"/>
      <c r="K17" s="89"/>
    </row>
    <row r="18" spans="1:11" s="50" customFormat="1" ht="59.25" customHeight="1">
      <c r="A18" s="47"/>
      <c r="B18" s="32" t="s">
        <v>246</v>
      </c>
      <c r="C18" s="32" t="s">
        <v>105</v>
      </c>
      <c r="D18" s="32" t="s">
        <v>10</v>
      </c>
      <c r="E18" s="33" t="s">
        <v>356</v>
      </c>
      <c r="F18" s="31"/>
      <c r="G18" s="16">
        <f>G19</f>
        <v>720935</v>
      </c>
      <c r="H18" s="16">
        <f>H19</f>
        <v>0</v>
      </c>
      <c r="I18" s="16">
        <f>I19</f>
        <v>720935</v>
      </c>
      <c r="J18" s="148"/>
      <c r="K18" s="89"/>
    </row>
    <row r="19" spans="1:11" s="50" customFormat="1" ht="155.25" customHeight="1">
      <c r="A19" s="47"/>
      <c r="B19" s="48" t="s">
        <v>373</v>
      </c>
      <c r="C19" s="48" t="s">
        <v>374</v>
      </c>
      <c r="D19" s="48" t="s">
        <v>10</v>
      </c>
      <c r="E19" s="46" t="s">
        <v>375</v>
      </c>
      <c r="F19" s="49" t="s">
        <v>62</v>
      </c>
      <c r="G19" s="54">
        <f>700000+150000-105865-23200</f>
        <v>720935</v>
      </c>
      <c r="H19" s="54"/>
      <c r="I19" s="54">
        <f>G19+H19</f>
        <v>720935</v>
      </c>
      <c r="J19" s="147">
        <v>53</v>
      </c>
      <c r="K19" s="89"/>
    </row>
    <row r="20" spans="1:11" s="50" customFormat="1" ht="201.75" customHeight="1">
      <c r="A20" s="47"/>
      <c r="B20" s="32" t="s">
        <v>247</v>
      </c>
      <c r="C20" s="32" t="s">
        <v>106</v>
      </c>
      <c r="D20" s="32" t="s">
        <v>10</v>
      </c>
      <c r="E20" s="33" t="s">
        <v>127</v>
      </c>
      <c r="F20" s="31" t="s">
        <v>62</v>
      </c>
      <c r="G20" s="16">
        <f>401800+1169600</f>
        <v>1571400</v>
      </c>
      <c r="H20" s="16"/>
      <c r="I20" s="16">
        <f>G20+H20</f>
        <v>1571400</v>
      </c>
      <c r="J20" s="147"/>
      <c r="K20" s="89"/>
    </row>
    <row r="21" spans="1:10" ht="77.25" customHeight="1">
      <c r="A21" s="45"/>
      <c r="B21" s="32" t="s">
        <v>248</v>
      </c>
      <c r="C21" s="32" t="s">
        <v>103</v>
      </c>
      <c r="D21" s="32">
        <v>1090</v>
      </c>
      <c r="E21" s="33" t="s">
        <v>8</v>
      </c>
      <c r="F21" s="31"/>
      <c r="G21" s="16">
        <f>G22+G23</f>
        <v>191854</v>
      </c>
      <c r="H21" s="16">
        <f>H22+H23</f>
        <v>0</v>
      </c>
      <c r="I21" s="16">
        <f>I22+I23</f>
        <v>191854</v>
      </c>
      <c r="J21" s="147"/>
    </row>
    <row r="22" spans="1:11" s="50" customFormat="1" ht="135" customHeight="1">
      <c r="A22" s="47"/>
      <c r="B22" s="48" t="s">
        <v>248</v>
      </c>
      <c r="C22" s="48" t="s">
        <v>103</v>
      </c>
      <c r="D22" s="48" t="s">
        <v>9</v>
      </c>
      <c r="E22" s="49" t="s">
        <v>333</v>
      </c>
      <c r="F22" s="49" t="s">
        <v>60</v>
      </c>
      <c r="G22" s="54">
        <v>143854</v>
      </c>
      <c r="H22" s="54"/>
      <c r="I22" s="54">
        <f>G22+H22</f>
        <v>143854</v>
      </c>
      <c r="J22" s="147"/>
      <c r="K22" s="89"/>
    </row>
    <row r="23" spans="1:11" s="50" customFormat="1" ht="180" customHeight="1">
      <c r="A23" s="47"/>
      <c r="B23" s="48" t="s">
        <v>248</v>
      </c>
      <c r="C23" s="48" t="s">
        <v>103</v>
      </c>
      <c r="D23" s="48" t="s">
        <v>9</v>
      </c>
      <c r="E23" s="49" t="s">
        <v>329</v>
      </c>
      <c r="F23" s="49" t="s">
        <v>432</v>
      </c>
      <c r="G23" s="54">
        <v>48000</v>
      </c>
      <c r="H23" s="54"/>
      <c r="I23" s="54">
        <f>G23+H23</f>
        <v>48000</v>
      </c>
      <c r="J23" s="147"/>
      <c r="K23" s="89"/>
    </row>
    <row r="24" spans="1:11" s="10" customFormat="1" ht="48.75" customHeight="1">
      <c r="A24" s="1"/>
      <c r="B24" s="32" t="s">
        <v>249</v>
      </c>
      <c r="C24" s="32" t="s">
        <v>107</v>
      </c>
      <c r="D24" s="32" t="s">
        <v>10</v>
      </c>
      <c r="E24" s="33" t="s">
        <v>11</v>
      </c>
      <c r="F24" s="31"/>
      <c r="G24" s="16">
        <f>G25</f>
        <v>728605</v>
      </c>
      <c r="H24" s="16">
        <f>H25</f>
        <v>10000</v>
      </c>
      <c r="I24" s="16">
        <f>I25</f>
        <v>738605</v>
      </c>
      <c r="J24" s="147"/>
      <c r="K24" s="86"/>
    </row>
    <row r="25" spans="1:11" s="50" customFormat="1" ht="135.75" customHeight="1">
      <c r="A25" s="47"/>
      <c r="B25" s="48" t="s">
        <v>249</v>
      </c>
      <c r="C25" s="48" t="s">
        <v>107</v>
      </c>
      <c r="D25" s="48" t="s">
        <v>10</v>
      </c>
      <c r="E25" s="49" t="s">
        <v>334</v>
      </c>
      <c r="F25" s="49" t="s">
        <v>61</v>
      </c>
      <c r="G25" s="54">
        <f>712000-500+17105</f>
        <v>728605</v>
      </c>
      <c r="H25" s="54">
        <v>10000</v>
      </c>
      <c r="I25" s="54">
        <f>G25+H25</f>
        <v>738605</v>
      </c>
      <c r="J25" s="147"/>
      <c r="K25" s="89"/>
    </row>
    <row r="26" spans="1:11" s="10" customFormat="1" ht="75.75" customHeight="1">
      <c r="A26" s="1"/>
      <c r="B26" s="32" t="s">
        <v>251</v>
      </c>
      <c r="C26" s="32" t="s">
        <v>250</v>
      </c>
      <c r="D26" s="32" t="s">
        <v>14</v>
      </c>
      <c r="E26" s="33" t="s">
        <v>128</v>
      </c>
      <c r="F26" s="31"/>
      <c r="G26" s="16">
        <f>G27+G28</f>
        <v>1028931</v>
      </c>
      <c r="H26" s="16">
        <f>H27+H28</f>
        <v>0</v>
      </c>
      <c r="I26" s="16">
        <f>I27+I28</f>
        <v>1028931</v>
      </c>
      <c r="J26" s="147"/>
      <c r="K26" s="86"/>
    </row>
    <row r="27" spans="1:11" s="50" customFormat="1" ht="117.75" customHeight="1">
      <c r="A27" s="47"/>
      <c r="B27" s="48" t="s">
        <v>251</v>
      </c>
      <c r="C27" s="48" t="s">
        <v>250</v>
      </c>
      <c r="D27" s="48" t="s">
        <v>14</v>
      </c>
      <c r="E27" s="49" t="s">
        <v>401</v>
      </c>
      <c r="F27" s="49" t="s">
        <v>62</v>
      </c>
      <c r="G27" s="54">
        <f>150000+150000+39600+74265+45000+45000+131450+17000+23200</f>
        <v>675515</v>
      </c>
      <c r="H27" s="54">
        <f>22000-22000</f>
        <v>0</v>
      </c>
      <c r="I27" s="54">
        <f>G27+H27</f>
        <v>675515</v>
      </c>
      <c r="J27" s="147"/>
      <c r="K27" s="89"/>
    </row>
    <row r="28" spans="1:11" s="50" customFormat="1" ht="111.75" customHeight="1">
      <c r="A28" s="47"/>
      <c r="B28" s="48" t="s">
        <v>251</v>
      </c>
      <c r="C28" s="48" t="s">
        <v>250</v>
      </c>
      <c r="D28" s="48" t="s">
        <v>14</v>
      </c>
      <c r="E28" s="49" t="s">
        <v>402</v>
      </c>
      <c r="F28" s="46" t="s">
        <v>93</v>
      </c>
      <c r="G28" s="54">
        <f>100000+85000+82816+39600+46000</f>
        <v>353416</v>
      </c>
      <c r="H28" s="54"/>
      <c r="I28" s="54">
        <f>G28+H28</f>
        <v>353416</v>
      </c>
      <c r="J28" s="147"/>
      <c r="K28" s="89"/>
    </row>
    <row r="29" spans="1:11" s="50" customFormat="1" ht="66" customHeight="1">
      <c r="A29" s="47"/>
      <c r="B29" s="32" t="s">
        <v>254</v>
      </c>
      <c r="C29" s="32" t="s">
        <v>253</v>
      </c>
      <c r="D29" s="32"/>
      <c r="E29" s="33" t="s">
        <v>252</v>
      </c>
      <c r="F29" s="31"/>
      <c r="G29" s="16">
        <f>G30+G31</f>
        <v>2064600</v>
      </c>
      <c r="H29" s="16">
        <f>H30+H31</f>
        <v>0</v>
      </c>
      <c r="I29" s="16">
        <f>I30+I31</f>
        <v>2064600</v>
      </c>
      <c r="J29" s="147"/>
      <c r="K29" s="89"/>
    </row>
    <row r="30" spans="1:11" s="50" customFormat="1" ht="105.75" customHeight="1">
      <c r="A30" s="47"/>
      <c r="B30" s="48" t="s">
        <v>257</v>
      </c>
      <c r="C30" s="48" t="s">
        <v>255</v>
      </c>
      <c r="D30" s="48" t="s">
        <v>15</v>
      </c>
      <c r="E30" s="49" t="s">
        <v>130</v>
      </c>
      <c r="F30" s="49" t="s">
        <v>63</v>
      </c>
      <c r="G30" s="54">
        <f>600000+300000+73600+160000+23000-200000</f>
        <v>956600</v>
      </c>
      <c r="H30" s="54"/>
      <c r="I30" s="54">
        <f>G30+H30</f>
        <v>956600</v>
      </c>
      <c r="J30" s="147"/>
      <c r="K30" s="89"/>
    </row>
    <row r="31" spans="1:11" s="50" customFormat="1" ht="126.75" customHeight="1">
      <c r="A31" s="47"/>
      <c r="B31" s="48" t="s">
        <v>258</v>
      </c>
      <c r="C31" s="48" t="s">
        <v>256</v>
      </c>
      <c r="D31" s="48" t="s">
        <v>15</v>
      </c>
      <c r="E31" s="49" t="s">
        <v>16</v>
      </c>
      <c r="F31" s="49" t="s">
        <v>63</v>
      </c>
      <c r="G31" s="54">
        <f>600000+200000+5000+6000+50000-3000+25000+20000+5000+200000</f>
        <v>1108000</v>
      </c>
      <c r="H31" s="54"/>
      <c r="I31" s="54">
        <f>G31+H31</f>
        <v>1108000</v>
      </c>
      <c r="J31" s="147"/>
      <c r="K31" s="89"/>
    </row>
    <row r="32" spans="1:11" s="10" customFormat="1" ht="65.25" customHeight="1">
      <c r="A32" s="1"/>
      <c r="B32" s="32" t="s">
        <v>427</v>
      </c>
      <c r="C32" s="32" t="s">
        <v>359</v>
      </c>
      <c r="D32" s="32"/>
      <c r="E32" s="33" t="s">
        <v>367</v>
      </c>
      <c r="F32" s="31"/>
      <c r="G32" s="16">
        <f>G33+G34</f>
        <v>13801466</v>
      </c>
      <c r="H32" s="16">
        <f>H33+H34</f>
        <v>249000</v>
      </c>
      <c r="I32" s="16">
        <f>I33+I34</f>
        <v>14050466</v>
      </c>
      <c r="J32" s="147"/>
      <c r="K32" s="86"/>
    </row>
    <row r="33" spans="1:11" s="50" customFormat="1" ht="120.75" customHeight="1">
      <c r="A33" s="47"/>
      <c r="B33" s="48" t="s">
        <v>362</v>
      </c>
      <c r="C33" s="48" t="s">
        <v>360</v>
      </c>
      <c r="D33" s="48" t="s">
        <v>15</v>
      </c>
      <c r="E33" s="49" t="s">
        <v>131</v>
      </c>
      <c r="F33" s="49" t="s">
        <v>63</v>
      </c>
      <c r="G33" s="54">
        <f>7111640-53334+88000+10000+11687+20000+100884+50000+10000+251840+3226</f>
        <v>7603943</v>
      </c>
      <c r="H33" s="54">
        <f>239000+10000</f>
        <v>249000</v>
      </c>
      <c r="I33" s="54">
        <f aca="true" t="shared" si="0" ref="I33:I38">G33+H33</f>
        <v>7852943</v>
      </c>
      <c r="J33" s="147"/>
      <c r="K33" s="89"/>
    </row>
    <row r="34" spans="1:11" s="50" customFormat="1" ht="117.75" customHeight="1">
      <c r="A34" s="47"/>
      <c r="B34" s="48" t="s">
        <v>363</v>
      </c>
      <c r="C34" s="48" t="s">
        <v>361</v>
      </c>
      <c r="D34" s="48" t="s">
        <v>15</v>
      </c>
      <c r="E34" s="49" t="s">
        <v>132</v>
      </c>
      <c r="F34" s="49" t="s">
        <v>63</v>
      </c>
      <c r="G34" s="54">
        <f>5968000+10200-152900+18000+19000+30000+44483-9000+10000+259740</f>
        <v>6197523</v>
      </c>
      <c r="H34" s="54"/>
      <c r="I34" s="54">
        <f t="shared" si="0"/>
        <v>6197523</v>
      </c>
      <c r="J34" s="147"/>
      <c r="K34" s="89"/>
    </row>
    <row r="35" spans="1:11" s="50" customFormat="1" ht="96.75" customHeight="1">
      <c r="A35" s="47"/>
      <c r="B35" s="32" t="s">
        <v>376</v>
      </c>
      <c r="C35" s="32" t="s">
        <v>259</v>
      </c>
      <c r="D35" s="32" t="s">
        <v>15</v>
      </c>
      <c r="E35" s="33" t="s">
        <v>357</v>
      </c>
      <c r="F35" s="31"/>
      <c r="G35" s="16">
        <f>G36+G37</f>
        <v>5873211</v>
      </c>
      <c r="H35" s="16">
        <f>H36+H37</f>
        <v>464700</v>
      </c>
      <c r="I35" s="16">
        <f t="shared" si="0"/>
        <v>6337911</v>
      </c>
      <c r="J35" s="147"/>
      <c r="K35" s="89"/>
    </row>
    <row r="36" spans="1:11" s="50" customFormat="1" ht="141.75" customHeight="1">
      <c r="A36" s="47"/>
      <c r="B36" s="48" t="s">
        <v>377</v>
      </c>
      <c r="C36" s="48" t="s">
        <v>366</v>
      </c>
      <c r="D36" s="32" t="s">
        <v>15</v>
      </c>
      <c r="E36" s="49" t="s">
        <v>364</v>
      </c>
      <c r="F36" s="49" t="s">
        <v>63</v>
      </c>
      <c r="G36" s="16">
        <f>2281250+350000+60340+20000+4000+8700+2000-3226</f>
        <v>2723064</v>
      </c>
      <c r="H36" s="54">
        <f>39000+415700</f>
        <v>454700</v>
      </c>
      <c r="I36" s="16">
        <f t="shared" si="0"/>
        <v>3177764</v>
      </c>
      <c r="J36" s="147">
        <v>54</v>
      </c>
      <c r="K36" s="89"/>
    </row>
    <row r="37" spans="1:11" s="50" customFormat="1" ht="165.75" customHeight="1">
      <c r="A37" s="47"/>
      <c r="B37" s="48" t="s">
        <v>378</v>
      </c>
      <c r="C37" s="48" t="s">
        <v>358</v>
      </c>
      <c r="D37" s="48" t="s">
        <v>15</v>
      </c>
      <c r="E37" s="49" t="s">
        <v>365</v>
      </c>
      <c r="F37" s="49" t="s">
        <v>63</v>
      </c>
      <c r="G37" s="54">
        <f>2965750+20000-53973+53170+115200+50000</f>
        <v>3150147</v>
      </c>
      <c r="H37" s="54">
        <v>10000</v>
      </c>
      <c r="I37" s="54">
        <f t="shared" si="0"/>
        <v>3160147</v>
      </c>
      <c r="J37" s="147"/>
      <c r="K37" s="89"/>
    </row>
    <row r="38" spans="2:10" ht="146.25" customHeight="1">
      <c r="B38" s="32" t="s">
        <v>261</v>
      </c>
      <c r="C38" s="32" t="s">
        <v>260</v>
      </c>
      <c r="D38" s="32" t="s">
        <v>67</v>
      </c>
      <c r="E38" s="33" t="s">
        <v>66</v>
      </c>
      <c r="F38" s="31" t="s">
        <v>64</v>
      </c>
      <c r="G38" s="16">
        <f>1604000+700000+601350</f>
        <v>2905350</v>
      </c>
      <c r="H38" s="16"/>
      <c r="I38" s="16">
        <f t="shared" si="0"/>
        <v>2905350</v>
      </c>
      <c r="J38" s="147"/>
    </row>
    <row r="39" spans="2:10" ht="97.5" customHeight="1">
      <c r="B39" s="32" t="s">
        <v>264</v>
      </c>
      <c r="C39" s="32" t="s">
        <v>263</v>
      </c>
      <c r="D39" s="32"/>
      <c r="E39" s="33" t="s">
        <v>262</v>
      </c>
      <c r="F39" s="31"/>
      <c r="G39" s="16">
        <f>G40</f>
        <v>6142986</v>
      </c>
      <c r="H39" s="16">
        <f>H40</f>
        <v>0</v>
      </c>
      <c r="I39" s="16">
        <f>I40</f>
        <v>6142986</v>
      </c>
      <c r="J39" s="147"/>
    </row>
    <row r="40" spans="1:11" s="50" customFormat="1" ht="138" customHeight="1">
      <c r="A40" s="47"/>
      <c r="B40" s="48" t="s">
        <v>266</v>
      </c>
      <c r="C40" s="48" t="s">
        <v>265</v>
      </c>
      <c r="D40" s="48" t="s">
        <v>69</v>
      </c>
      <c r="E40" s="46" t="s">
        <v>68</v>
      </c>
      <c r="F40" s="49" t="s">
        <v>64</v>
      </c>
      <c r="G40" s="54">
        <f>4820000+24336+1298650</f>
        <v>6142986</v>
      </c>
      <c r="H40" s="54"/>
      <c r="I40" s="54">
        <f>G40+H40</f>
        <v>6142986</v>
      </c>
      <c r="J40" s="147"/>
      <c r="K40" s="89"/>
    </row>
    <row r="41" spans="1:11" s="50" customFormat="1" ht="169.5" customHeight="1">
      <c r="A41" s="47"/>
      <c r="B41" s="32" t="s">
        <v>268</v>
      </c>
      <c r="C41" s="32" t="s">
        <v>267</v>
      </c>
      <c r="D41" s="32" t="s">
        <v>18</v>
      </c>
      <c r="E41" s="33" t="s">
        <v>17</v>
      </c>
      <c r="F41" s="31" t="s">
        <v>64</v>
      </c>
      <c r="G41" s="16">
        <f>2578500+132000</f>
        <v>2710500</v>
      </c>
      <c r="H41" s="16">
        <f>2000000-565600</f>
        <v>1434400</v>
      </c>
      <c r="I41" s="16">
        <f>G41+H41</f>
        <v>4144900</v>
      </c>
      <c r="J41" s="147"/>
      <c r="K41" s="89"/>
    </row>
    <row r="42" spans="1:11" s="50" customFormat="1" ht="64.5" customHeight="1">
      <c r="A42" s="47"/>
      <c r="B42" s="32" t="s">
        <v>414</v>
      </c>
      <c r="C42" s="32" t="s">
        <v>415</v>
      </c>
      <c r="D42" s="32" t="s">
        <v>67</v>
      </c>
      <c r="E42" s="33" t="s">
        <v>416</v>
      </c>
      <c r="F42" s="31"/>
      <c r="G42" s="16">
        <f>G43</f>
        <v>33000</v>
      </c>
      <c r="H42" s="16">
        <f>H43</f>
        <v>0</v>
      </c>
      <c r="I42" s="16">
        <f>I43</f>
        <v>33000</v>
      </c>
      <c r="J42" s="147"/>
      <c r="K42" s="89"/>
    </row>
    <row r="43" spans="1:11" s="110" customFormat="1" ht="148.5" customHeight="1">
      <c r="A43" s="108"/>
      <c r="B43" s="48" t="s">
        <v>414</v>
      </c>
      <c r="C43" s="48" t="s">
        <v>415</v>
      </c>
      <c r="D43" s="48" t="s">
        <v>67</v>
      </c>
      <c r="E43" s="109" t="s">
        <v>417</v>
      </c>
      <c r="F43" s="49" t="s">
        <v>64</v>
      </c>
      <c r="G43" s="54">
        <v>33000</v>
      </c>
      <c r="H43" s="54"/>
      <c r="I43" s="54">
        <f>G43+H43</f>
        <v>33000</v>
      </c>
      <c r="J43" s="147"/>
      <c r="K43" s="89"/>
    </row>
    <row r="44" spans="1:11" s="10" customFormat="1" ht="60" customHeight="1">
      <c r="A44" s="1"/>
      <c r="B44" s="32" t="s">
        <v>271</v>
      </c>
      <c r="C44" s="32" t="s">
        <v>270</v>
      </c>
      <c r="D44" s="32"/>
      <c r="E44" s="33" t="s">
        <v>269</v>
      </c>
      <c r="F44" s="31"/>
      <c r="G44" s="16">
        <f>G45</f>
        <v>326084</v>
      </c>
      <c r="H44" s="16">
        <f>H45</f>
        <v>0</v>
      </c>
      <c r="I44" s="16">
        <f>I45</f>
        <v>326084</v>
      </c>
      <c r="J44" s="147"/>
      <c r="K44" s="86"/>
    </row>
    <row r="45" spans="1:11" s="50" customFormat="1" ht="105.75" customHeight="1">
      <c r="A45" s="47"/>
      <c r="B45" s="48" t="s">
        <v>273</v>
      </c>
      <c r="C45" s="48" t="s">
        <v>272</v>
      </c>
      <c r="D45" s="48" t="s">
        <v>58</v>
      </c>
      <c r="E45" s="46" t="s">
        <v>129</v>
      </c>
      <c r="F45" s="49" t="s">
        <v>93</v>
      </c>
      <c r="G45" s="54">
        <f>198000+49584+9000+64500+5000</f>
        <v>326084</v>
      </c>
      <c r="H45" s="54"/>
      <c r="I45" s="54">
        <f>G45+H45</f>
        <v>326084</v>
      </c>
      <c r="J45" s="147"/>
      <c r="K45" s="89"/>
    </row>
    <row r="46" spans="2:10" ht="153" customHeight="1">
      <c r="B46" s="32" t="s">
        <v>275</v>
      </c>
      <c r="C46" s="32" t="s">
        <v>274</v>
      </c>
      <c r="D46" s="32" t="s">
        <v>7</v>
      </c>
      <c r="E46" s="33" t="s">
        <v>133</v>
      </c>
      <c r="F46" s="31" t="s">
        <v>302</v>
      </c>
      <c r="G46" s="16">
        <v>82200</v>
      </c>
      <c r="H46" s="16">
        <v>32000</v>
      </c>
      <c r="I46" s="16">
        <f>G46+H46</f>
        <v>114200</v>
      </c>
      <c r="J46" s="147"/>
    </row>
    <row r="47" spans="2:10" ht="138.75" customHeight="1">
      <c r="B47" s="150" t="s">
        <v>276</v>
      </c>
      <c r="C47" s="150" t="s">
        <v>185</v>
      </c>
      <c r="D47" s="150" t="s">
        <v>6</v>
      </c>
      <c r="E47" s="164" t="s">
        <v>134</v>
      </c>
      <c r="F47" s="31" t="s">
        <v>64</v>
      </c>
      <c r="G47" s="16"/>
      <c r="H47" s="16">
        <f>29100000+13704000+565600+3389700-620000</f>
        <v>46139300</v>
      </c>
      <c r="I47" s="16">
        <f>G47+H47</f>
        <v>46139300</v>
      </c>
      <c r="J47" s="147"/>
    </row>
    <row r="48" spans="2:10" ht="159.75" customHeight="1">
      <c r="B48" s="151"/>
      <c r="C48" s="151"/>
      <c r="D48" s="151"/>
      <c r="E48" s="165"/>
      <c r="F48" s="31" t="s">
        <v>370</v>
      </c>
      <c r="G48" s="16"/>
      <c r="H48" s="16">
        <f>1082000+3074000+400000+69000</f>
        <v>4625000</v>
      </c>
      <c r="I48" s="16">
        <f>G48+H48</f>
        <v>4625000</v>
      </c>
      <c r="J48" s="147"/>
    </row>
    <row r="49" spans="2:10" ht="77.25" customHeight="1">
      <c r="B49" s="32" t="s">
        <v>278</v>
      </c>
      <c r="C49" s="32" t="s">
        <v>277</v>
      </c>
      <c r="D49" s="32" t="s">
        <v>7</v>
      </c>
      <c r="E49" s="33" t="s">
        <v>19</v>
      </c>
      <c r="F49" s="31"/>
      <c r="G49" s="16">
        <f>G50</f>
        <v>294800</v>
      </c>
      <c r="H49" s="16">
        <f>H50</f>
        <v>0</v>
      </c>
      <c r="I49" s="16">
        <f>I50</f>
        <v>294800</v>
      </c>
      <c r="J49" s="147"/>
    </row>
    <row r="50" spans="1:11" s="50" customFormat="1" ht="114.75" customHeight="1">
      <c r="A50" s="47"/>
      <c r="B50" s="48" t="s">
        <v>278</v>
      </c>
      <c r="C50" s="48" t="s">
        <v>277</v>
      </c>
      <c r="D50" s="48" t="s">
        <v>7</v>
      </c>
      <c r="E50" s="46" t="s">
        <v>335</v>
      </c>
      <c r="F50" s="49" t="s">
        <v>93</v>
      </c>
      <c r="G50" s="54">
        <f>139800+500000+80000+75000-500000</f>
        <v>294800</v>
      </c>
      <c r="H50" s="54"/>
      <c r="I50" s="54">
        <f>G50+H50</f>
        <v>294800</v>
      </c>
      <c r="J50" s="147"/>
      <c r="K50" s="89"/>
    </row>
    <row r="51" spans="2:10" ht="197.25" customHeight="1">
      <c r="B51" s="32" t="s">
        <v>280</v>
      </c>
      <c r="C51" s="32" t="s">
        <v>279</v>
      </c>
      <c r="D51" s="32" t="s">
        <v>20</v>
      </c>
      <c r="E51" s="33" t="s">
        <v>135</v>
      </c>
      <c r="F51" s="31" t="s">
        <v>439</v>
      </c>
      <c r="G51" s="16">
        <f>207600+1792+136300-150000</f>
        <v>195692</v>
      </c>
      <c r="H51" s="16">
        <f>385000-180000-205000</f>
        <v>0</v>
      </c>
      <c r="I51" s="16">
        <f>G51+H51</f>
        <v>195692</v>
      </c>
      <c r="J51" s="147">
        <v>55</v>
      </c>
    </row>
    <row r="52" spans="2:10" ht="323.25" customHeight="1">
      <c r="B52" s="150" t="s">
        <v>389</v>
      </c>
      <c r="C52" s="150" t="s">
        <v>390</v>
      </c>
      <c r="D52" s="150" t="s">
        <v>54</v>
      </c>
      <c r="E52" s="164" t="s">
        <v>391</v>
      </c>
      <c r="F52" s="31" t="s">
        <v>392</v>
      </c>
      <c r="G52" s="16">
        <f>70000+90000+4672</f>
        <v>164672</v>
      </c>
      <c r="H52" s="16">
        <f>120000+500000</f>
        <v>620000</v>
      </c>
      <c r="I52" s="16">
        <f>G52+H52</f>
        <v>784672</v>
      </c>
      <c r="J52" s="147"/>
    </row>
    <row r="53" spans="2:10" ht="110.25" customHeight="1">
      <c r="B53" s="141"/>
      <c r="C53" s="141"/>
      <c r="D53" s="141"/>
      <c r="E53" s="137"/>
      <c r="F53" s="37" t="s">
        <v>310</v>
      </c>
      <c r="G53" s="16">
        <f>80000+40000</f>
        <v>120000</v>
      </c>
      <c r="H53" s="16">
        <f>500000+700000+20000+1800000</f>
        <v>3020000</v>
      </c>
      <c r="I53" s="16">
        <f>G53+H53</f>
        <v>3140000</v>
      </c>
      <c r="J53" s="147"/>
    </row>
    <row r="54" spans="2:10" ht="110.25" customHeight="1">
      <c r="B54" s="151"/>
      <c r="C54" s="151"/>
      <c r="D54" s="151"/>
      <c r="E54" s="165"/>
      <c r="F54" s="31" t="s">
        <v>65</v>
      </c>
      <c r="G54" s="16">
        <f>253500+249573+138189+177680+70000</f>
        <v>888942</v>
      </c>
      <c r="H54" s="16">
        <f>50427+385643</f>
        <v>436070</v>
      </c>
      <c r="I54" s="16">
        <f>G54+H54</f>
        <v>1325012</v>
      </c>
      <c r="J54" s="147"/>
    </row>
    <row r="55" spans="2:10" ht="71.25" customHeight="1">
      <c r="B55" s="32" t="s">
        <v>281</v>
      </c>
      <c r="C55" s="32" t="s">
        <v>178</v>
      </c>
      <c r="D55" s="32" t="s">
        <v>23</v>
      </c>
      <c r="E55" s="33" t="s">
        <v>11</v>
      </c>
      <c r="F55" s="31"/>
      <c r="G55" s="16">
        <f>G56+G57+G58+G59+G60+G61+G62+G63</f>
        <v>8366963</v>
      </c>
      <c r="H55" s="16">
        <f>H56+H57+H58+H59+H60+H61+H62+H63</f>
        <v>452593</v>
      </c>
      <c r="I55" s="16">
        <f>I56+I57+I58+I59+I60+I61+I62+I63</f>
        <v>8819556</v>
      </c>
      <c r="J55" s="147"/>
    </row>
    <row r="56" spans="1:11" s="50" customFormat="1" ht="122.25" customHeight="1">
      <c r="A56" s="47"/>
      <c r="B56" s="48" t="s">
        <v>281</v>
      </c>
      <c r="C56" s="48" t="s">
        <v>178</v>
      </c>
      <c r="D56" s="79" t="s">
        <v>23</v>
      </c>
      <c r="E56" s="46" t="s">
        <v>384</v>
      </c>
      <c r="F56" s="49" t="s">
        <v>65</v>
      </c>
      <c r="G56" s="54">
        <f>607700+38239+2089+130000-277718+15000+177000+17000+60000</f>
        <v>769310</v>
      </c>
      <c r="H56" s="54">
        <f>177000-177000</f>
        <v>0</v>
      </c>
      <c r="I56" s="54">
        <f>G56+H56</f>
        <v>769310</v>
      </c>
      <c r="J56" s="147"/>
      <c r="K56" s="89"/>
    </row>
    <row r="57" spans="1:11" s="50" customFormat="1" ht="103.5" customHeight="1">
      <c r="A57" s="47"/>
      <c r="B57" s="48" t="s">
        <v>281</v>
      </c>
      <c r="C57" s="48" t="s">
        <v>178</v>
      </c>
      <c r="D57" s="79" t="s">
        <v>23</v>
      </c>
      <c r="E57" s="46" t="s">
        <v>423</v>
      </c>
      <c r="F57" s="51" t="s">
        <v>310</v>
      </c>
      <c r="G57" s="54">
        <f>80290+80290</f>
        <v>160580</v>
      </c>
      <c r="H57" s="54"/>
      <c r="I57" s="54">
        <f>G57+H57</f>
        <v>160580</v>
      </c>
      <c r="J57" s="147"/>
      <c r="K57" s="89"/>
    </row>
    <row r="58" spans="1:11" s="50" customFormat="1" ht="158.25" customHeight="1">
      <c r="A58" s="47"/>
      <c r="B58" s="48" t="s">
        <v>281</v>
      </c>
      <c r="C58" s="48" t="s">
        <v>178</v>
      </c>
      <c r="D58" s="79" t="s">
        <v>23</v>
      </c>
      <c r="E58" s="46" t="s">
        <v>337</v>
      </c>
      <c r="F58" s="49" t="s">
        <v>370</v>
      </c>
      <c r="G58" s="54">
        <f>194200+843700-194200+3021900+110000+1272218-833018</f>
        <v>4414800</v>
      </c>
      <c r="H58" s="54">
        <f>90000+2997000+229000-510000+277718-2764718+870000-870000</f>
        <v>319000</v>
      </c>
      <c r="I58" s="54">
        <f aca="true" t="shared" si="1" ref="I58:I63">SUM(G58:H58)</f>
        <v>4733800</v>
      </c>
      <c r="J58" s="147"/>
      <c r="K58" s="89"/>
    </row>
    <row r="59" spans="1:11" s="50" customFormat="1" ht="143.25" customHeight="1">
      <c r="A59" s="47"/>
      <c r="B59" s="48" t="s">
        <v>281</v>
      </c>
      <c r="C59" s="48" t="s">
        <v>178</v>
      </c>
      <c r="D59" s="79" t="s">
        <v>23</v>
      </c>
      <c r="E59" s="46" t="s">
        <v>335</v>
      </c>
      <c r="F59" s="49" t="s">
        <v>93</v>
      </c>
      <c r="G59" s="54">
        <f>962400+50000-50000+188170+140780-46400</f>
        <v>1244950</v>
      </c>
      <c r="H59" s="54">
        <v>26000</v>
      </c>
      <c r="I59" s="54">
        <f t="shared" si="1"/>
        <v>1270950</v>
      </c>
      <c r="J59" s="147"/>
      <c r="K59" s="89"/>
    </row>
    <row r="60" spans="1:11" s="50" customFormat="1" ht="93" customHeight="1">
      <c r="A60" s="47"/>
      <c r="B60" s="48" t="s">
        <v>281</v>
      </c>
      <c r="C60" s="48" t="s">
        <v>178</v>
      </c>
      <c r="D60" s="79" t="s">
        <v>23</v>
      </c>
      <c r="E60" s="46" t="s">
        <v>336</v>
      </c>
      <c r="F60" s="49" t="s">
        <v>63</v>
      </c>
      <c r="G60" s="54">
        <f>1229100+80000-29921+236744</f>
        <v>1515923</v>
      </c>
      <c r="H60" s="54">
        <v>107593</v>
      </c>
      <c r="I60" s="54">
        <f t="shared" si="1"/>
        <v>1623516</v>
      </c>
      <c r="J60" s="147"/>
      <c r="K60" s="89"/>
    </row>
    <row r="61" spans="1:11" s="50" customFormat="1" ht="167.25" customHeight="1">
      <c r="A61" s="47"/>
      <c r="B61" s="48" t="s">
        <v>281</v>
      </c>
      <c r="C61" s="48" t="s">
        <v>178</v>
      </c>
      <c r="D61" s="79" t="s">
        <v>23</v>
      </c>
      <c r="E61" s="46" t="s">
        <v>422</v>
      </c>
      <c r="F61" s="49" t="s">
        <v>435</v>
      </c>
      <c r="G61" s="54">
        <f>100000+25000-13600</f>
        <v>111400</v>
      </c>
      <c r="H61" s="54"/>
      <c r="I61" s="54">
        <f t="shared" si="1"/>
        <v>111400</v>
      </c>
      <c r="J61" s="147"/>
      <c r="K61" s="89"/>
    </row>
    <row r="62" spans="1:11" s="50" customFormat="1" ht="194.25" customHeight="1">
      <c r="A62" s="47"/>
      <c r="B62" s="48" t="s">
        <v>281</v>
      </c>
      <c r="C62" s="48" t="s">
        <v>178</v>
      </c>
      <c r="D62" s="79" t="s">
        <v>23</v>
      </c>
      <c r="E62" s="46" t="s">
        <v>371</v>
      </c>
      <c r="F62" s="49" t="s">
        <v>434</v>
      </c>
      <c r="G62" s="54">
        <v>100000</v>
      </c>
      <c r="H62" s="54"/>
      <c r="I62" s="54">
        <f t="shared" si="1"/>
        <v>100000</v>
      </c>
      <c r="J62" s="147"/>
      <c r="K62" s="89"/>
    </row>
    <row r="63" spans="1:11" s="50" customFormat="1" ht="218.25" customHeight="1">
      <c r="A63" s="47"/>
      <c r="B63" s="48" t="s">
        <v>281</v>
      </c>
      <c r="C63" s="48" t="s">
        <v>178</v>
      </c>
      <c r="D63" s="79" t="s">
        <v>23</v>
      </c>
      <c r="E63" s="46" t="s">
        <v>399</v>
      </c>
      <c r="F63" s="49" t="s">
        <v>439</v>
      </c>
      <c r="G63" s="54">
        <v>50000</v>
      </c>
      <c r="H63" s="54"/>
      <c r="I63" s="54">
        <f t="shared" si="1"/>
        <v>50000</v>
      </c>
      <c r="J63" s="147">
        <v>56</v>
      </c>
      <c r="K63" s="89"/>
    </row>
    <row r="64" spans="1:11" s="10" customFormat="1" ht="68.25" customHeight="1">
      <c r="A64" s="1"/>
      <c r="B64" s="32" t="s">
        <v>398</v>
      </c>
      <c r="C64" s="32" t="s">
        <v>180</v>
      </c>
      <c r="D64" s="101" t="s">
        <v>54</v>
      </c>
      <c r="E64" s="33" t="s">
        <v>55</v>
      </c>
      <c r="F64" s="31"/>
      <c r="G64" s="16">
        <f>G65+G66</f>
        <v>218271</v>
      </c>
      <c r="H64" s="16">
        <f>H65+H66</f>
        <v>54200</v>
      </c>
      <c r="I64" s="16">
        <f>I65+I66</f>
        <v>272471</v>
      </c>
      <c r="J64" s="147"/>
      <c r="K64" s="86"/>
    </row>
    <row r="65" spans="1:11" s="50" customFormat="1" ht="107.25" customHeight="1">
      <c r="A65" s="47"/>
      <c r="B65" s="48" t="s">
        <v>398</v>
      </c>
      <c r="C65" s="48" t="s">
        <v>180</v>
      </c>
      <c r="D65" s="79" t="s">
        <v>54</v>
      </c>
      <c r="E65" s="49" t="s">
        <v>418</v>
      </c>
      <c r="F65" s="51" t="s">
        <v>310</v>
      </c>
      <c r="G65" s="54">
        <v>119492</v>
      </c>
      <c r="H65" s="54"/>
      <c r="I65" s="54">
        <f>SUM(G65:H65)</f>
        <v>119492</v>
      </c>
      <c r="J65" s="147"/>
      <c r="K65" s="89"/>
    </row>
    <row r="66" spans="1:11" s="50" customFormat="1" ht="107.25" customHeight="1">
      <c r="A66" s="47"/>
      <c r="B66" s="48" t="s">
        <v>398</v>
      </c>
      <c r="C66" s="48" t="s">
        <v>180</v>
      </c>
      <c r="D66" s="79" t="s">
        <v>54</v>
      </c>
      <c r="E66" s="46" t="s">
        <v>423</v>
      </c>
      <c r="F66" s="51" t="s">
        <v>310</v>
      </c>
      <c r="G66" s="54">
        <f>22800+61430+14549</f>
        <v>98779</v>
      </c>
      <c r="H66" s="54">
        <v>54200</v>
      </c>
      <c r="I66" s="54">
        <f>SUM(G66:H66)</f>
        <v>152979</v>
      </c>
      <c r="J66" s="147"/>
      <c r="K66" s="89"/>
    </row>
    <row r="67" spans="2:10" ht="141" customHeight="1">
      <c r="B67" s="32" t="s">
        <v>282</v>
      </c>
      <c r="C67" s="32" t="s">
        <v>182</v>
      </c>
      <c r="D67" s="32" t="s">
        <v>21</v>
      </c>
      <c r="E67" s="33" t="s">
        <v>83</v>
      </c>
      <c r="F67" s="34" t="s">
        <v>436</v>
      </c>
      <c r="G67" s="16"/>
      <c r="H67" s="16">
        <v>58563</v>
      </c>
      <c r="I67" s="16">
        <f>G67+H67</f>
        <v>58563</v>
      </c>
      <c r="J67" s="147"/>
    </row>
    <row r="68" spans="2:10" ht="150" customHeight="1">
      <c r="B68" s="32" t="s">
        <v>331</v>
      </c>
      <c r="C68" s="32" t="s">
        <v>186</v>
      </c>
      <c r="D68" s="32" t="s">
        <v>23</v>
      </c>
      <c r="E68" s="33" t="s">
        <v>22</v>
      </c>
      <c r="F68" s="31" t="s">
        <v>93</v>
      </c>
      <c r="G68" s="16"/>
      <c r="H68" s="16">
        <v>9600</v>
      </c>
      <c r="I68" s="16">
        <f>G68+H68</f>
        <v>9600</v>
      </c>
      <c r="J68" s="147"/>
    </row>
    <row r="69" spans="2:12" ht="107.25" customHeight="1">
      <c r="B69" s="32"/>
      <c r="C69" s="32"/>
      <c r="D69" s="32"/>
      <c r="E69" s="68" t="s">
        <v>26</v>
      </c>
      <c r="F69" s="31"/>
      <c r="G69" s="105">
        <f>G70+G71+G72+G73+G74+G75+G76+G77+G79+G80+G82+G84+G86+G87+G89+G91+G92+G94+G95+G96+G78+G81+G83+G85+G90</f>
        <v>36733781.14</v>
      </c>
      <c r="H69" s="105">
        <f>H70+H71+H72+H73+H74+H75+H76+H77+H79+H80+H82+H84+H86+H87+H89+H91+H92+H94+H95+H96+H78+H81+H83+H85+H90</f>
        <v>48500305</v>
      </c>
      <c r="I69" s="105">
        <f>I70+I71+I72+I73+I74+I75+I76+I77+I79+I80+I82+I84+I86+I87+I89+I91+I92+I94+I95+I96+I78+I81+I83+I85+I90</f>
        <v>85234086.14</v>
      </c>
      <c r="J69" s="147"/>
      <c r="K69" s="90"/>
      <c r="L69" s="85"/>
    </row>
    <row r="70" spans="1:11" s="8" customFormat="1" ht="116.25" customHeight="1">
      <c r="A70" s="7"/>
      <c r="B70" s="32" t="s">
        <v>120</v>
      </c>
      <c r="C70" s="32" t="s">
        <v>54</v>
      </c>
      <c r="D70" s="32" t="s">
        <v>2</v>
      </c>
      <c r="E70" s="33" t="s">
        <v>379</v>
      </c>
      <c r="F70" s="31" t="s">
        <v>93</v>
      </c>
      <c r="G70" s="16">
        <v>30000</v>
      </c>
      <c r="H70" s="16"/>
      <c r="I70" s="16">
        <f>G70+H70</f>
        <v>30000</v>
      </c>
      <c r="J70" s="147"/>
      <c r="K70" s="91"/>
    </row>
    <row r="71" spans="2:10" ht="112.5" customHeight="1">
      <c r="B71" s="149" t="s">
        <v>234</v>
      </c>
      <c r="C71" s="149" t="s">
        <v>96</v>
      </c>
      <c r="D71" s="149" t="s">
        <v>27</v>
      </c>
      <c r="E71" s="138" t="s">
        <v>125</v>
      </c>
      <c r="F71" s="31" t="s">
        <v>60</v>
      </c>
      <c r="G71" s="16">
        <v>7372</v>
      </c>
      <c r="H71" s="16"/>
      <c r="I71" s="16">
        <f aca="true" t="shared" si="2" ref="I71:I96">G71+H71</f>
        <v>7372</v>
      </c>
      <c r="J71" s="147"/>
    </row>
    <row r="72" spans="2:10" ht="147" customHeight="1">
      <c r="B72" s="149"/>
      <c r="C72" s="149"/>
      <c r="D72" s="149"/>
      <c r="E72" s="138"/>
      <c r="F72" s="31" t="s">
        <v>432</v>
      </c>
      <c r="G72" s="16">
        <v>750000</v>
      </c>
      <c r="H72" s="16"/>
      <c r="I72" s="16">
        <f t="shared" si="2"/>
        <v>750000</v>
      </c>
      <c r="J72" s="147"/>
    </row>
    <row r="73" spans="2:10" ht="195" customHeight="1">
      <c r="B73" s="149"/>
      <c r="C73" s="149"/>
      <c r="D73" s="149"/>
      <c r="E73" s="138"/>
      <c r="F73" s="31" t="s">
        <v>350</v>
      </c>
      <c r="G73" s="16">
        <f>7931082.16+1200+1000</f>
        <v>7933282.16</v>
      </c>
      <c r="H73" s="16"/>
      <c r="I73" s="16">
        <f t="shared" si="2"/>
        <v>7933282.16</v>
      </c>
      <c r="J73" s="147"/>
    </row>
    <row r="74" spans="2:10" ht="190.5" customHeight="1">
      <c r="B74" s="149"/>
      <c r="C74" s="149"/>
      <c r="D74" s="149"/>
      <c r="E74" s="138"/>
      <c r="F74" s="31" t="s">
        <v>80</v>
      </c>
      <c r="G74" s="16"/>
      <c r="H74" s="16">
        <f>4227000+46000+188000+49500+110500+23000+5000+16620+20000+16996+17900+57059+66900+566532+20000+9900+245000+60000+48750-80000+1625000+141099-31400+38709+26730+891000+7400+89861+60000+1800</f>
        <v>8564856</v>
      </c>
      <c r="I74" s="16">
        <f t="shared" si="2"/>
        <v>8564856</v>
      </c>
      <c r="J74" s="147"/>
    </row>
    <row r="75" spans="2:10" ht="93.75" customHeight="1">
      <c r="B75" s="149" t="s">
        <v>235</v>
      </c>
      <c r="C75" s="149" t="s">
        <v>82</v>
      </c>
      <c r="D75" s="149" t="s">
        <v>28</v>
      </c>
      <c r="E75" s="139" t="s">
        <v>136</v>
      </c>
      <c r="F75" s="31" t="s">
        <v>60</v>
      </c>
      <c r="G75" s="16">
        <v>30394</v>
      </c>
      <c r="H75" s="16"/>
      <c r="I75" s="16">
        <f t="shared" si="2"/>
        <v>30394</v>
      </c>
      <c r="J75" s="147"/>
    </row>
    <row r="76" spans="2:10" ht="138.75" customHeight="1">
      <c r="B76" s="149"/>
      <c r="C76" s="149"/>
      <c r="D76" s="149"/>
      <c r="E76" s="140"/>
      <c r="F76" s="31" t="s">
        <v>432</v>
      </c>
      <c r="G76" s="16">
        <v>940000</v>
      </c>
      <c r="H76" s="16"/>
      <c r="I76" s="16">
        <f t="shared" si="2"/>
        <v>940000</v>
      </c>
      <c r="J76" s="147"/>
    </row>
    <row r="77" spans="2:10" ht="156.75" customHeight="1">
      <c r="B77" s="149"/>
      <c r="C77" s="149"/>
      <c r="D77" s="149"/>
      <c r="E77" s="140"/>
      <c r="F77" s="31" t="s">
        <v>370</v>
      </c>
      <c r="G77" s="16">
        <v>366200</v>
      </c>
      <c r="H77" s="16"/>
      <c r="I77" s="16">
        <f t="shared" si="2"/>
        <v>366200</v>
      </c>
      <c r="J77" s="147">
        <v>57</v>
      </c>
    </row>
    <row r="78" spans="2:10" ht="141.75" customHeight="1">
      <c r="B78" s="149"/>
      <c r="C78" s="149"/>
      <c r="D78" s="149"/>
      <c r="E78" s="140"/>
      <c r="F78" s="31" t="s">
        <v>403</v>
      </c>
      <c r="G78" s="16"/>
      <c r="H78" s="16">
        <v>18000</v>
      </c>
      <c r="I78" s="16">
        <f t="shared" si="2"/>
        <v>18000</v>
      </c>
      <c r="J78" s="147"/>
    </row>
    <row r="79" spans="2:10" ht="183.75" customHeight="1">
      <c r="B79" s="149"/>
      <c r="C79" s="149"/>
      <c r="D79" s="149"/>
      <c r="E79" s="116"/>
      <c r="F79" s="31" t="s">
        <v>350</v>
      </c>
      <c r="G79" s="16">
        <f>15178543.98-15600</f>
        <v>15162943.98</v>
      </c>
      <c r="H79" s="16"/>
      <c r="I79" s="16">
        <f t="shared" si="2"/>
        <v>15162943.98</v>
      </c>
      <c r="J79" s="147"/>
    </row>
    <row r="80" spans="2:10" ht="191.25" customHeight="1">
      <c r="B80" s="149"/>
      <c r="C80" s="149"/>
      <c r="D80" s="149"/>
      <c r="E80" s="117"/>
      <c r="F80" s="31" t="s">
        <v>80</v>
      </c>
      <c r="G80" s="16"/>
      <c r="H80" s="16">
        <f>24750291+1286398+10092+15033-18000</f>
        <v>26043814</v>
      </c>
      <c r="I80" s="16">
        <f t="shared" si="2"/>
        <v>26043814</v>
      </c>
      <c r="J80" s="147"/>
    </row>
    <row r="81" spans="2:10" ht="209.25" customHeight="1">
      <c r="B81" s="166" t="s">
        <v>236</v>
      </c>
      <c r="C81" s="166" t="s">
        <v>37</v>
      </c>
      <c r="D81" s="150" t="s">
        <v>81</v>
      </c>
      <c r="E81" s="164" t="s">
        <v>137</v>
      </c>
      <c r="F81" s="31" t="s">
        <v>350</v>
      </c>
      <c r="G81" s="16">
        <v>118924</v>
      </c>
      <c r="H81" s="16"/>
      <c r="I81" s="16">
        <f t="shared" si="2"/>
        <v>118924</v>
      </c>
      <c r="J81" s="147"/>
    </row>
    <row r="82" spans="2:10" ht="207.75" customHeight="1">
      <c r="B82" s="167"/>
      <c r="C82" s="167"/>
      <c r="D82" s="151"/>
      <c r="E82" s="165"/>
      <c r="F82" s="31" t="s">
        <v>80</v>
      </c>
      <c r="G82" s="16"/>
      <c r="H82" s="16">
        <v>226717</v>
      </c>
      <c r="I82" s="16">
        <f t="shared" si="2"/>
        <v>226717</v>
      </c>
      <c r="J82" s="147"/>
    </row>
    <row r="83" spans="2:10" ht="195.75" customHeight="1">
      <c r="B83" s="166" t="s">
        <v>237</v>
      </c>
      <c r="C83" s="166" t="s">
        <v>9</v>
      </c>
      <c r="D83" s="150" t="s">
        <v>75</v>
      </c>
      <c r="E83" s="164" t="s">
        <v>138</v>
      </c>
      <c r="F83" s="31" t="s">
        <v>350</v>
      </c>
      <c r="G83" s="16">
        <v>452533</v>
      </c>
      <c r="H83" s="16"/>
      <c r="I83" s="16">
        <f t="shared" si="2"/>
        <v>452533</v>
      </c>
      <c r="J83" s="147"/>
    </row>
    <row r="84" spans="2:10" ht="200.25" customHeight="1">
      <c r="B84" s="167"/>
      <c r="C84" s="167"/>
      <c r="D84" s="151"/>
      <c r="E84" s="165"/>
      <c r="F84" s="31" t="s">
        <v>80</v>
      </c>
      <c r="G84" s="16"/>
      <c r="H84" s="16">
        <f>600000-2807+2400+80000</f>
        <v>679593</v>
      </c>
      <c r="I84" s="16">
        <f t="shared" si="2"/>
        <v>679593</v>
      </c>
      <c r="J84" s="147"/>
    </row>
    <row r="85" spans="2:10" ht="188.25" customHeight="1">
      <c r="B85" s="166" t="s">
        <v>238</v>
      </c>
      <c r="C85" s="166" t="s">
        <v>97</v>
      </c>
      <c r="D85" s="150" t="s">
        <v>29</v>
      </c>
      <c r="E85" s="164" t="s">
        <v>139</v>
      </c>
      <c r="F85" s="31" t="s">
        <v>350</v>
      </c>
      <c r="G85" s="16">
        <v>287223</v>
      </c>
      <c r="H85" s="16"/>
      <c r="I85" s="16">
        <f t="shared" si="2"/>
        <v>287223</v>
      </c>
      <c r="J85" s="147"/>
    </row>
    <row r="86" spans="2:10" ht="195" customHeight="1">
      <c r="B86" s="167"/>
      <c r="C86" s="167"/>
      <c r="D86" s="151"/>
      <c r="E86" s="165"/>
      <c r="F86" s="31" t="s">
        <v>80</v>
      </c>
      <c r="G86" s="16"/>
      <c r="H86" s="16">
        <f>150000+17500</f>
        <v>167500</v>
      </c>
      <c r="I86" s="16">
        <f t="shared" si="2"/>
        <v>167500</v>
      </c>
      <c r="J86" s="147"/>
    </row>
    <row r="87" spans="2:10" ht="96" customHeight="1">
      <c r="B87" s="35" t="s">
        <v>239</v>
      </c>
      <c r="C87" s="35" t="s">
        <v>98</v>
      </c>
      <c r="D87" s="32" t="s">
        <v>29</v>
      </c>
      <c r="E87" s="33" t="s">
        <v>72</v>
      </c>
      <c r="F87" s="31"/>
      <c r="G87" s="16">
        <f>G88</f>
        <v>73780</v>
      </c>
      <c r="H87" s="16">
        <f>H88</f>
        <v>0</v>
      </c>
      <c r="I87" s="16">
        <f>I88</f>
        <v>73780</v>
      </c>
      <c r="J87" s="147">
        <v>58</v>
      </c>
    </row>
    <row r="88" spans="1:11" s="50" customFormat="1" ht="192" customHeight="1">
      <c r="A88" s="47"/>
      <c r="B88" s="55" t="s">
        <v>239</v>
      </c>
      <c r="C88" s="55" t="s">
        <v>98</v>
      </c>
      <c r="D88" s="48" t="s">
        <v>29</v>
      </c>
      <c r="E88" s="46" t="s">
        <v>332</v>
      </c>
      <c r="F88" s="49" t="s">
        <v>79</v>
      </c>
      <c r="G88" s="54">
        <v>73780</v>
      </c>
      <c r="H88" s="54"/>
      <c r="I88" s="54">
        <f t="shared" si="2"/>
        <v>73780</v>
      </c>
      <c r="J88" s="147"/>
      <c r="K88" s="89"/>
    </row>
    <row r="89" spans="2:10" ht="94.5" customHeight="1">
      <c r="B89" s="154" t="s">
        <v>240</v>
      </c>
      <c r="C89" s="154" t="s">
        <v>106</v>
      </c>
      <c r="D89" s="149" t="s">
        <v>10</v>
      </c>
      <c r="E89" s="161" t="s">
        <v>127</v>
      </c>
      <c r="F89" s="31" t="s">
        <v>62</v>
      </c>
      <c r="G89" s="16">
        <f>2330000+355600</f>
        <v>2685600</v>
      </c>
      <c r="H89" s="16"/>
      <c r="I89" s="16">
        <f t="shared" si="2"/>
        <v>2685600</v>
      </c>
      <c r="J89" s="147"/>
    </row>
    <row r="90" spans="2:10" ht="121.5" customHeight="1">
      <c r="B90" s="154"/>
      <c r="C90" s="154"/>
      <c r="D90" s="149"/>
      <c r="E90" s="161"/>
      <c r="F90" s="31" t="s">
        <v>60</v>
      </c>
      <c r="G90" s="16">
        <v>79520</v>
      </c>
      <c r="H90" s="16"/>
      <c r="I90" s="16">
        <f t="shared" si="2"/>
        <v>79520</v>
      </c>
      <c r="J90" s="147"/>
    </row>
    <row r="91" spans="2:10" ht="154.5" customHeight="1">
      <c r="B91" s="154"/>
      <c r="C91" s="154"/>
      <c r="D91" s="149"/>
      <c r="E91" s="161"/>
      <c r="F91" s="31" t="s">
        <v>432</v>
      </c>
      <c r="G91" s="16">
        <f>2670000+511280-79520-299113-11892</f>
        <v>2790755</v>
      </c>
      <c r="H91" s="16"/>
      <c r="I91" s="16">
        <f t="shared" si="2"/>
        <v>2790755</v>
      </c>
      <c r="J91" s="147"/>
    </row>
    <row r="92" spans="2:10" ht="73.5" customHeight="1">
      <c r="B92" s="35" t="s">
        <v>368</v>
      </c>
      <c r="C92" s="35" t="s">
        <v>359</v>
      </c>
      <c r="D92" s="32"/>
      <c r="E92" s="33" t="s">
        <v>367</v>
      </c>
      <c r="F92" s="31"/>
      <c r="G92" s="16">
        <f>G93</f>
        <v>3922358</v>
      </c>
      <c r="H92" s="16">
        <f>H93</f>
        <v>0</v>
      </c>
      <c r="I92" s="16">
        <f>I93</f>
        <v>3922358</v>
      </c>
      <c r="J92" s="147"/>
    </row>
    <row r="93" spans="1:11" s="50" customFormat="1" ht="129" customHeight="1">
      <c r="A93" s="47"/>
      <c r="B93" s="48" t="s">
        <v>369</v>
      </c>
      <c r="C93" s="48" t="s">
        <v>360</v>
      </c>
      <c r="D93" s="48" t="s">
        <v>15</v>
      </c>
      <c r="E93" s="46" t="s">
        <v>131</v>
      </c>
      <c r="F93" s="46" t="s">
        <v>63</v>
      </c>
      <c r="G93" s="54">
        <f>3585110+126200-33792+10000+9100+11000+37000+40000+137740</f>
        <v>3922358</v>
      </c>
      <c r="H93" s="54"/>
      <c r="I93" s="54">
        <f t="shared" si="2"/>
        <v>3922358</v>
      </c>
      <c r="J93" s="147"/>
      <c r="K93" s="89"/>
    </row>
    <row r="94" spans="1:11" s="62" customFormat="1" ht="168" customHeight="1">
      <c r="A94" s="61"/>
      <c r="B94" s="32" t="s">
        <v>300</v>
      </c>
      <c r="C94" s="32" t="s">
        <v>225</v>
      </c>
      <c r="D94" s="32" t="s">
        <v>48</v>
      </c>
      <c r="E94" s="33" t="s">
        <v>160</v>
      </c>
      <c r="F94" s="31" t="s">
        <v>435</v>
      </c>
      <c r="G94" s="16">
        <f>569500+75000+248588+20000+9808+180000</f>
        <v>1102896</v>
      </c>
      <c r="H94" s="16">
        <f>3794460+18000+600000+80500+98500+80000+5950000+200000+76713+2557085-950000-15033</f>
        <v>12490225</v>
      </c>
      <c r="I94" s="54">
        <f t="shared" si="2"/>
        <v>13593121</v>
      </c>
      <c r="J94" s="147"/>
      <c r="K94" s="92"/>
    </row>
    <row r="95" spans="2:10" ht="159" customHeight="1">
      <c r="B95" s="35" t="s">
        <v>241</v>
      </c>
      <c r="C95" s="35" t="s">
        <v>182</v>
      </c>
      <c r="D95" s="32" t="s">
        <v>21</v>
      </c>
      <c r="E95" s="33" t="s">
        <v>83</v>
      </c>
      <c r="F95" s="33" t="s">
        <v>436</v>
      </c>
      <c r="G95" s="16"/>
      <c r="H95" s="16">
        <v>44600</v>
      </c>
      <c r="I95" s="16">
        <f t="shared" si="2"/>
        <v>44600</v>
      </c>
      <c r="J95" s="147"/>
    </row>
    <row r="96" spans="2:10" ht="163.5" customHeight="1">
      <c r="B96" s="35" t="s">
        <v>242</v>
      </c>
      <c r="C96" s="35" t="s">
        <v>199</v>
      </c>
      <c r="D96" s="32" t="s">
        <v>31</v>
      </c>
      <c r="E96" s="33" t="s">
        <v>30</v>
      </c>
      <c r="F96" s="33" t="s">
        <v>436</v>
      </c>
      <c r="G96" s="16"/>
      <c r="H96" s="16">
        <v>265000</v>
      </c>
      <c r="I96" s="16">
        <f t="shared" si="2"/>
        <v>265000</v>
      </c>
      <c r="J96" s="147"/>
    </row>
    <row r="97" spans="2:11" ht="97.5" customHeight="1">
      <c r="B97" s="32"/>
      <c r="C97" s="32"/>
      <c r="D97" s="32"/>
      <c r="E97" s="68" t="s">
        <v>32</v>
      </c>
      <c r="F97" s="33"/>
      <c r="G97" s="105">
        <f>SUM(G98:G109)</f>
        <v>2784470</v>
      </c>
      <c r="H97" s="105">
        <f>SUM(H98:H109)</f>
        <v>55206908</v>
      </c>
      <c r="I97" s="105">
        <f>SUM(I98:I109)</f>
        <v>57991378</v>
      </c>
      <c r="J97" s="147"/>
      <c r="K97" s="90"/>
    </row>
    <row r="98" spans="2:10" ht="153.75" customHeight="1">
      <c r="B98" s="32" t="s">
        <v>121</v>
      </c>
      <c r="C98" s="32" t="s">
        <v>54</v>
      </c>
      <c r="D98" s="32" t="s">
        <v>2</v>
      </c>
      <c r="E98" s="33" t="s">
        <v>379</v>
      </c>
      <c r="F98" s="31" t="s">
        <v>93</v>
      </c>
      <c r="G98" s="16">
        <f>5000</f>
        <v>5000</v>
      </c>
      <c r="H98" s="105"/>
      <c r="I98" s="16">
        <f aca="true" t="shared" si="3" ref="I98:I109">G98+H98</f>
        <v>5000</v>
      </c>
      <c r="J98" s="147"/>
    </row>
    <row r="99" spans="2:10" ht="246.75" customHeight="1">
      <c r="B99" s="166" t="s">
        <v>162</v>
      </c>
      <c r="C99" s="166" t="s">
        <v>99</v>
      </c>
      <c r="D99" s="150" t="s">
        <v>33</v>
      </c>
      <c r="E99" s="164" t="s">
        <v>140</v>
      </c>
      <c r="F99" s="34" t="s">
        <v>440</v>
      </c>
      <c r="G99" s="16">
        <f>42100+33000+235000+489050+70000+41750+195000</f>
        <v>1105900</v>
      </c>
      <c r="H99" s="16">
        <f>22150000+2500000+3000000+2025000+368050+35000+300000+20000+12300+67000-489050+10000+15000+7200000+12000+151000+102000+3400000+314200+3314000-19700</f>
        <v>44486800</v>
      </c>
      <c r="I99" s="16">
        <f t="shared" si="3"/>
        <v>45592700</v>
      </c>
      <c r="J99" s="147"/>
    </row>
    <row r="100" spans="2:10" ht="141.75" customHeight="1">
      <c r="B100" s="167"/>
      <c r="C100" s="167"/>
      <c r="D100" s="151"/>
      <c r="E100" s="165"/>
      <c r="F100" s="34" t="s">
        <v>432</v>
      </c>
      <c r="G100" s="16">
        <v>238574</v>
      </c>
      <c r="H100" s="16"/>
      <c r="I100" s="16">
        <f t="shared" si="3"/>
        <v>238574</v>
      </c>
      <c r="J100" s="147">
        <v>59</v>
      </c>
    </row>
    <row r="101" spans="2:10" ht="240.75" customHeight="1">
      <c r="B101" s="166" t="s">
        <v>163</v>
      </c>
      <c r="C101" s="166" t="s">
        <v>100</v>
      </c>
      <c r="D101" s="150" t="s">
        <v>34</v>
      </c>
      <c r="E101" s="164" t="s">
        <v>141</v>
      </c>
      <c r="F101" s="34" t="s">
        <v>440</v>
      </c>
      <c r="G101" s="16">
        <f>150000+15000</f>
        <v>165000</v>
      </c>
      <c r="H101" s="16">
        <v>3500000</v>
      </c>
      <c r="I101" s="16">
        <f t="shared" si="3"/>
        <v>3665000</v>
      </c>
      <c r="J101" s="147"/>
    </row>
    <row r="102" spans="2:10" ht="177.75" customHeight="1">
      <c r="B102" s="167"/>
      <c r="C102" s="167"/>
      <c r="D102" s="151"/>
      <c r="E102" s="165"/>
      <c r="F102" s="34" t="s">
        <v>432</v>
      </c>
      <c r="G102" s="16">
        <v>58344</v>
      </c>
      <c r="H102" s="16"/>
      <c r="I102" s="16">
        <f t="shared" si="3"/>
        <v>58344</v>
      </c>
      <c r="J102" s="147"/>
    </row>
    <row r="103" spans="2:10" ht="231.75" customHeight="1">
      <c r="B103" s="166" t="s">
        <v>164</v>
      </c>
      <c r="C103" s="166" t="s">
        <v>101</v>
      </c>
      <c r="D103" s="150" t="s">
        <v>35</v>
      </c>
      <c r="E103" s="164" t="s">
        <v>142</v>
      </c>
      <c r="F103" s="34" t="s">
        <v>440</v>
      </c>
      <c r="G103" s="16"/>
      <c r="H103" s="16">
        <f>1000000+216000</f>
        <v>1216000</v>
      </c>
      <c r="I103" s="16">
        <f t="shared" si="3"/>
        <v>1216000</v>
      </c>
      <c r="J103" s="147"/>
    </row>
    <row r="104" spans="2:10" ht="156.75" customHeight="1">
      <c r="B104" s="167"/>
      <c r="C104" s="167"/>
      <c r="D104" s="151"/>
      <c r="E104" s="165"/>
      <c r="F104" s="34" t="s">
        <v>432</v>
      </c>
      <c r="G104" s="16">
        <v>1800</v>
      </c>
      <c r="H104" s="16"/>
      <c r="I104" s="16">
        <f t="shared" si="3"/>
        <v>1800</v>
      </c>
      <c r="J104" s="147"/>
    </row>
    <row r="105" spans="2:10" ht="231.75" customHeight="1">
      <c r="B105" s="166" t="s">
        <v>165</v>
      </c>
      <c r="C105" s="166" t="s">
        <v>102</v>
      </c>
      <c r="D105" s="150" t="s">
        <v>36</v>
      </c>
      <c r="E105" s="164" t="s">
        <v>143</v>
      </c>
      <c r="F105" s="34" t="s">
        <v>440</v>
      </c>
      <c r="G105" s="16"/>
      <c r="H105" s="16">
        <f>1250000+475000+137108</f>
        <v>1862108</v>
      </c>
      <c r="I105" s="16">
        <f t="shared" si="3"/>
        <v>1862108</v>
      </c>
      <c r="J105" s="147"/>
    </row>
    <row r="106" spans="2:10" ht="159.75" customHeight="1">
      <c r="B106" s="167"/>
      <c r="C106" s="167"/>
      <c r="D106" s="151"/>
      <c r="E106" s="165"/>
      <c r="F106" s="34" t="s">
        <v>432</v>
      </c>
      <c r="G106" s="16">
        <v>60032</v>
      </c>
      <c r="H106" s="16"/>
      <c r="I106" s="16">
        <f t="shared" si="3"/>
        <v>60032</v>
      </c>
      <c r="J106" s="147"/>
    </row>
    <row r="107" spans="2:10" ht="159.75" customHeight="1">
      <c r="B107" s="104" t="s">
        <v>408</v>
      </c>
      <c r="C107" s="104" t="s">
        <v>409</v>
      </c>
      <c r="D107" s="102" t="s">
        <v>410</v>
      </c>
      <c r="E107" s="103" t="s">
        <v>411</v>
      </c>
      <c r="F107" s="34" t="s">
        <v>432</v>
      </c>
      <c r="G107" s="16">
        <v>177750</v>
      </c>
      <c r="H107" s="16"/>
      <c r="I107" s="16">
        <f t="shared" si="3"/>
        <v>177750</v>
      </c>
      <c r="J107" s="147"/>
    </row>
    <row r="108" spans="2:10" ht="156.75" customHeight="1">
      <c r="B108" s="32" t="s">
        <v>312</v>
      </c>
      <c r="C108" s="32" t="s">
        <v>225</v>
      </c>
      <c r="D108" s="32" t="s">
        <v>48</v>
      </c>
      <c r="E108" s="33" t="s">
        <v>160</v>
      </c>
      <c r="F108" s="31" t="s">
        <v>435</v>
      </c>
      <c r="G108" s="16">
        <f>121100+82720+60250+48000</f>
        <v>312070</v>
      </c>
      <c r="H108" s="16">
        <f>1200000+42000+1400000</f>
        <v>2642000</v>
      </c>
      <c r="I108" s="16">
        <f t="shared" si="3"/>
        <v>2954070</v>
      </c>
      <c r="J108" s="147"/>
    </row>
    <row r="109" spans="2:10" ht="156.75" customHeight="1">
      <c r="B109" s="32" t="s">
        <v>424</v>
      </c>
      <c r="C109" s="32" t="s">
        <v>180</v>
      </c>
      <c r="D109" s="36" t="s">
        <v>54</v>
      </c>
      <c r="E109" s="33" t="s">
        <v>425</v>
      </c>
      <c r="F109" s="31" t="s">
        <v>310</v>
      </c>
      <c r="G109" s="16">
        <v>660000</v>
      </c>
      <c r="H109" s="16">
        <f>1500000</f>
        <v>1500000</v>
      </c>
      <c r="I109" s="16">
        <f t="shared" si="3"/>
        <v>2160000</v>
      </c>
      <c r="J109" s="147"/>
    </row>
    <row r="110" spans="2:11" ht="114" customHeight="1">
      <c r="B110" s="32"/>
      <c r="C110" s="32"/>
      <c r="D110" s="32"/>
      <c r="E110" s="68" t="s">
        <v>86</v>
      </c>
      <c r="F110" s="31"/>
      <c r="G110" s="105">
        <f>G111+G112+G121+G122+G124+G126+G130+G131+G132+G135+G125+G136</f>
        <v>78422565.59</v>
      </c>
      <c r="H110" s="105">
        <f>H111+H112+H121+H122+H124+H126+H130+H131+H132+H135+H125+H136</f>
        <v>504612</v>
      </c>
      <c r="I110" s="105">
        <f>I111+I112+I121+I122+I124+I126+I130+I131+I132+I135+I125+I136</f>
        <v>78927177.59</v>
      </c>
      <c r="J110" s="147"/>
      <c r="K110" s="90"/>
    </row>
    <row r="111" spans="2:10" ht="128.25" customHeight="1">
      <c r="B111" s="36">
        <v>1510180</v>
      </c>
      <c r="C111" s="32" t="s">
        <v>54</v>
      </c>
      <c r="D111" s="36" t="s">
        <v>2</v>
      </c>
      <c r="E111" s="77" t="s">
        <v>379</v>
      </c>
      <c r="F111" s="33" t="s">
        <v>93</v>
      </c>
      <c r="G111" s="16">
        <v>49000</v>
      </c>
      <c r="H111" s="16"/>
      <c r="I111" s="16">
        <f>G111+H111</f>
        <v>49000</v>
      </c>
      <c r="J111" s="147">
        <v>60</v>
      </c>
    </row>
    <row r="112" spans="2:10" ht="409.5" customHeight="1">
      <c r="B112" s="144">
        <v>1513030</v>
      </c>
      <c r="C112" s="150" t="s">
        <v>243</v>
      </c>
      <c r="D112" s="174">
        <v>1030</v>
      </c>
      <c r="E112" s="77" t="s">
        <v>348</v>
      </c>
      <c r="F112" s="135"/>
      <c r="G112" s="162">
        <f>G114+G116+G117+G118+G120+G119</f>
        <v>42327096.59</v>
      </c>
      <c r="H112" s="162">
        <f>H114+H116+H117+H118+H120+H119</f>
        <v>204612</v>
      </c>
      <c r="I112" s="162">
        <f>I114+I116+I117+I118+I120+I119</f>
        <v>42531708.59</v>
      </c>
      <c r="J112" s="147"/>
    </row>
    <row r="113" spans="2:10" ht="151.5" customHeight="1">
      <c r="B113" s="145"/>
      <c r="C113" s="151"/>
      <c r="D113" s="175"/>
      <c r="E113" s="78" t="s">
        <v>346</v>
      </c>
      <c r="F113" s="136"/>
      <c r="G113" s="163"/>
      <c r="H113" s="163"/>
      <c r="I113" s="163"/>
      <c r="J113" s="147"/>
    </row>
    <row r="114" spans="1:11" s="59" customFormat="1" ht="397.5" customHeight="1">
      <c r="A114" s="57"/>
      <c r="B114" s="152" t="s">
        <v>283</v>
      </c>
      <c r="C114" s="152" t="s">
        <v>108</v>
      </c>
      <c r="D114" s="142">
        <v>1030</v>
      </c>
      <c r="E114" s="97" t="s">
        <v>420</v>
      </c>
      <c r="F114" s="157" t="s">
        <v>60</v>
      </c>
      <c r="G114" s="159">
        <f>270200+1490</f>
        <v>271690</v>
      </c>
      <c r="H114" s="159">
        <f>150000+4612+50000</f>
        <v>204612</v>
      </c>
      <c r="I114" s="155">
        <f aca="true" t="shared" si="4" ref="I114:I121">G114+H114</f>
        <v>476302</v>
      </c>
      <c r="J114" s="147"/>
      <c r="K114" s="93"/>
    </row>
    <row r="115" spans="1:11" s="59" customFormat="1" ht="223.5" customHeight="1">
      <c r="A115" s="57"/>
      <c r="B115" s="153"/>
      <c r="C115" s="153"/>
      <c r="D115" s="143"/>
      <c r="E115" s="74" t="s">
        <v>421</v>
      </c>
      <c r="F115" s="158"/>
      <c r="G115" s="160"/>
      <c r="H115" s="160"/>
      <c r="I115" s="156"/>
      <c r="J115" s="147"/>
      <c r="K115" s="93"/>
    </row>
    <row r="116" spans="1:11" s="50" customFormat="1" ht="231.75" customHeight="1">
      <c r="A116" s="47"/>
      <c r="B116" s="48" t="s">
        <v>284</v>
      </c>
      <c r="C116" s="48" t="s">
        <v>109</v>
      </c>
      <c r="D116" s="58">
        <v>1070</v>
      </c>
      <c r="E116" s="74" t="s">
        <v>144</v>
      </c>
      <c r="F116" s="46" t="s">
        <v>60</v>
      </c>
      <c r="G116" s="54">
        <f>74666+28847</f>
        <v>103513</v>
      </c>
      <c r="H116" s="54"/>
      <c r="I116" s="60">
        <f t="shared" si="4"/>
        <v>103513</v>
      </c>
      <c r="J116" s="147"/>
      <c r="K116" s="89"/>
    </row>
    <row r="117" spans="1:11" s="50" customFormat="1" ht="102.75" customHeight="1">
      <c r="A117" s="47"/>
      <c r="B117" s="48" t="s">
        <v>285</v>
      </c>
      <c r="C117" s="48" t="s">
        <v>110</v>
      </c>
      <c r="D117" s="58">
        <v>1070</v>
      </c>
      <c r="E117" s="46" t="s">
        <v>146</v>
      </c>
      <c r="F117" s="46" t="s">
        <v>60</v>
      </c>
      <c r="G117" s="54">
        <f>1562305+15152-28847</f>
        <v>1548610</v>
      </c>
      <c r="H117" s="54"/>
      <c r="I117" s="60">
        <f t="shared" si="4"/>
        <v>1548610</v>
      </c>
      <c r="J117" s="147"/>
      <c r="K117" s="89"/>
    </row>
    <row r="118" spans="1:11" s="50" customFormat="1" ht="147.75" customHeight="1">
      <c r="A118" s="47"/>
      <c r="B118" s="48" t="s">
        <v>287</v>
      </c>
      <c r="C118" s="48" t="s">
        <v>286</v>
      </c>
      <c r="D118" s="48" t="s">
        <v>37</v>
      </c>
      <c r="E118" s="46" t="s">
        <v>88</v>
      </c>
      <c r="F118" s="46" t="s">
        <v>60</v>
      </c>
      <c r="G118" s="54">
        <f>5552643+3427694+846294.22+932000</f>
        <v>10758631.22</v>
      </c>
      <c r="H118" s="54"/>
      <c r="I118" s="60">
        <f t="shared" si="4"/>
        <v>10758631.22</v>
      </c>
      <c r="J118" s="147"/>
      <c r="K118" s="89"/>
    </row>
    <row r="119" spans="1:11" s="50" customFormat="1" ht="108.75" customHeight="1">
      <c r="A119" s="47"/>
      <c r="B119" s="48" t="s">
        <v>386</v>
      </c>
      <c r="C119" s="48" t="s">
        <v>387</v>
      </c>
      <c r="D119" s="48" t="s">
        <v>37</v>
      </c>
      <c r="E119" s="46" t="s">
        <v>388</v>
      </c>
      <c r="F119" s="46" t="s">
        <v>60</v>
      </c>
      <c r="G119" s="54">
        <v>1500000</v>
      </c>
      <c r="H119" s="54"/>
      <c r="I119" s="60">
        <f t="shared" si="4"/>
        <v>1500000</v>
      </c>
      <c r="J119" s="147"/>
      <c r="K119" s="89"/>
    </row>
    <row r="120" spans="1:11" s="50" customFormat="1" ht="129.75" customHeight="1">
      <c r="A120" s="47"/>
      <c r="B120" s="48" t="s">
        <v>288</v>
      </c>
      <c r="C120" s="48" t="s">
        <v>244</v>
      </c>
      <c r="D120" s="48" t="s">
        <v>37</v>
      </c>
      <c r="E120" s="46" t="s">
        <v>40</v>
      </c>
      <c r="F120" s="46" t="s">
        <v>60</v>
      </c>
      <c r="G120" s="54">
        <f>16255544+8943969+1577139.37+1368000</f>
        <v>28144652.37</v>
      </c>
      <c r="H120" s="54"/>
      <c r="I120" s="60">
        <f t="shared" si="4"/>
        <v>28144652.37</v>
      </c>
      <c r="J120" s="147">
        <v>61</v>
      </c>
      <c r="K120" s="89"/>
    </row>
    <row r="121" spans="2:10" ht="94.5" customHeight="1">
      <c r="B121" s="36">
        <v>1513050</v>
      </c>
      <c r="C121" s="36">
        <v>3050</v>
      </c>
      <c r="D121" s="36">
        <v>1070</v>
      </c>
      <c r="E121" s="33" t="s">
        <v>145</v>
      </c>
      <c r="F121" s="33" t="s">
        <v>60</v>
      </c>
      <c r="G121" s="16">
        <v>540500</v>
      </c>
      <c r="H121" s="16"/>
      <c r="I121" s="16">
        <f t="shared" si="4"/>
        <v>540500</v>
      </c>
      <c r="J121" s="147"/>
    </row>
    <row r="122" spans="2:10" ht="169.5" customHeight="1">
      <c r="B122" s="36">
        <v>1513100</v>
      </c>
      <c r="C122" s="36">
        <v>3100</v>
      </c>
      <c r="D122" s="36"/>
      <c r="E122" s="33" t="s">
        <v>289</v>
      </c>
      <c r="F122" s="33"/>
      <c r="G122" s="16">
        <f>G123</f>
        <v>201300</v>
      </c>
      <c r="H122" s="16">
        <f>H123</f>
        <v>0</v>
      </c>
      <c r="I122" s="16">
        <f>I123</f>
        <v>201300</v>
      </c>
      <c r="J122" s="147"/>
    </row>
    <row r="123" spans="2:10" ht="174" customHeight="1">
      <c r="B123" s="48" t="s">
        <v>290</v>
      </c>
      <c r="C123" s="48" t="s">
        <v>113</v>
      </c>
      <c r="D123" s="48" t="s">
        <v>82</v>
      </c>
      <c r="E123" s="46" t="s">
        <v>148</v>
      </c>
      <c r="F123" s="46" t="s">
        <v>60</v>
      </c>
      <c r="G123" s="54">
        <f>201300+4000+6000-10000</f>
        <v>201300</v>
      </c>
      <c r="H123" s="54"/>
      <c r="I123" s="54">
        <f>G123+H123</f>
        <v>201300</v>
      </c>
      <c r="J123" s="147"/>
    </row>
    <row r="124" spans="2:10" ht="130.5" customHeight="1">
      <c r="B124" s="150" t="s">
        <v>291</v>
      </c>
      <c r="C124" s="150" t="s">
        <v>114</v>
      </c>
      <c r="D124" s="150" t="s">
        <v>5</v>
      </c>
      <c r="E124" s="164" t="s">
        <v>149</v>
      </c>
      <c r="F124" s="33" t="s">
        <v>60</v>
      </c>
      <c r="G124" s="16">
        <f>1594774-186100-278121-103992</f>
        <v>1026561</v>
      </c>
      <c r="H124" s="16"/>
      <c r="I124" s="16">
        <f>G124+H124</f>
        <v>1026561</v>
      </c>
      <c r="J124" s="147"/>
    </row>
    <row r="125" spans="2:10" ht="142.5" customHeight="1">
      <c r="B125" s="151"/>
      <c r="C125" s="151"/>
      <c r="D125" s="151"/>
      <c r="E125" s="165"/>
      <c r="F125" s="33" t="s">
        <v>432</v>
      </c>
      <c r="G125" s="16">
        <f>237680-123668</f>
        <v>114012</v>
      </c>
      <c r="H125" s="16"/>
      <c r="I125" s="16">
        <f>G125+H125</f>
        <v>114012</v>
      </c>
      <c r="J125" s="147"/>
    </row>
    <row r="126" spans="2:10" ht="73.5" customHeight="1">
      <c r="B126" s="32" t="s">
        <v>293</v>
      </c>
      <c r="C126" s="32" t="s">
        <v>292</v>
      </c>
      <c r="D126" s="32"/>
      <c r="E126" s="33" t="s">
        <v>294</v>
      </c>
      <c r="F126" s="33"/>
      <c r="G126" s="16">
        <f>G127+G129+G128</f>
        <v>2384959</v>
      </c>
      <c r="H126" s="16">
        <f>H127+H129+H128</f>
        <v>0</v>
      </c>
      <c r="I126" s="16">
        <f>I127+I129+I128</f>
        <v>2384959</v>
      </c>
      <c r="J126" s="147"/>
    </row>
    <row r="127" spans="1:11" s="50" customFormat="1" ht="109.5" customHeight="1">
      <c r="A127" s="47"/>
      <c r="B127" s="152" t="s">
        <v>295</v>
      </c>
      <c r="C127" s="152" t="s">
        <v>111</v>
      </c>
      <c r="D127" s="152" t="s">
        <v>39</v>
      </c>
      <c r="E127" s="146" t="s">
        <v>38</v>
      </c>
      <c r="F127" s="46" t="s">
        <v>60</v>
      </c>
      <c r="G127" s="54">
        <f>625959-29494-1580-71467</f>
        <v>523418</v>
      </c>
      <c r="H127" s="54"/>
      <c r="I127" s="60">
        <f>G127+H127</f>
        <v>523418</v>
      </c>
      <c r="J127" s="147"/>
      <c r="K127" s="89"/>
    </row>
    <row r="128" spans="1:11" s="50" customFormat="1" ht="190.5" customHeight="1">
      <c r="A128" s="47"/>
      <c r="B128" s="153"/>
      <c r="C128" s="153"/>
      <c r="D128" s="153"/>
      <c r="E128" s="168"/>
      <c r="F128" s="46" t="s">
        <v>432</v>
      </c>
      <c r="G128" s="54">
        <f>784150-36619</f>
        <v>747531</v>
      </c>
      <c r="H128" s="54"/>
      <c r="I128" s="60">
        <f>G128+H128</f>
        <v>747531</v>
      </c>
      <c r="J128" s="147"/>
      <c r="K128" s="89"/>
    </row>
    <row r="129" spans="1:11" s="50" customFormat="1" ht="151.5" customHeight="1">
      <c r="A129" s="47"/>
      <c r="B129" s="48" t="s">
        <v>296</v>
      </c>
      <c r="C129" s="48" t="s">
        <v>115</v>
      </c>
      <c r="D129" s="48" t="s">
        <v>39</v>
      </c>
      <c r="E129" s="46" t="s">
        <v>150</v>
      </c>
      <c r="F129" s="46" t="s">
        <v>60</v>
      </c>
      <c r="G129" s="54">
        <f>863275+249155+1580</f>
        <v>1114010</v>
      </c>
      <c r="H129" s="54"/>
      <c r="I129" s="60">
        <f>G129+H129</f>
        <v>1114010</v>
      </c>
      <c r="J129" s="147"/>
      <c r="K129" s="89"/>
    </row>
    <row r="130" spans="1:11" s="50" customFormat="1" ht="172.5" customHeight="1">
      <c r="A130" s="47"/>
      <c r="B130" s="32" t="s">
        <v>298</v>
      </c>
      <c r="C130" s="32" t="s">
        <v>116</v>
      </c>
      <c r="D130" s="32" t="s">
        <v>82</v>
      </c>
      <c r="E130" s="33" t="s">
        <v>151</v>
      </c>
      <c r="F130" s="33" t="s">
        <v>60</v>
      </c>
      <c r="G130" s="16">
        <f>90000+70000-90000</f>
        <v>70000</v>
      </c>
      <c r="H130" s="16"/>
      <c r="I130" s="16">
        <f>G130+H130</f>
        <v>70000</v>
      </c>
      <c r="J130" s="147"/>
      <c r="K130" s="89"/>
    </row>
    <row r="131" spans="1:11" s="50" customFormat="1" ht="115.5" customHeight="1">
      <c r="A131" s="47"/>
      <c r="B131" s="32" t="s">
        <v>297</v>
      </c>
      <c r="C131" s="32" t="s">
        <v>112</v>
      </c>
      <c r="D131" s="32" t="s">
        <v>70</v>
      </c>
      <c r="E131" s="33" t="s">
        <v>147</v>
      </c>
      <c r="F131" s="33" t="s">
        <v>59</v>
      </c>
      <c r="G131" s="16">
        <f>285600+100000</f>
        <v>385600</v>
      </c>
      <c r="H131" s="16"/>
      <c r="I131" s="16">
        <f>G131+H131</f>
        <v>385600</v>
      </c>
      <c r="J131" s="147"/>
      <c r="K131" s="89"/>
    </row>
    <row r="132" spans="1:11" s="10" customFormat="1" ht="70.5" customHeight="1">
      <c r="A132" s="1"/>
      <c r="B132" s="32" t="s">
        <v>299</v>
      </c>
      <c r="C132" s="32" t="s">
        <v>103</v>
      </c>
      <c r="D132" s="32" t="s">
        <v>9</v>
      </c>
      <c r="E132" s="33" t="s">
        <v>8</v>
      </c>
      <c r="F132" s="33"/>
      <c r="G132" s="16">
        <f>G133+G134</f>
        <v>31219545</v>
      </c>
      <c r="H132" s="16">
        <f>H133+H134</f>
        <v>0</v>
      </c>
      <c r="I132" s="16">
        <f>I133+I134</f>
        <v>31219545</v>
      </c>
      <c r="J132" s="147"/>
      <c r="K132" s="86"/>
    </row>
    <row r="133" spans="1:11" s="50" customFormat="1" ht="150.75" customHeight="1">
      <c r="A133" s="47"/>
      <c r="B133" s="48" t="s">
        <v>299</v>
      </c>
      <c r="C133" s="48" t="s">
        <v>103</v>
      </c>
      <c r="D133" s="48" t="s">
        <v>9</v>
      </c>
      <c r="E133" s="49" t="s">
        <v>333</v>
      </c>
      <c r="F133" s="46" t="s">
        <v>60</v>
      </c>
      <c r="G133" s="54">
        <f>2263526+129000+193500+400000+569700+320310+20000+270000-15000+715865+45000+8591+139835+29494+5415+75000+5000+26500+300000+84000+41790+500+186100+38900+929567+17430+90000</f>
        <v>6890023</v>
      </c>
      <c r="H133" s="54"/>
      <c r="I133" s="54">
        <f>G133+H133</f>
        <v>6890023</v>
      </c>
      <c r="J133" s="147"/>
      <c r="K133" s="89"/>
    </row>
    <row r="134" spans="1:11" s="50" customFormat="1" ht="186.75" customHeight="1">
      <c r="A134" s="47"/>
      <c r="B134" s="48" t="s">
        <v>299</v>
      </c>
      <c r="C134" s="48" t="s">
        <v>103</v>
      </c>
      <c r="D134" s="48" t="s">
        <v>9</v>
      </c>
      <c r="E134" s="49" t="s">
        <v>329</v>
      </c>
      <c r="F134" s="46" t="s">
        <v>432</v>
      </c>
      <c r="G134" s="54">
        <f>2749504+1000000+21000000+1200-421182</f>
        <v>24329522</v>
      </c>
      <c r="H134" s="54"/>
      <c r="I134" s="60">
        <f>G134+H134</f>
        <v>24329522</v>
      </c>
      <c r="J134" s="147">
        <v>62</v>
      </c>
      <c r="K134" s="89"/>
    </row>
    <row r="135" spans="1:11" s="50" customFormat="1" ht="156.75" customHeight="1">
      <c r="A135" s="47"/>
      <c r="B135" s="32" t="s">
        <v>313</v>
      </c>
      <c r="C135" s="32" t="s">
        <v>225</v>
      </c>
      <c r="D135" s="32" t="s">
        <v>48</v>
      </c>
      <c r="E135" s="33" t="s">
        <v>160</v>
      </c>
      <c r="F135" s="31" t="s">
        <v>435</v>
      </c>
      <c r="G135" s="54"/>
      <c r="H135" s="54">
        <v>300000</v>
      </c>
      <c r="I135" s="60">
        <f>G135+H135</f>
        <v>300000</v>
      </c>
      <c r="J135" s="147"/>
      <c r="K135" s="89"/>
    </row>
    <row r="136" spans="1:11" s="10" customFormat="1" ht="75.75" customHeight="1">
      <c r="A136" s="1"/>
      <c r="B136" s="32" t="s">
        <v>430</v>
      </c>
      <c r="C136" s="32" t="s">
        <v>180</v>
      </c>
      <c r="D136" s="32" t="s">
        <v>54</v>
      </c>
      <c r="E136" s="33" t="s">
        <v>55</v>
      </c>
      <c r="F136" s="31"/>
      <c r="G136" s="16">
        <f>G137</f>
        <v>103992</v>
      </c>
      <c r="H136" s="16">
        <f>H137</f>
        <v>0</v>
      </c>
      <c r="I136" s="16">
        <f>I137</f>
        <v>103992</v>
      </c>
      <c r="J136" s="147"/>
      <c r="K136" s="86"/>
    </row>
    <row r="137" spans="1:11" s="50" customFormat="1" ht="252.75" customHeight="1">
      <c r="A137" s="47"/>
      <c r="B137" s="48" t="s">
        <v>430</v>
      </c>
      <c r="C137" s="48" t="s">
        <v>180</v>
      </c>
      <c r="D137" s="48" t="s">
        <v>54</v>
      </c>
      <c r="E137" s="49" t="s">
        <v>431</v>
      </c>
      <c r="F137" s="46" t="s">
        <v>60</v>
      </c>
      <c r="G137" s="54">
        <v>103992</v>
      </c>
      <c r="H137" s="54"/>
      <c r="I137" s="60">
        <f>G137+H137</f>
        <v>103992</v>
      </c>
      <c r="J137" s="147"/>
      <c r="K137" s="89"/>
    </row>
    <row r="138" spans="2:10" ht="93" customHeight="1">
      <c r="B138" s="32"/>
      <c r="C138" s="32"/>
      <c r="D138" s="32"/>
      <c r="E138" s="68" t="s">
        <v>41</v>
      </c>
      <c r="F138" s="31"/>
      <c r="G138" s="105">
        <f aca="true" t="shared" si="5" ref="G138:I139">G139</f>
        <v>70000</v>
      </c>
      <c r="H138" s="105">
        <f t="shared" si="5"/>
        <v>0</v>
      </c>
      <c r="I138" s="105">
        <f t="shared" si="5"/>
        <v>70000</v>
      </c>
      <c r="J138" s="147"/>
    </row>
    <row r="139" spans="2:10" ht="98.25" customHeight="1">
      <c r="B139" s="36">
        <v>2013110</v>
      </c>
      <c r="C139" s="32" t="s">
        <v>167</v>
      </c>
      <c r="D139" s="36">
        <v>1040</v>
      </c>
      <c r="E139" s="33" t="s">
        <v>166</v>
      </c>
      <c r="F139" s="31"/>
      <c r="G139" s="16">
        <f t="shared" si="5"/>
        <v>70000</v>
      </c>
      <c r="H139" s="16">
        <f t="shared" si="5"/>
        <v>0</v>
      </c>
      <c r="I139" s="16">
        <f t="shared" si="5"/>
        <v>70000</v>
      </c>
      <c r="J139" s="147"/>
    </row>
    <row r="140" spans="1:11" s="50" customFormat="1" ht="150" customHeight="1">
      <c r="A140" s="47"/>
      <c r="B140" s="48" t="s">
        <v>169</v>
      </c>
      <c r="C140" s="48" t="s">
        <v>168</v>
      </c>
      <c r="D140" s="48" t="s">
        <v>10</v>
      </c>
      <c r="E140" s="46" t="s">
        <v>152</v>
      </c>
      <c r="F140" s="49" t="s">
        <v>372</v>
      </c>
      <c r="G140" s="54">
        <f>55000+8000+7000</f>
        <v>70000</v>
      </c>
      <c r="H140" s="54"/>
      <c r="I140" s="60">
        <f>G140+H140</f>
        <v>70000</v>
      </c>
      <c r="J140" s="147"/>
      <c r="K140" s="89"/>
    </row>
    <row r="141" spans="2:10" ht="114.75" customHeight="1">
      <c r="B141" s="32"/>
      <c r="C141" s="32"/>
      <c r="D141" s="32"/>
      <c r="E141" s="68" t="s">
        <v>42</v>
      </c>
      <c r="F141" s="31"/>
      <c r="G141" s="105">
        <f>G142+G143+G144+G145+G146</f>
        <v>2294888</v>
      </c>
      <c r="H141" s="105">
        <f>H142+H143+H144+H145+H146</f>
        <v>4820887</v>
      </c>
      <c r="I141" s="105">
        <f>I142+I143+I144+I145+I146</f>
        <v>7115775</v>
      </c>
      <c r="J141" s="147"/>
    </row>
    <row r="142" spans="2:10" ht="168.75" customHeight="1">
      <c r="B142" s="32" t="s">
        <v>330</v>
      </c>
      <c r="C142" s="32" t="s">
        <v>54</v>
      </c>
      <c r="D142" s="36" t="s">
        <v>2</v>
      </c>
      <c r="E142" s="33" t="s">
        <v>379</v>
      </c>
      <c r="F142" s="31" t="s">
        <v>93</v>
      </c>
      <c r="G142" s="16">
        <v>30000</v>
      </c>
      <c r="H142" s="105"/>
      <c r="I142" s="16">
        <f>G142+H142</f>
        <v>30000</v>
      </c>
      <c r="J142" s="147"/>
    </row>
    <row r="143" spans="2:10" ht="198.75" customHeight="1">
      <c r="B143" s="32" t="s">
        <v>171</v>
      </c>
      <c r="C143" s="32" t="s">
        <v>170</v>
      </c>
      <c r="D143" s="32" t="s">
        <v>43</v>
      </c>
      <c r="E143" s="33" t="s">
        <v>153</v>
      </c>
      <c r="F143" s="31" t="s">
        <v>77</v>
      </c>
      <c r="G143" s="16">
        <f>1443500+50000+5000+140000</f>
        <v>1638500</v>
      </c>
      <c r="H143" s="16"/>
      <c r="I143" s="16">
        <f>G143+H143</f>
        <v>1638500</v>
      </c>
      <c r="J143" s="147"/>
    </row>
    <row r="144" spans="2:10" ht="261.75" customHeight="1">
      <c r="B144" s="32" t="s">
        <v>173</v>
      </c>
      <c r="C144" s="32" t="s">
        <v>172</v>
      </c>
      <c r="D144" s="32" t="s">
        <v>73</v>
      </c>
      <c r="E144" s="33" t="s">
        <v>74</v>
      </c>
      <c r="F144" s="31" t="s">
        <v>78</v>
      </c>
      <c r="G144" s="16">
        <f>199000+41000+6600+10000+22120+4500+5000+15000+50040+50000</f>
        <v>403260</v>
      </c>
      <c r="H144" s="16">
        <f>460000+600000-25000+10000+5000+1000000+5000+3000+10000+460000+3500-50040</f>
        <v>2481460</v>
      </c>
      <c r="I144" s="16">
        <f>G144+H144</f>
        <v>2884720</v>
      </c>
      <c r="J144" s="147"/>
    </row>
    <row r="145" spans="2:10" ht="264.75" customHeight="1">
      <c r="B145" s="32" t="s">
        <v>175</v>
      </c>
      <c r="C145" s="32" t="s">
        <v>174</v>
      </c>
      <c r="D145" s="32" t="s">
        <v>75</v>
      </c>
      <c r="E145" s="33" t="s">
        <v>76</v>
      </c>
      <c r="F145" s="31" t="s">
        <v>78</v>
      </c>
      <c r="G145" s="16">
        <f>7400+62573+5000+33155+95000</f>
        <v>203128</v>
      </c>
      <c r="H145" s="16">
        <f>300000+300000+42427-250000+15000+130000</f>
        <v>537427</v>
      </c>
      <c r="I145" s="16">
        <f>G145+H145</f>
        <v>740555</v>
      </c>
      <c r="J145" s="147">
        <v>63</v>
      </c>
    </row>
    <row r="146" spans="2:10" ht="159.75" customHeight="1">
      <c r="B146" s="32" t="s">
        <v>314</v>
      </c>
      <c r="C146" s="32" t="s">
        <v>225</v>
      </c>
      <c r="D146" s="32" t="s">
        <v>48</v>
      </c>
      <c r="E146" s="33" t="s">
        <v>160</v>
      </c>
      <c r="F146" s="31" t="s">
        <v>435</v>
      </c>
      <c r="G146" s="16">
        <f>5000+15000</f>
        <v>20000</v>
      </c>
      <c r="H146" s="16">
        <f>1527000+275000</f>
        <v>1802000</v>
      </c>
      <c r="I146" s="16">
        <f>G146+H146</f>
        <v>1822000</v>
      </c>
      <c r="J146" s="147"/>
    </row>
    <row r="147" spans="2:11" ht="129" customHeight="1">
      <c r="B147" s="32"/>
      <c r="C147" s="32"/>
      <c r="D147" s="32"/>
      <c r="E147" s="68" t="s">
        <v>44</v>
      </c>
      <c r="F147" s="31"/>
      <c r="G147" s="105">
        <f>G148+G149+G150+G151+G152+G157+G159+G161+G162+G168+G169+G170+G171+G172+G173+G176+G178+G179+G180+G167+G164+G165+G182+G160+G163</f>
        <v>68044570.45</v>
      </c>
      <c r="H147" s="105">
        <f>H148+H149+H150+H151+H152+H157+H159+H161+H162+H168+H169+H170+H171+H172+H173+H176+H178+H179+H180+H167+H164+H165+H182+H160+H163</f>
        <v>171442677.50000003</v>
      </c>
      <c r="I147" s="105">
        <f>I148+I149+I150+I151+I152+I157+I159+I161+I162+I168+I169+I170+I171+I172+I173+I176+I178+I179+I180+I167+I164+I165+I182+I160+I163</f>
        <v>239487247.95000005</v>
      </c>
      <c r="J147" s="147"/>
      <c r="K147" s="94"/>
    </row>
    <row r="148" spans="2:10" ht="153.75" customHeight="1">
      <c r="B148" s="32" t="s">
        <v>122</v>
      </c>
      <c r="C148" s="32" t="s">
        <v>54</v>
      </c>
      <c r="D148" s="36" t="s">
        <v>2</v>
      </c>
      <c r="E148" s="33" t="s">
        <v>379</v>
      </c>
      <c r="F148" s="31" t="s">
        <v>93</v>
      </c>
      <c r="G148" s="16">
        <v>40000</v>
      </c>
      <c r="H148" s="16"/>
      <c r="I148" s="16">
        <f>G148+H148</f>
        <v>40000</v>
      </c>
      <c r="J148" s="147"/>
    </row>
    <row r="149" spans="2:10" ht="144" customHeight="1">
      <c r="B149" s="149" t="s">
        <v>206</v>
      </c>
      <c r="C149" s="149" t="s">
        <v>112</v>
      </c>
      <c r="D149" s="149" t="s">
        <v>70</v>
      </c>
      <c r="E149" s="161" t="s">
        <v>71</v>
      </c>
      <c r="F149" s="33" t="s">
        <v>24</v>
      </c>
      <c r="G149" s="16">
        <f>350000+150000+50000</f>
        <v>550000</v>
      </c>
      <c r="H149" s="16"/>
      <c r="I149" s="16">
        <f aca="true" t="shared" si="6" ref="I149:I172">G149+H149</f>
        <v>550000</v>
      </c>
      <c r="J149" s="147"/>
    </row>
    <row r="150" spans="2:10" ht="144.75" customHeight="1">
      <c r="B150" s="149"/>
      <c r="C150" s="149"/>
      <c r="D150" s="149"/>
      <c r="E150" s="161"/>
      <c r="F150" s="33" t="s">
        <v>59</v>
      </c>
      <c r="G150" s="16">
        <f>14400</f>
        <v>14400</v>
      </c>
      <c r="H150" s="16"/>
      <c r="I150" s="16">
        <f t="shared" si="6"/>
        <v>14400</v>
      </c>
      <c r="J150" s="147"/>
    </row>
    <row r="151" spans="2:10" ht="162" customHeight="1">
      <c r="B151" s="32" t="s">
        <v>208</v>
      </c>
      <c r="C151" s="32" t="s">
        <v>207</v>
      </c>
      <c r="D151" s="32" t="s">
        <v>45</v>
      </c>
      <c r="E151" s="33" t="s">
        <v>154</v>
      </c>
      <c r="F151" s="31" t="s">
        <v>24</v>
      </c>
      <c r="G151" s="16">
        <f>1500000+72000</f>
        <v>1572000</v>
      </c>
      <c r="H151" s="16"/>
      <c r="I151" s="16">
        <f t="shared" si="6"/>
        <v>1572000</v>
      </c>
      <c r="J151" s="147"/>
    </row>
    <row r="152" spans="2:10" ht="104.25" customHeight="1">
      <c r="B152" s="32" t="s">
        <v>211</v>
      </c>
      <c r="C152" s="32" t="s">
        <v>210</v>
      </c>
      <c r="D152" s="32"/>
      <c r="E152" s="31" t="s">
        <v>209</v>
      </c>
      <c r="F152" s="31"/>
      <c r="G152" s="16">
        <f>G153+G155+G154+G156</f>
        <v>480000</v>
      </c>
      <c r="H152" s="16">
        <f>H153+H155+H154+H156</f>
        <v>72673792</v>
      </c>
      <c r="I152" s="16">
        <f>I153+I155+I154+I156</f>
        <v>73153792</v>
      </c>
      <c r="J152" s="147"/>
    </row>
    <row r="153" spans="1:11" s="50" customFormat="1" ht="159" customHeight="1">
      <c r="A153" s="47"/>
      <c r="B153" s="152" t="s">
        <v>214</v>
      </c>
      <c r="C153" s="152" t="s">
        <v>212</v>
      </c>
      <c r="D153" s="152" t="s">
        <v>45</v>
      </c>
      <c r="E153" s="146" t="s">
        <v>155</v>
      </c>
      <c r="F153" s="49" t="s">
        <v>24</v>
      </c>
      <c r="G153" s="54"/>
      <c r="H153" s="54">
        <f>22918527+150000+6000+1000000+127000+75000+200000+65000+450000-500000+422000+300000</f>
        <v>25213527</v>
      </c>
      <c r="I153" s="54">
        <f t="shared" si="6"/>
        <v>25213527</v>
      </c>
      <c r="J153" s="147"/>
      <c r="K153" s="89"/>
    </row>
    <row r="154" spans="1:11" s="50" customFormat="1" ht="159" customHeight="1">
      <c r="A154" s="47"/>
      <c r="B154" s="153"/>
      <c r="C154" s="153"/>
      <c r="D154" s="153"/>
      <c r="E154" s="168"/>
      <c r="F154" s="49" t="s">
        <v>413</v>
      </c>
      <c r="G154" s="54">
        <f>480000-80000</f>
        <v>400000</v>
      </c>
      <c r="H154" s="54">
        <f>25000000+1000000-500000</f>
        <v>25500000</v>
      </c>
      <c r="I154" s="54">
        <f t="shared" si="6"/>
        <v>25900000</v>
      </c>
      <c r="J154" s="147"/>
      <c r="K154" s="89"/>
    </row>
    <row r="155" spans="1:11" s="50" customFormat="1" ht="153" customHeight="1">
      <c r="A155" s="47"/>
      <c r="B155" s="152" t="s">
        <v>215</v>
      </c>
      <c r="C155" s="152" t="s">
        <v>213</v>
      </c>
      <c r="D155" s="152" t="s">
        <v>45</v>
      </c>
      <c r="E155" s="146" t="s">
        <v>46</v>
      </c>
      <c r="F155" s="51" t="s">
        <v>24</v>
      </c>
      <c r="G155" s="54"/>
      <c r="H155" s="54">
        <f>13919000-19000+1000000+28600-1000000+16200+610000+1726900+78565+2500000-8237575</f>
        <v>10622690</v>
      </c>
      <c r="I155" s="54">
        <f t="shared" si="6"/>
        <v>10622690</v>
      </c>
      <c r="J155" s="147"/>
      <c r="K155" s="89"/>
    </row>
    <row r="156" spans="1:11" s="50" customFormat="1" ht="150" customHeight="1">
      <c r="A156" s="47"/>
      <c r="B156" s="153"/>
      <c r="C156" s="153"/>
      <c r="D156" s="153"/>
      <c r="E156" s="168"/>
      <c r="F156" s="51" t="s">
        <v>413</v>
      </c>
      <c r="G156" s="54">
        <v>80000</v>
      </c>
      <c r="H156" s="54">
        <f>2581000+19000+500000+8237575</f>
        <v>11337575</v>
      </c>
      <c r="I156" s="54">
        <f t="shared" si="6"/>
        <v>11417575</v>
      </c>
      <c r="J156" s="147"/>
      <c r="K156" s="89"/>
    </row>
    <row r="157" spans="1:11" s="10" customFormat="1" ht="105" customHeight="1">
      <c r="A157" s="1"/>
      <c r="B157" s="32" t="s">
        <v>218</v>
      </c>
      <c r="C157" s="32" t="s">
        <v>217</v>
      </c>
      <c r="D157" s="32"/>
      <c r="E157" s="33" t="s">
        <v>216</v>
      </c>
      <c r="F157" s="34"/>
      <c r="G157" s="16">
        <f>G158</f>
        <v>5155292.49</v>
      </c>
      <c r="H157" s="16">
        <f>H158</f>
        <v>0</v>
      </c>
      <c r="I157" s="16">
        <f>I158</f>
        <v>5155292.49</v>
      </c>
      <c r="J157" s="147">
        <v>64</v>
      </c>
      <c r="K157" s="86"/>
    </row>
    <row r="158" spans="1:11" s="50" customFormat="1" ht="135" customHeight="1">
      <c r="A158" s="47"/>
      <c r="B158" s="55" t="s">
        <v>220</v>
      </c>
      <c r="C158" s="55" t="s">
        <v>219</v>
      </c>
      <c r="D158" s="48" t="s">
        <v>13</v>
      </c>
      <c r="E158" s="46" t="s">
        <v>156</v>
      </c>
      <c r="F158" s="49" t="s">
        <v>24</v>
      </c>
      <c r="G158" s="54">
        <f>3151000+266000+1600000+177597.49+20000+113282-66000-106587</f>
        <v>5155292.49</v>
      </c>
      <c r="H158" s="54"/>
      <c r="I158" s="54">
        <f t="shared" si="6"/>
        <v>5155292.49</v>
      </c>
      <c r="J158" s="147"/>
      <c r="K158" s="89"/>
    </row>
    <row r="159" spans="2:10" ht="163.5" customHeight="1">
      <c r="B159" s="154" t="s">
        <v>221</v>
      </c>
      <c r="C159" s="154" t="s">
        <v>184</v>
      </c>
      <c r="D159" s="149" t="s">
        <v>13</v>
      </c>
      <c r="E159" s="178" t="s">
        <v>91</v>
      </c>
      <c r="F159" s="31" t="s">
        <v>24</v>
      </c>
      <c r="G159" s="16">
        <f>40180400+20463507-1267658+199810-7400000-305510-500000-1258381-26000+31000+111380+360000+60000+40000+300000+300000+25000-591331.98+351000+200000-28800-358801-31006-40000+91388+66500+200000+40800+67000+48000+150000+61000+139131.41+200000+20000+2400+121375-5000+1000000+130000+187118-20400+760000+70000</f>
        <v>54143921.43</v>
      </c>
      <c r="H159" s="16">
        <f>33502200+150000+12522000+327958-244003+7400000-356390-1000000+1600000+500000+30000-428650-152925-31000+230000-300000-190373-43000-165200-184570+43000+150000-142900-20000-91388-26500-115600+500000-22100-100250+44250+80000-3000-556288-48000+1475000+1493500-211290-21500-20000-685600-279725-314400-1000000-302430-15000-70000-340600-150400-760000+135000-1000-3408300-70000</f>
        <v>48310526</v>
      </c>
      <c r="I159" s="16">
        <f>G159+H159</f>
        <v>102454447.43</v>
      </c>
      <c r="J159" s="147"/>
    </row>
    <row r="160" spans="2:10" ht="163.5" customHeight="1">
      <c r="B160" s="154"/>
      <c r="C160" s="154"/>
      <c r="D160" s="149"/>
      <c r="E160" s="178"/>
      <c r="F160" s="31" t="s">
        <v>400</v>
      </c>
      <c r="G160" s="16"/>
      <c r="H160" s="16">
        <v>100000</v>
      </c>
      <c r="I160" s="16">
        <f t="shared" si="6"/>
        <v>100000</v>
      </c>
      <c r="J160" s="147"/>
    </row>
    <row r="161" spans="2:10" ht="163.5" customHeight="1">
      <c r="B161" s="154"/>
      <c r="C161" s="154"/>
      <c r="D161" s="149"/>
      <c r="E161" s="178"/>
      <c r="F161" s="34" t="s">
        <v>436</v>
      </c>
      <c r="G161" s="16">
        <f>735000</f>
        <v>735000</v>
      </c>
      <c r="H161" s="16">
        <v>1432000</v>
      </c>
      <c r="I161" s="16">
        <f t="shared" si="6"/>
        <v>2167000</v>
      </c>
      <c r="J161" s="147"/>
    </row>
    <row r="162" spans="2:10" ht="171" customHeight="1">
      <c r="B162" s="35" t="s">
        <v>223</v>
      </c>
      <c r="C162" s="35" t="s">
        <v>222</v>
      </c>
      <c r="D162" s="32" t="s">
        <v>13</v>
      </c>
      <c r="E162" s="66" t="s">
        <v>157</v>
      </c>
      <c r="F162" s="31" t="s">
        <v>24</v>
      </c>
      <c r="G162" s="16"/>
      <c r="H162" s="16">
        <f>1000000-60800-89200-150000-113282-36718</f>
        <v>550000</v>
      </c>
      <c r="I162" s="16">
        <f t="shared" si="6"/>
        <v>550000</v>
      </c>
      <c r="J162" s="147"/>
    </row>
    <row r="163" spans="2:10" ht="222" customHeight="1">
      <c r="B163" s="35" t="s">
        <v>405</v>
      </c>
      <c r="C163" s="35" t="s">
        <v>406</v>
      </c>
      <c r="D163" s="32" t="s">
        <v>13</v>
      </c>
      <c r="E163" s="66" t="s">
        <v>407</v>
      </c>
      <c r="F163" s="31" t="s">
        <v>24</v>
      </c>
      <c r="G163" s="16">
        <f>168566+28800+42583+36000</f>
        <v>275949</v>
      </c>
      <c r="H163" s="16"/>
      <c r="I163" s="16">
        <f t="shared" si="6"/>
        <v>275949</v>
      </c>
      <c r="J163" s="147"/>
    </row>
    <row r="164" spans="2:10" ht="165" customHeight="1">
      <c r="B164" s="35" t="s">
        <v>355</v>
      </c>
      <c r="C164" s="35" t="s">
        <v>189</v>
      </c>
      <c r="D164" s="32" t="s">
        <v>6</v>
      </c>
      <c r="E164" s="66" t="s">
        <v>158</v>
      </c>
      <c r="F164" s="31" t="s">
        <v>24</v>
      </c>
      <c r="G164" s="16"/>
      <c r="H164" s="16">
        <f>12774508+500000+737000+1000000+600000-43000-150000+1467750-1087159-1900000-300000-37800-80000-100000+103000-42583-60000-610000-139131.41-200000-760085.59+100000</f>
        <v>11772499</v>
      </c>
      <c r="I164" s="16">
        <f t="shared" si="6"/>
        <v>11772499</v>
      </c>
      <c r="J164" s="147"/>
    </row>
    <row r="165" spans="2:10" ht="60" customHeight="1">
      <c r="B165" s="32" t="s">
        <v>381</v>
      </c>
      <c r="C165" s="32" t="s">
        <v>192</v>
      </c>
      <c r="D165" s="32"/>
      <c r="E165" s="33" t="s">
        <v>191</v>
      </c>
      <c r="F165" s="31"/>
      <c r="G165" s="16">
        <f>G166</f>
        <v>0</v>
      </c>
      <c r="H165" s="16">
        <f>H166</f>
        <v>526822.52</v>
      </c>
      <c r="I165" s="16">
        <f>I166</f>
        <v>526822.52</v>
      </c>
      <c r="J165" s="147"/>
    </row>
    <row r="166" spans="2:10" ht="147" customHeight="1">
      <c r="B166" s="55" t="s">
        <v>382</v>
      </c>
      <c r="C166" s="55" t="s">
        <v>194</v>
      </c>
      <c r="D166" s="48" t="s">
        <v>14</v>
      </c>
      <c r="E166" s="46" t="s">
        <v>161</v>
      </c>
      <c r="F166" s="49" t="s">
        <v>24</v>
      </c>
      <c r="G166" s="54"/>
      <c r="H166" s="54">
        <f>2535000-2008177.48</f>
        <v>526822.52</v>
      </c>
      <c r="I166" s="54">
        <f>G166+H166</f>
        <v>526822.52</v>
      </c>
      <c r="J166" s="147"/>
    </row>
    <row r="167" spans="2:10" ht="192" customHeight="1">
      <c r="B167" s="35" t="s">
        <v>351</v>
      </c>
      <c r="C167" s="35" t="s">
        <v>352</v>
      </c>
      <c r="D167" s="32" t="s">
        <v>353</v>
      </c>
      <c r="E167" s="66" t="s">
        <v>354</v>
      </c>
      <c r="F167" s="31" t="s">
        <v>24</v>
      </c>
      <c r="G167" s="16">
        <f>185000+465000-25000-13808-3976+42784-6500+6300</f>
        <v>649800</v>
      </c>
      <c r="H167" s="16">
        <f>130000-42784</f>
        <v>87216</v>
      </c>
      <c r="I167" s="16">
        <f t="shared" si="6"/>
        <v>737016</v>
      </c>
      <c r="J167" s="147"/>
    </row>
    <row r="168" spans="2:10" ht="155.25" customHeight="1">
      <c r="B168" s="32" t="s">
        <v>224</v>
      </c>
      <c r="C168" s="32" t="s">
        <v>176</v>
      </c>
      <c r="D168" s="32" t="s">
        <v>47</v>
      </c>
      <c r="E168" s="33" t="s">
        <v>159</v>
      </c>
      <c r="F168" s="31" t="s">
        <v>24</v>
      </c>
      <c r="G168" s="16">
        <f>1500000+70000+13808+11024+3976-1500000-2400</f>
        <v>96408</v>
      </c>
      <c r="H168" s="16"/>
      <c r="I168" s="16">
        <f t="shared" si="6"/>
        <v>96408</v>
      </c>
      <c r="J168" s="147"/>
    </row>
    <row r="169" spans="2:10" ht="143.25" customHeight="1">
      <c r="B169" s="32" t="s">
        <v>226</v>
      </c>
      <c r="C169" s="32" t="s">
        <v>225</v>
      </c>
      <c r="D169" s="32" t="s">
        <v>48</v>
      </c>
      <c r="E169" s="33" t="s">
        <v>160</v>
      </c>
      <c r="F169" s="31" t="s">
        <v>24</v>
      </c>
      <c r="G169" s="16">
        <f>1000000+300000</f>
        <v>1300000</v>
      </c>
      <c r="H169" s="16"/>
      <c r="I169" s="16">
        <f t="shared" si="6"/>
        <v>1300000</v>
      </c>
      <c r="J169" s="147">
        <v>65</v>
      </c>
    </row>
    <row r="170" spans="2:10" ht="171" customHeight="1">
      <c r="B170" s="149" t="s">
        <v>227</v>
      </c>
      <c r="C170" s="149" t="s">
        <v>185</v>
      </c>
      <c r="D170" s="149" t="s">
        <v>6</v>
      </c>
      <c r="E170" s="161" t="s">
        <v>134</v>
      </c>
      <c r="F170" s="31" t="s">
        <v>24</v>
      </c>
      <c r="G170" s="16"/>
      <c r="H170" s="16">
        <f>15461900+2000000-1000000+2520800+913000+3000000+482000+43000+300000+60000+16500-135000+106587</f>
        <v>23768787</v>
      </c>
      <c r="I170" s="16">
        <f t="shared" si="6"/>
        <v>23768787</v>
      </c>
      <c r="J170" s="147"/>
    </row>
    <row r="171" spans="2:10" ht="165" customHeight="1">
      <c r="B171" s="149"/>
      <c r="C171" s="149"/>
      <c r="D171" s="149"/>
      <c r="E171" s="161"/>
      <c r="F171" s="34" t="s">
        <v>436</v>
      </c>
      <c r="G171" s="16"/>
      <c r="H171" s="16">
        <f>5000000-2000000-1081103.2</f>
        <v>1918896.8</v>
      </c>
      <c r="I171" s="16">
        <f t="shared" si="6"/>
        <v>1918896.8</v>
      </c>
      <c r="J171" s="147"/>
    </row>
    <row r="172" spans="2:10" ht="187.5" customHeight="1">
      <c r="B172" s="32" t="s">
        <v>229</v>
      </c>
      <c r="C172" s="32" t="s">
        <v>228</v>
      </c>
      <c r="D172" s="32" t="s">
        <v>31</v>
      </c>
      <c r="E172" s="33" t="s">
        <v>30</v>
      </c>
      <c r="F172" s="34" t="s">
        <v>436</v>
      </c>
      <c r="G172" s="16">
        <v>199733</v>
      </c>
      <c r="H172" s="16"/>
      <c r="I172" s="16">
        <f t="shared" si="6"/>
        <v>199733</v>
      </c>
      <c r="J172" s="147"/>
    </row>
    <row r="173" spans="2:10" ht="84.75" customHeight="1">
      <c r="B173" s="32" t="s">
        <v>230</v>
      </c>
      <c r="C173" s="32" t="s">
        <v>178</v>
      </c>
      <c r="D173" s="32" t="s">
        <v>23</v>
      </c>
      <c r="E173" s="33" t="s">
        <v>11</v>
      </c>
      <c r="F173" s="34"/>
      <c r="G173" s="16">
        <f>G174+G175</f>
        <v>2073566.53</v>
      </c>
      <c r="H173" s="16">
        <f>H174+H175</f>
        <v>0</v>
      </c>
      <c r="I173" s="16">
        <f>I174+I175</f>
        <v>2073566.53</v>
      </c>
      <c r="J173" s="147"/>
    </row>
    <row r="174" spans="1:11" s="50" customFormat="1" ht="231" customHeight="1">
      <c r="A174" s="47"/>
      <c r="B174" s="48" t="s">
        <v>230</v>
      </c>
      <c r="C174" s="48" t="s">
        <v>178</v>
      </c>
      <c r="D174" s="48" t="s">
        <v>23</v>
      </c>
      <c r="E174" s="49" t="s">
        <v>412</v>
      </c>
      <c r="F174" s="51" t="s">
        <v>438</v>
      </c>
      <c r="G174" s="54">
        <f>285000+27200</f>
        <v>312200</v>
      </c>
      <c r="H174" s="54"/>
      <c r="I174" s="60">
        <f>G174+H174</f>
        <v>312200</v>
      </c>
      <c r="J174" s="147"/>
      <c r="K174" s="89"/>
    </row>
    <row r="175" spans="1:11" s="50" customFormat="1" ht="195.75" customHeight="1">
      <c r="A175" s="47"/>
      <c r="B175" s="48" t="s">
        <v>230</v>
      </c>
      <c r="C175" s="48" t="s">
        <v>178</v>
      </c>
      <c r="D175" s="48" t="s">
        <v>23</v>
      </c>
      <c r="E175" s="49" t="s">
        <v>340</v>
      </c>
      <c r="F175" s="49" t="s">
        <v>24</v>
      </c>
      <c r="G175" s="54">
        <f>1622200+110000+25190.48+29000+50000-36000-67601.43+8177.48+20400</f>
        <v>1761366.53</v>
      </c>
      <c r="H175" s="54"/>
      <c r="I175" s="60">
        <f>G175+H175</f>
        <v>1761366.53</v>
      </c>
      <c r="J175" s="147"/>
      <c r="K175" s="89"/>
    </row>
    <row r="176" spans="1:11" s="10" customFormat="1" ht="92.25" customHeight="1">
      <c r="A176" s="1"/>
      <c r="B176" s="35" t="s">
        <v>231</v>
      </c>
      <c r="C176" s="35" t="s">
        <v>180</v>
      </c>
      <c r="D176" s="32" t="s">
        <v>54</v>
      </c>
      <c r="E176" s="33" t="s">
        <v>55</v>
      </c>
      <c r="F176" s="31"/>
      <c r="G176" s="16">
        <f>G177</f>
        <v>758500</v>
      </c>
      <c r="H176" s="16">
        <f>H177</f>
        <v>2221500</v>
      </c>
      <c r="I176" s="16">
        <f>I177</f>
        <v>2980000</v>
      </c>
      <c r="J176" s="147"/>
      <c r="K176" s="86"/>
    </row>
    <row r="177" spans="1:11" s="50" customFormat="1" ht="142.5" customHeight="1">
      <c r="A177" s="47"/>
      <c r="B177" s="100" t="s">
        <v>231</v>
      </c>
      <c r="C177" s="100" t="s">
        <v>180</v>
      </c>
      <c r="D177" s="79" t="s">
        <v>54</v>
      </c>
      <c r="E177" s="49" t="s">
        <v>419</v>
      </c>
      <c r="F177" s="51" t="s">
        <v>24</v>
      </c>
      <c r="G177" s="54">
        <f>250000+508500</f>
        <v>758500</v>
      </c>
      <c r="H177" s="54">
        <f>1730000-508500+1000000</f>
        <v>2221500</v>
      </c>
      <c r="I177" s="54">
        <f>G177+H177</f>
        <v>2980000</v>
      </c>
      <c r="J177" s="147"/>
      <c r="K177" s="89"/>
    </row>
    <row r="178" spans="2:10" ht="174" customHeight="1">
      <c r="B178" s="32" t="s">
        <v>232</v>
      </c>
      <c r="C178" s="32" t="s">
        <v>197</v>
      </c>
      <c r="D178" s="32" t="s">
        <v>50</v>
      </c>
      <c r="E178" s="33" t="s">
        <v>49</v>
      </c>
      <c r="F178" s="34" t="s">
        <v>436</v>
      </c>
      <c r="G178" s="16"/>
      <c r="H178" s="16">
        <f>1040000+3945460</f>
        <v>4985460</v>
      </c>
      <c r="I178" s="16">
        <f>G178+H178</f>
        <v>4985460</v>
      </c>
      <c r="J178" s="147"/>
    </row>
    <row r="179" spans="2:10" ht="141" customHeight="1">
      <c r="B179" s="32" t="s">
        <v>233</v>
      </c>
      <c r="C179" s="32" t="s">
        <v>199</v>
      </c>
      <c r="D179" s="32" t="s">
        <v>31</v>
      </c>
      <c r="E179" s="33" t="s">
        <v>30</v>
      </c>
      <c r="F179" s="34" t="s">
        <v>436</v>
      </c>
      <c r="G179" s="16"/>
      <c r="H179" s="16">
        <f>308267+140000</f>
        <v>448267</v>
      </c>
      <c r="I179" s="16">
        <f>G179+H179</f>
        <v>448267</v>
      </c>
      <c r="J179" s="147"/>
    </row>
    <row r="180" spans="2:10" ht="108.75" customHeight="1">
      <c r="B180" s="32" t="s">
        <v>328</v>
      </c>
      <c r="C180" s="32" t="s">
        <v>317</v>
      </c>
      <c r="D180" s="32"/>
      <c r="E180" s="33" t="s">
        <v>316</v>
      </c>
      <c r="F180" s="34"/>
      <c r="G180" s="16">
        <f>G181</f>
        <v>0</v>
      </c>
      <c r="H180" s="16">
        <f>H181</f>
        <v>-2104092</v>
      </c>
      <c r="I180" s="16">
        <f>I181</f>
        <v>-2104092</v>
      </c>
      <c r="J180" s="147"/>
    </row>
    <row r="181" spans="1:11" s="50" customFormat="1" ht="159" customHeight="1">
      <c r="A181" s="47"/>
      <c r="B181" s="48" t="s">
        <v>321</v>
      </c>
      <c r="C181" s="48" t="s">
        <v>323</v>
      </c>
      <c r="D181" s="48" t="s">
        <v>6</v>
      </c>
      <c r="E181" s="65" t="s">
        <v>322</v>
      </c>
      <c r="F181" s="49" t="s">
        <v>24</v>
      </c>
      <c r="G181" s="54"/>
      <c r="H181" s="54">
        <v>-2104092</v>
      </c>
      <c r="I181" s="54">
        <f>G181+H181</f>
        <v>-2104092</v>
      </c>
      <c r="J181" s="147">
        <v>66</v>
      </c>
      <c r="K181" s="89"/>
    </row>
    <row r="182" spans="1:11" s="10" customFormat="1" ht="174" customHeight="1">
      <c r="A182" s="1"/>
      <c r="B182" s="32" t="s">
        <v>397</v>
      </c>
      <c r="C182" s="32" t="s">
        <v>186</v>
      </c>
      <c r="D182" s="32" t="s">
        <v>23</v>
      </c>
      <c r="E182" s="33" t="s">
        <v>22</v>
      </c>
      <c r="F182" s="31" t="s">
        <v>24</v>
      </c>
      <c r="G182" s="16"/>
      <c r="H182" s="16">
        <v>4751003.18</v>
      </c>
      <c r="I182" s="16">
        <f>G182+H182</f>
        <v>4751003.18</v>
      </c>
      <c r="J182" s="147"/>
      <c r="K182" s="86"/>
    </row>
    <row r="183" spans="2:10" ht="118.5" customHeight="1">
      <c r="B183" s="67"/>
      <c r="C183" s="67"/>
      <c r="D183" s="67"/>
      <c r="E183" s="68" t="s">
        <v>92</v>
      </c>
      <c r="F183" s="70"/>
      <c r="G183" s="105">
        <f>G184+G186+G185</f>
        <v>2052956.67</v>
      </c>
      <c r="H183" s="105">
        <f>H184+H186+H185</f>
        <v>64343.33</v>
      </c>
      <c r="I183" s="105">
        <f>I184+I186+I185</f>
        <v>2117300</v>
      </c>
      <c r="J183" s="147"/>
    </row>
    <row r="184" spans="2:10" ht="287.25" customHeight="1">
      <c r="B184" s="32" t="s">
        <v>177</v>
      </c>
      <c r="C184" s="32" t="s">
        <v>176</v>
      </c>
      <c r="D184" s="32" t="s">
        <v>47</v>
      </c>
      <c r="E184" s="33" t="s">
        <v>159</v>
      </c>
      <c r="F184" s="34" t="s">
        <v>437</v>
      </c>
      <c r="G184" s="16">
        <f>28000+296656.67+3300+45000-80000-64000-26500-8500</f>
        <v>193956.66999999998</v>
      </c>
      <c r="H184" s="16">
        <f>50000+14343.33</f>
        <v>64343.33</v>
      </c>
      <c r="I184" s="16">
        <f>G184+H184</f>
        <v>258300</v>
      </c>
      <c r="J184" s="147"/>
    </row>
    <row r="185" spans="2:10" ht="185.25" customHeight="1">
      <c r="B185" s="32" t="s">
        <v>301</v>
      </c>
      <c r="C185" s="32" t="s">
        <v>274</v>
      </c>
      <c r="D185" s="32" t="s">
        <v>7</v>
      </c>
      <c r="E185" s="33" t="s">
        <v>133</v>
      </c>
      <c r="F185" s="31" t="s">
        <v>302</v>
      </c>
      <c r="G185" s="16">
        <f>227000+1000000-55000</f>
        <v>1172000</v>
      </c>
      <c r="H185" s="16"/>
      <c r="I185" s="16">
        <f>G185+H185</f>
        <v>1172000</v>
      </c>
      <c r="J185" s="147"/>
    </row>
    <row r="186" spans="2:10" ht="119.25" customHeight="1">
      <c r="B186" s="32" t="s">
        <v>179</v>
      </c>
      <c r="C186" s="32" t="s">
        <v>178</v>
      </c>
      <c r="D186" s="32" t="s">
        <v>23</v>
      </c>
      <c r="E186" s="33" t="s">
        <v>11</v>
      </c>
      <c r="F186" s="34"/>
      <c r="G186" s="16">
        <f>G187</f>
        <v>687000</v>
      </c>
      <c r="H186" s="16">
        <f>H187</f>
        <v>0</v>
      </c>
      <c r="I186" s="16">
        <f>I187</f>
        <v>687000</v>
      </c>
      <c r="J186" s="147"/>
    </row>
    <row r="187" spans="1:11" s="50" customFormat="1" ht="305.25" customHeight="1">
      <c r="A187" s="47"/>
      <c r="B187" s="48" t="s">
        <v>179</v>
      </c>
      <c r="C187" s="48" t="s">
        <v>178</v>
      </c>
      <c r="D187" s="48" t="s">
        <v>23</v>
      </c>
      <c r="E187" s="49" t="s">
        <v>341</v>
      </c>
      <c r="F187" s="51" t="s">
        <v>437</v>
      </c>
      <c r="G187" s="54">
        <f>430000+200000+55000+2000</f>
        <v>687000</v>
      </c>
      <c r="H187" s="54"/>
      <c r="I187" s="60">
        <f>G187+H187</f>
        <v>687000</v>
      </c>
      <c r="J187" s="147"/>
      <c r="K187" s="89"/>
    </row>
    <row r="188" spans="1:11" s="8" customFormat="1" ht="153.75" customHeight="1">
      <c r="A188" s="7"/>
      <c r="B188" s="67"/>
      <c r="C188" s="67"/>
      <c r="D188" s="67"/>
      <c r="E188" s="68" t="s">
        <v>51</v>
      </c>
      <c r="F188" s="70"/>
      <c r="G188" s="105">
        <f>G189+G190+G191+G192+G193+G196+G197+G198+G201+G205+G206+G195</f>
        <v>93887000</v>
      </c>
      <c r="H188" s="105">
        <f>H189+H190+H191+H192+H193+H196+H197+H198+H201+H205+H206+H195</f>
        <v>279319116.24000007</v>
      </c>
      <c r="I188" s="105">
        <f>I189+I190+I191+I192+I193+I196+I197+I198+I201+I205+I206+I195</f>
        <v>373206116.24000007</v>
      </c>
      <c r="J188" s="147"/>
      <c r="K188" s="91"/>
    </row>
    <row r="189" spans="2:10" ht="141" customHeight="1">
      <c r="B189" s="35" t="s">
        <v>123</v>
      </c>
      <c r="C189" s="35" t="s">
        <v>54</v>
      </c>
      <c r="D189" s="36" t="s">
        <v>2</v>
      </c>
      <c r="E189" s="33" t="s">
        <v>379</v>
      </c>
      <c r="F189" s="31" t="s">
        <v>93</v>
      </c>
      <c r="G189" s="16"/>
      <c r="H189" s="16">
        <v>10000</v>
      </c>
      <c r="I189" s="16">
        <f>G189+H189</f>
        <v>10000</v>
      </c>
      <c r="J189" s="147"/>
    </row>
    <row r="190" spans="2:10" ht="180" customHeight="1">
      <c r="B190" s="32" t="s">
        <v>188</v>
      </c>
      <c r="C190" s="32" t="s">
        <v>184</v>
      </c>
      <c r="D190" s="32" t="s">
        <v>13</v>
      </c>
      <c r="E190" s="33" t="s">
        <v>12</v>
      </c>
      <c r="F190" s="37" t="s">
        <v>24</v>
      </c>
      <c r="G190" s="16">
        <f>37238000+32930000-1000000-60000+11279000</f>
        <v>80387000</v>
      </c>
      <c r="H190" s="16">
        <f>62165698+19609036.18+21390963.82-2000000-5000000+5500000+9000000+20000+5900+4650000+200000+1900000+5500000+250000+43500+1450000-1493500</f>
        <v>123191598</v>
      </c>
      <c r="I190" s="16">
        <f aca="true" t="shared" si="7" ref="I190:I206">G190+H190</f>
        <v>203578598</v>
      </c>
      <c r="J190" s="147"/>
    </row>
    <row r="191" spans="2:10" ht="123" customHeight="1">
      <c r="B191" s="149" t="s">
        <v>190</v>
      </c>
      <c r="C191" s="149" t="s">
        <v>189</v>
      </c>
      <c r="D191" s="149" t="s">
        <v>6</v>
      </c>
      <c r="E191" s="161" t="s">
        <v>158</v>
      </c>
      <c r="F191" s="37" t="s">
        <v>303</v>
      </c>
      <c r="G191" s="16"/>
      <c r="H191" s="16">
        <f>81158102-10000000-300000+2000000+1000000+300000+100000+2000000+100000+96600+100000+28485193+13012+3023836+21000+500000+66463+50000+2000000-1000000+100000-75000+152116+100000+100000+291000-9000000+28000+3150000-200000+3000+184570+150000-100000+61000+4839000-1467750+1087159+30000+420000+1280000+2600000-5500000-1000000+750000+1900000+25000+17000+250000-1800000+15000+73000+500000+59000-1900000+90000+162000-500000+90000-396398</f>
        <v>106281903</v>
      </c>
      <c r="I191" s="16">
        <f t="shared" si="7"/>
        <v>106281903</v>
      </c>
      <c r="J191" s="147"/>
    </row>
    <row r="192" spans="1:11" s="64" customFormat="1" ht="162.75" customHeight="1">
      <c r="A192" s="63"/>
      <c r="B192" s="149"/>
      <c r="C192" s="149"/>
      <c r="D192" s="149"/>
      <c r="E192" s="161"/>
      <c r="F192" s="37" t="s">
        <v>436</v>
      </c>
      <c r="G192" s="16"/>
      <c r="H192" s="16">
        <f>8300000+100000+1900000-90000</f>
        <v>10210000</v>
      </c>
      <c r="I192" s="16">
        <f t="shared" si="7"/>
        <v>10210000</v>
      </c>
      <c r="J192" s="147">
        <v>67</v>
      </c>
      <c r="K192" s="95"/>
    </row>
    <row r="193" spans="1:11" s="10" customFormat="1" ht="101.25" customHeight="1">
      <c r="A193" s="1"/>
      <c r="B193" s="32" t="s">
        <v>193</v>
      </c>
      <c r="C193" s="32" t="s">
        <v>192</v>
      </c>
      <c r="D193" s="32"/>
      <c r="E193" s="33" t="s">
        <v>191</v>
      </c>
      <c r="F193" s="31"/>
      <c r="G193" s="16">
        <f>G194</f>
        <v>0</v>
      </c>
      <c r="H193" s="16">
        <f>H194</f>
        <v>1408100</v>
      </c>
      <c r="I193" s="16">
        <f>I194</f>
        <v>1408100</v>
      </c>
      <c r="J193" s="147"/>
      <c r="K193" s="86"/>
    </row>
    <row r="194" spans="1:11" s="50" customFormat="1" ht="126.75" customHeight="1">
      <c r="A194" s="47"/>
      <c r="B194" s="48" t="s">
        <v>195</v>
      </c>
      <c r="C194" s="48" t="s">
        <v>194</v>
      </c>
      <c r="D194" s="48" t="s">
        <v>14</v>
      </c>
      <c r="E194" s="46" t="s">
        <v>161</v>
      </c>
      <c r="F194" s="56" t="s">
        <v>303</v>
      </c>
      <c r="G194" s="54"/>
      <c r="H194" s="54">
        <f>108100+100000+500000-100000+300000+500000</f>
        <v>1408100</v>
      </c>
      <c r="I194" s="54">
        <f t="shared" si="7"/>
        <v>1408100</v>
      </c>
      <c r="J194" s="147"/>
      <c r="K194" s="89"/>
    </row>
    <row r="195" spans="1:11" s="10" customFormat="1" ht="180.75" customHeight="1">
      <c r="A195" s="1"/>
      <c r="B195" s="32" t="s">
        <v>393</v>
      </c>
      <c r="C195" s="32" t="s">
        <v>394</v>
      </c>
      <c r="D195" s="32" t="s">
        <v>396</v>
      </c>
      <c r="E195" s="33" t="s">
        <v>395</v>
      </c>
      <c r="F195" s="37" t="s">
        <v>24</v>
      </c>
      <c r="G195" s="16"/>
      <c r="H195" s="16">
        <v>69811.6</v>
      </c>
      <c r="I195" s="54">
        <f t="shared" si="7"/>
        <v>69811.6</v>
      </c>
      <c r="J195" s="147"/>
      <c r="K195" s="86"/>
    </row>
    <row r="196" spans="2:10" ht="169.5" customHeight="1">
      <c r="B196" s="32" t="s">
        <v>315</v>
      </c>
      <c r="C196" s="32" t="s">
        <v>225</v>
      </c>
      <c r="D196" s="32" t="s">
        <v>48</v>
      </c>
      <c r="E196" s="33" t="s">
        <v>160</v>
      </c>
      <c r="F196" s="31" t="s">
        <v>435</v>
      </c>
      <c r="G196" s="16"/>
      <c r="H196" s="16">
        <v>16524000</v>
      </c>
      <c r="I196" s="16">
        <f t="shared" si="7"/>
        <v>16524000</v>
      </c>
      <c r="J196" s="147"/>
    </row>
    <row r="197" spans="2:10" ht="198.75" customHeight="1">
      <c r="B197" s="32" t="s">
        <v>196</v>
      </c>
      <c r="C197" s="32" t="s">
        <v>185</v>
      </c>
      <c r="D197" s="32" t="s">
        <v>6</v>
      </c>
      <c r="E197" s="33" t="s">
        <v>134</v>
      </c>
      <c r="F197" s="37" t="s">
        <v>24</v>
      </c>
      <c r="G197" s="16"/>
      <c r="H197" s="16">
        <f>13700000+2000000+9850000+1473000+1827000</f>
        <v>28850000</v>
      </c>
      <c r="I197" s="16">
        <f>G197+H197</f>
        <v>28850000</v>
      </c>
      <c r="J197" s="147"/>
    </row>
    <row r="198" spans="1:11" s="10" customFormat="1" ht="99.75" customHeight="1">
      <c r="A198" s="1"/>
      <c r="B198" s="32" t="s">
        <v>318</v>
      </c>
      <c r="C198" s="32" t="s">
        <v>317</v>
      </c>
      <c r="D198" s="32"/>
      <c r="E198" s="33" t="s">
        <v>316</v>
      </c>
      <c r="F198" s="37"/>
      <c r="G198" s="16">
        <f>G199+G200</f>
        <v>12000000</v>
      </c>
      <c r="H198" s="16">
        <f>H199+H200</f>
        <v>-12000000</v>
      </c>
      <c r="I198" s="16">
        <f>I199+I200</f>
        <v>0</v>
      </c>
      <c r="J198" s="147"/>
      <c r="K198" s="86"/>
    </row>
    <row r="199" spans="1:11" s="50" customFormat="1" ht="198.75" customHeight="1">
      <c r="A199" s="47"/>
      <c r="B199" s="48" t="s">
        <v>305</v>
      </c>
      <c r="C199" s="48" t="s">
        <v>306</v>
      </c>
      <c r="D199" s="48" t="s">
        <v>6</v>
      </c>
      <c r="E199" s="46" t="s">
        <v>304</v>
      </c>
      <c r="F199" s="56" t="s">
        <v>24</v>
      </c>
      <c r="G199" s="54">
        <v>12000000</v>
      </c>
      <c r="H199" s="54"/>
      <c r="I199" s="60">
        <f t="shared" si="7"/>
        <v>12000000</v>
      </c>
      <c r="J199" s="147"/>
      <c r="K199" s="89"/>
    </row>
    <row r="200" spans="1:11" s="50" customFormat="1" ht="165.75" customHeight="1">
      <c r="A200" s="47"/>
      <c r="B200" s="48" t="s">
        <v>324</v>
      </c>
      <c r="C200" s="48" t="s">
        <v>323</v>
      </c>
      <c r="D200" s="48" t="s">
        <v>6</v>
      </c>
      <c r="E200" s="65" t="s">
        <v>322</v>
      </c>
      <c r="F200" s="49" t="s">
        <v>24</v>
      </c>
      <c r="G200" s="54"/>
      <c r="H200" s="54">
        <v>-12000000</v>
      </c>
      <c r="I200" s="60">
        <f>G200+H200</f>
        <v>-12000000</v>
      </c>
      <c r="J200" s="147"/>
      <c r="K200" s="89"/>
    </row>
    <row r="201" spans="1:11" s="10" customFormat="1" ht="141.75" customHeight="1">
      <c r="A201" s="1"/>
      <c r="B201" s="32" t="s">
        <v>205</v>
      </c>
      <c r="C201" s="32" t="s">
        <v>204</v>
      </c>
      <c r="D201" s="32"/>
      <c r="E201" s="33" t="s">
        <v>203</v>
      </c>
      <c r="F201" s="31"/>
      <c r="G201" s="16">
        <f>G202+G203+G204</f>
        <v>1500000</v>
      </c>
      <c r="H201" s="16">
        <f>H202+H203+H204</f>
        <v>360425.73000000004</v>
      </c>
      <c r="I201" s="16">
        <f>I202+I203+I204</f>
        <v>1860425.73</v>
      </c>
      <c r="J201" s="147"/>
      <c r="K201" s="86"/>
    </row>
    <row r="202" spans="1:11" s="50" customFormat="1" ht="155.25" customHeight="1">
      <c r="A202" s="47"/>
      <c r="B202" s="48" t="s">
        <v>307</v>
      </c>
      <c r="C202" s="48" t="s">
        <v>308</v>
      </c>
      <c r="D202" s="48" t="s">
        <v>5</v>
      </c>
      <c r="E202" s="49" t="s">
        <v>309</v>
      </c>
      <c r="F202" s="56" t="s">
        <v>52</v>
      </c>
      <c r="G202" s="54">
        <v>1415100</v>
      </c>
      <c r="H202" s="54">
        <f>541462+338672.27</f>
        <v>880134.27</v>
      </c>
      <c r="I202" s="60">
        <f>SUM(G202:H202)</f>
        <v>2295234.27</v>
      </c>
      <c r="J202" s="147"/>
      <c r="K202" s="89"/>
    </row>
    <row r="203" spans="1:11" s="50" customFormat="1" ht="143.25" customHeight="1">
      <c r="A203" s="47"/>
      <c r="B203" s="48" t="s">
        <v>326</v>
      </c>
      <c r="C203" s="48" t="s">
        <v>327</v>
      </c>
      <c r="D203" s="48" t="s">
        <v>5</v>
      </c>
      <c r="E203" s="49" t="s">
        <v>325</v>
      </c>
      <c r="F203" s="56" t="s">
        <v>52</v>
      </c>
      <c r="G203" s="16"/>
      <c r="H203" s="54">
        <f>-572519</f>
        <v>-572519</v>
      </c>
      <c r="I203" s="60">
        <f>G203+H203</f>
        <v>-572519</v>
      </c>
      <c r="J203" s="147"/>
      <c r="K203" s="89"/>
    </row>
    <row r="204" spans="1:11" s="10" customFormat="1" ht="177.75" customHeight="1">
      <c r="A204" s="1"/>
      <c r="B204" s="48" t="s">
        <v>319</v>
      </c>
      <c r="C204" s="48" t="s">
        <v>320</v>
      </c>
      <c r="D204" s="48" t="s">
        <v>5</v>
      </c>
      <c r="E204" s="46" t="s">
        <v>53</v>
      </c>
      <c r="F204" s="56" t="s">
        <v>52</v>
      </c>
      <c r="G204" s="54">
        <v>84900</v>
      </c>
      <c r="H204" s="54">
        <v>52810.46</v>
      </c>
      <c r="I204" s="60">
        <f>G204+H204</f>
        <v>137710.46</v>
      </c>
      <c r="J204" s="147">
        <v>68</v>
      </c>
      <c r="K204" s="86"/>
    </row>
    <row r="205" spans="2:10" ht="135" customHeight="1">
      <c r="B205" s="35" t="s">
        <v>200</v>
      </c>
      <c r="C205" s="35" t="s">
        <v>197</v>
      </c>
      <c r="D205" s="32" t="s">
        <v>50</v>
      </c>
      <c r="E205" s="33" t="s">
        <v>49</v>
      </c>
      <c r="F205" s="37" t="s">
        <v>436</v>
      </c>
      <c r="G205" s="16"/>
      <c r="H205" s="16">
        <v>1230670</v>
      </c>
      <c r="I205" s="16">
        <f t="shared" si="7"/>
        <v>1230670</v>
      </c>
      <c r="J205" s="147"/>
    </row>
    <row r="206" spans="2:10" ht="162" customHeight="1">
      <c r="B206" s="32" t="s">
        <v>201</v>
      </c>
      <c r="C206" s="32" t="s">
        <v>198</v>
      </c>
      <c r="D206" s="32" t="s">
        <v>85</v>
      </c>
      <c r="E206" s="33" t="s">
        <v>84</v>
      </c>
      <c r="F206" s="34" t="s">
        <v>436</v>
      </c>
      <c r="G206" s="16"/>
      <c r="H206" s="16">
        <f>715000+2188520+279087.91</f>
        <v>3182607.91</v>
      </c>
      <c r="I206" s="16">
        <f t="shared" si="7"/>
        <v>3182607.91</v>
      </c>
      <c r="J206" s="147"/>
    </row>
    <row r="207" spans="2:10" ht="108" customHeight="1">
      <c r="B207" s="32"/>
      <c r="C207" s="32"/>
      <c r="D207" s="32"/>
      <c r="E207" s="68" t="s">
        <v>89</v>
      </c>
      <c r="F207" s="37"/>
      <c r="G207" s="105">
        <f>G208+G210+G214+G209+G216+G215+G212</f>
        <v>289000</v>
      </c>
      <c r="H207" s="105">
        <f>H208+H210+H214+H209+H216+H215+H212</f>
        <v>1996908</v>
      </c>
      <c r="I207" s="105">
        <f>I208+I210+I214+I209+I216+I215+I212</f>
        <v>2285908</v>
      </c>
      <c r="J207" s="147"/>
    </row>
    <row r="208" spans="2:10" ht="96" customHeight="1">
      <c r="B208" s="32" t="s">
        <v>124</v>
      </c>
      <c r="C208" s="32" t="s">
        <v>54</v>
      </c>
      <c r="D208" s="32" t="s">
        <v>2</v>
      </c>
      <c r="E208" s="33" t="s">
        <v>379</v>
      </c>
      <c r="F208" s="31" t="s">
        <v>93</v>
      </c>
      <c r="G208" s="16">
        <v>49000</v>
      </c>
      <c r="H208" s="105"/>
      <c r="I208" s="16">
        <f>G208+H208</f>
        <v>49000</v>
      </c>
      <c r="J208" s="147"/>
    </row>
    <row r="209" spans="2:10" ht="93" customHeight="1">
      <c r="B209" s="32" t="s">
        <v>383</v>
      </c>
      <c r="C209" s="32" t="s">
        <v>185</v>
      </c>
      <c r="D209" s="32" t="s">
        <v>6</v>
      </c>
      <c r="E209" s="33" t="s">
        <v>134</v>
      </c>
      <c r="F209" s="31" t="s">
        <v>303</v>
      </c>
      <c r="G209" s="16"/>
      <c r="H209" s="16">
        <v>17173</v>
      </c>
      <c r="I209" s="16">
        <f>G209+H209</f>
        <v>17173</v>
      </c>
      <c r="J209" s="147"/>
    </row>
    <row r="210" spans="2:10" ht="51" customHeight="1">
      <c r="B210" s="35" t="s">
        <v>202</v>
      </c>
      <c r="C210" s="35" t="s">
        <v>178</v>
      </c>
      <c r="D210" s="32" t="s">
        <v>23</v>
      </c>
      <c r="E210" s="33" t="s">
        <v>11</v>
      </c>
      <c r="F210" s="34"/>
      <c r="G210" s="16">
        <f>G211</f>
        <v>240000</v>
      </c>
      <c r="H210" s="16">
        <f>H211</f>
        <v>0</v>
      </c>
      <c r="I210" s="16">
        <f>I211</f>
        <v>240000</v>
      </c>
      <c r="J210" s="147"/>
    </row>
    <row r="211" spans="1:11" s="50" customFormat="1" ht="195" customHeight="1">
      <c r="A211" s="47"/>
      <c r="B211" s="55" t="s">
        <v>202</v>
      </c>
      <c r="C211" s="55" t="s">
        <v>178</v>
      </c>
      <c r="D211" s="48" t="s">
        <v>23</v>
      </c>
      <c r="E211" s="49" t="s">
        <v>340</v>
      </c>
      <c r="F211" s="49" t="s">
        <v>24</v>
      </c>
      <c r="G211" s="54">
        <v>240000</v>
      </c>
      <c r="H211" s="54"/>
      <c r="I211" s="60">
        <f>G211+H211</f>
        <v>240000</v>
      </c>
      <c r="J211" s="147"/>
      <c r="K211" s="89"/>
    </row>
    <row r="212" spans="1:11" s="50" customFormat="1" ht="90" customHeight="1">
      <c r="A212" s="47"/>
      <c r="B212" s="118" t="s">
        <v>428</v>
      </c>
      <c r="C212" s="118" t="s">
        <v>180</v>
      </c>
      <c r="D212" s="101" t="s">
        <v>54</v>
      </c>
      <c r="E212" s="121" t="s">
        <v>55</v>
      </c>
      <c r="F212" s="49"/>
      <c r="G212" s="16">
        <f>G213</f>
        <v>0</v>
      </c>
      <c r="H212" s="16">
        <f>H213</f>
        <v>35510</v>
      </c>
      <c r="I212" s="16">
        <f>I213</f>
        <v>35510</v>
      </c>
      <c r="J212" s="147"/>
      <c r="K212" s="89"/>
    </row>
    <row r="213" spans="1:11" s="50" customFormat="1" ht="102" customHeight="1">
      <c r="A213" s="47"/>
      <c r="B213" s="100" t="s">
        <v>428</v>
      </c>
      <c r="C213" s="100" t="s">
        <v>180</v>
      </c>
      <c r="D213" s="79" t="s">
        <v>54</v>
      </c>
      <c r="E213" s="120" t="s">
        <v>429</v>
      </c>
      <c r="F213" s="49" t="s">
        <v>310</v>
      </c>
      <c r="G213" s="54"/>
      <c r="H213" s="54">
        <v>35510</v>
      </c>
      <c r="I213" s="60">
        <f>G213+H213</f>
        <v>35510</v>
      </c>
      <c r="J213" s="147"/>
      <c r="K213" s="89"/>
    </row>
    <row r="214" spans="1:11" s="50" customFormat="1" ht="135" customHeight="1">
      <c r="A214" s="47"/>
      <c r="B214" s="150" t="s">
        <v>187</v>
      </c>
      <c r="C214" s="150" t="s">
        <v>186</v>
      </c>
      <c r="D214" s="150" t="s">
        <v>23</v>
      </c>
      <c r="E214" s="139" t="s">
        <v>22</v>
      </c>
      <c r="F214" s="31" t="s">
        <v>24</v>
      </c>
      <c r="G214" s="16"/>
      <c r="H214" s="16">
        <f>701830+64395</f>
        <v>766225</v>
      </c>
      <c r="I214" s="16">
        <f>G214+H214</f>
        <v>766225</v>
      </c>
      <c r="J214" s="147"/>
      <c r="K214" s="89"/>
    </row>
    <row r="215" spans="1:11" s="50" customFormat="1" ht="90" customHeight="1">
      <c r="A215" s="47"/>
      <c r="B215" s="141"/>
      <c r="C215" s="141"/>
      <c r="D215" s="141"/>
      <c r="E215" s="140"/>
      <c r="F215" s="31" t="s">
        <v>404</v>
      </c>
      <c r="G215" s="16"/>
      <c r="H215" s="16">
        <v>1160000</v>
      </c>
      <c r="I215" s="16">
        <f>G215+H215</f>
        <v>1160000</v>
      </c>
      <c r="J215" s="147"/>
      <c r="K215" s="89"/>
    </row>
    <row r="216" spans="1:11" s="50" customFormat="1" ht="111" customHeight="1">
      <c r="A216" s="47"/>
      <c r="B216" s="151"/>
      <c r="C216" s="151"/>
      <c r="D216" s="151"/>
      <c r="E216" s="117"/>
      <c r="F216" s="31" t="s">
        <v>433</v>
      </c>
      <c r="G216" s="16"/>
      <c r="H216" s="16">
        <v>18000</v>
      </c>
      <c r="I216" s="16">
        <f>G216+H216</f>
        <v>18000</v>
      </c>
      <c r="J216" s="147"/>
      <c r="K216" s="89"/>
    </row>
    <row r="217" spans="2:10" ht="97.5" customHeight="1">
      <c r="B217" s="67"/>
      <c r="C217" s="67"/>
      <c r="D217" s="67"/>
      <c r="E217" s="68" t="s">
        <v>56</v>
      </c>
      <c r="F217" s="70"/>
      <c r="G217" s="105">
        <f aca="true" t="shared" si="8" ref="G217:I218">G218</f>
        <v>530357</v>
      </c>
      <c r="H217" s="105">
        <f t="shared" si="8"/>
        <v>0</v>
      </c>
      <c r="I217" s="105">
        <f t="shared" si="8"/>
        <v>530357</v>
      </c>
      <c r="J217" s="147"/>
    </row>
    <row r="218" spans="2:10" ht="80.25" customHeight="1">
      <c r="B218" s="32" t="s">
        <v>385</v>
      </c>
      <c r="C218" s="32" t="s">
        <v>178</v>
      </c>
      <c r="D218" s="32" t="s">
        <v>23</v>
      </c>
      <c r="E218" s="33" t="s">
        <v>11</v>
      </c>
      <c r="F218" s="37"/>
      <c r="G218" s="16">
        <f>G219</f>
        <v>530357</v>
      </c>
      <c r="H218" s="16">
        <f t="shared" si="8"/>
        <v>0</v>
      </c>
      <c r="I218" s="16">
        <f t="shared" si="8"/>
        <v>530357</v>
      </c>
      <c r="J218" s="147"/>
    </row>
    <row r="219" spans="1:11" s="53" customFormat="1" ht="145.5" customHeight="1">
      <c r="A219" s="52"/>
      <c r="B219" s="48" t="s">
        <v>385</v>
      </c>
      <c r="C219" s="48" t="s">
        <v>178</v>
      </c>
      <c r="D219" s="48" t="s">
        <v>23</v>
      </c>
      <c r="E219" s="49" t="s">
        <v>342</v>
      </c>
      <c r="F219" s="31" t="s">
        <v>311</v>
      </c>
      <c r="G219" s="54">
        <f>416500+113857</f>
        <v>530357</v>
      </c>
      <c r="H219" s="54"/>
      <c r="I219" s="60">
        <f>G219+H219</f>
        <v>530357</v>
      </c>
      <c r="J219" s="147"/>
      <c r="K219" s="96"/>
    </row>
    <row r="220" spans="1:11" s="8" customFormat="1" ht="111.75" customHeight="1">
      <c r="A220" s="7"/>
      <c r="B220" s="32"/>
      <c r="C220" s="32"/>
      <c r="D220" s="32"/>
      <c r="E220" s="68" t="s">
        <v>87</v>
      </c>
      <c r="F220" s="37"/>
      <c r="G220" s="105">
        <f>G221</f>
        <v>0</v>
      </c>
      <c r="H220" s="105">
        <f>H221</f>
        <v>19000</v>
      </c>
      <c r="I220" s="105">
        <f>I221</f>
        <v>19000</v>
      </c>
      <c r="J220" s="148">
        <v>69</v>
      </c>
      <c r="K220" s="91"/>
    </row>
    <row r="221" spans="2:10" ht="138.75" customHeight="1">
      <c r="B221" s="32" t="s">
        <v>183</v>
      </c>
      <c r="C221" s="32" t="s">
        <v>182</v>
      </c>
      <c r="D221" s="32" t="s">
        <v>21</v>
      </c>
      <c r="E221" s="33" t="s">
        <v>83</v>
      </c>
      <c r="F221" s="34" t="s">
        <v>436</v>
      </c>
      <c r="G221" s="16"/>
      <c r="H221" s="16">
        <v>19000</v>
      </c>
      <c r="I221" s="16">
        <f>G221+H221</f>
        <v>19000</v>
      </c>
      <c r="J221" s="148"/>
    </row>
    <row r="222" spans="2:10" ht="138.75" customHeight="1">
      <c r="B222" s="67"/>
      <c r="C222" s="67"/>
      <c r="D222" s="67"/>
      <c r="E222" s="68" t="s">
        <v>90</v>
      </c>
      <c r="F222" s="69"/>
      <c r="G222" s="105">
        <f aca="true" t="shared" si="9" ref="G222:I223">G223</f>
        <v>2168</v>
      </c>
      <c r="H222" s="105">
        <f t="shared" si="9"/>
        <v>1512100</v>
      </c>
      <c r="I222" s="105">
        <f t="shared" si="9"/>
        <v>1514268</v>
      </c>
      <c r="J222" s="148"/>
    </row>
    <row r="223" spans="1:11" s="10" customFormat="1" ht="99.75" customHeight="1">
      <c r="A223" s="1"/>
      <c r="B223" s="32" t="s">
        <v>181</v>
      </c>
      <c r="C223" s="32" t="s">
        <v>180</v>
      </c>
      <c r="D223" s="32" t="s">
        <v>54</v>
      </c>
      <c r="E223" s="66" t="s">
        <v>55</v>
      </c>
      <c r="F223" s="37"/>
      <c r="G223" s="16">
        <f t="shared" si="9"/>
        <v>2168</v>
      </c>
      <c r="H223" s="16">
        <f t="shared" si="9"/>
        <v>1512100</v>
      </c>
      <c r="I223" s="16">
        <f t="shared" si="9"/>
        <v>1514268</v>
      </c>
      <c r="J223" s="148"/>
      <c r="K223" s="86"/>
    </row>
    <row r="224" spans="1:11" s="50" customFormat="1" ht="90" customHeight="1">
      <c r="A224" s="47"/>
      <c r="B224" s="48" t="s">
        <v>181</v>
      </c>
      <c r="C224" s="48" t="s">
        <v>180</v>
      </c>
      <c r="D224" s="48" t="s">
        <v>54</v>
      </c>
      <c r="E224" s="49" t="s">
        <v>349</v>
      </c>
      <c r="F224" s="51" t="s">
        <v>310</v>
      </c>
      <c r="G224" s="54">
        <v>2168</v>
      </c>
      <c r="H224" s="54">
        <f>1000000+500000+450000-450000+12100</f>
        <v>1512100</v>
      </c>
      <c r="I224" s="60">
        <f>G224+H224</f>
        <v>1514268</v>
      </c>
      <c r="J224" s="148"/>
      <c r="K224" s="89"/>
    </row>
    <row r="225" spans="2:11" ht="54.75" customHeight="1">
      <c r="B225" s="25"/>
      <c r="C225" s="25"/>
      <c r="D225" s="24"/>
      <c r="E225" s="43" t="s">
        <v>3</v>
      </c>
      <c r="F225" s="44"/>
      <c r="G225" s="106">
        <f>G10+G69+G97+G110+G138+G141+G147+G183+G188+G207+G217+G220+G222</f>
        <v>337118570.85</v>
      </c>
      <c r="H225" s="106">
        <f>H10+H69+H97+H110+H138+H141+H147+H183+H188+H207+H217+H220+H222</f>
        <v>621892283.07</v>
      </c>
      <c r="I225" s="106">
        <f>I10+I69+I97+I110+I138+I141+I147+I183+I188+I207+I217+I220+I222</f>
        <v>959010853.9200001</v>
      </c>
      <c r="J225" s="148"/>
      <c r="K225" s="84"/>
    </row>
    <row r="226" spans="2:11" ht="54.75" customHeight="1">
      <c r="B226" s="26"/>
      <c r="C226" s="26"/>
      <c r="D226" s="27"/>
      <c r="E226" s="113"/>
      <c r="F226" s="114"/>
      <c r="G226" s="115"/>
      <c r="H226" s="115"/>
      <c r="I226" s="115"/>
      <c r="J226" s="148"/>
      <c r="K226" s="84"/>
    </row>
    <row r="227" spans="2:11" ht="129.75" customHeight="1">
      <c r="B227" s="26"/>
      <c r="C227" s="26"/>
      <c r="D227" s="27"/>
      <c r="E227" s="113"/>
      <c r="F227" s="114"/>
      <c r="G227" s="115"/>
      <c r="H227" s="115"/>
      <c r="I227" s="115"/>
      <c r="J227" s="148"/>
      <c r="K227" s="84"/>
    </row>
    <row r="228" spans="2:11" ht="54.75" customHeight="1">
      <c r="B228" s="26"/>
      <c r="C228" s="26"/>
      <c r="D228" s="27"/>
      <c r="E228" s="113"/>
      <c r="F228" s="114"/>
      <c r="G228" s="115"/>
      <c r="H228" s="115"/>
      <c r="I228" s="115"/>
      <c r="J228" s="148"/>
      <c r="K228" s="84"/>
    </row>
    <row r="229" spans="5:11" ht="54.75" customHeight="1">
      <c r="E229" s="113"/>
      <c r="F229" s="114"/>
      <c r="G229" s="115"/>
      <c r="H229" s="115"/>
      <c r="I229" s="115"/>
      <c r="J229" s="148"/>
      <c r="K229" s="84"/>
    </row>
    <row r="230" spans="2:11" ht="54.75" customHeight="1">
      <c r="B230" s="173"/>
      <c r="C230" s="173"/>
      <c r="D230" s="173"/>
      <c r="E230" s="173"/>
      <c r="F230" s="114"/>
      <c r="H230" s="127"/>
      <c r="I230" s="115"/>
      <c r="J230" s="148"/>
      <c r="K230" s="84"/>
    </row>
    <row r="231" spans="2:10" ht="99.75" customHeight="1">
      <c r="B231" s="173" t="s">
        <v>443</v>
      </c>
      <c r="C231" s="173"/>
      <c r="D231" s="173"/>
      <c r="E231" s="173"/>
      <c r="F231" s="173"/>
      <c r="G231" s="172" t="s">
        <v>444</v>
      </c>
      <c r="H231" s="172"/>
      <c r="I231" s="172"/>
      <c r="J231" s="148"/>
    </row>
    <row r="232" spans="2:10" ht="91.5" customHeight="1">
      <c r="B232" s="170"/>
      <c r="C232" s="170"/>
      <c r="D232" s="170"/>
      <c r="E232" s="126"/>
      <c r="F232" s="126"/>
      <c r="G232" s="131">
        <f>G11+G12+G15+G17+G19+G20+G22+G23+G25+G27+G28+G30+G31+G33+G34+G36+G37+G38+G40+G41+G43+G45+G46+G47+G48+G50+G51+G52+G53+G54+G56+G57+G58+G59+G60+G61+G62+G63+G65+G66+G67+G68+G70+G71+G72+G73+G74+G75+G76+G77+G78+G79+G80+G81+G82+G83+G84+G85+G86+G88+G89+G90+G91+G93+G94+G95+G96+G98+G99+G100+G101+G102+G103+G104+G105+G106+G107+G108+G109+G111+G114+G116+G117+G118+G119+G120+G121+G123+G124+G125+G127+G128+G129+G130+G131+G133+G134+G135+G137+G140+G142+G143+G144+G145+G146+G148+G149+G150+G151+G153+G154+G155+G156+G158+G159+G160+G161+G162+G163+G164+G166+G167+G168+G169+G170+G171+G172+G174+G175+G177+G178+G179+G181+G182+G184+G185+G187+G189+G190+G191+G192+G194+G195+G196+G197+G199+G200+G202+G203+G204+G205+G206+G208+G209+G211+G213+G214+G215+G216+G219+G221+G224</f>
        <v>337118570.85</v>
      </c>
      <c r="H232" s="131">
        <f>H11+H12+H15+H17+H19+H20+H22+H23+H25+H27+H28+H30+H31+H33+H34+H36+H37+H38+H40+H41+H43+H45+H46+H47+H48+H50+H51+H52+H53+H54+H56+H57+H58+H59+H60+H61+H62+H63+H65+H66+H67+H68+H70+H71+H72+H73+H74+H75+H76+H77+H78+H79+H80+H81+H82+H83+H84+H85+H86+H88+H89+H90+H91+H93+H94+H95+H96+H98+H99+H100+H101+H102+H103+H104+H105+H106+H107+H108+H109+H111+H114+H116+H117+H118+H119+H120+H121+H123+H124+H125+H127+H128+H129+H130+H131+H133+H134+H135+H137+H140+H142+H143+H144+H145+H146+H148+H149+H150+H151+H153+H154+H155+H156+H158+H159+H160+H161+H162+H163+H164+H166+H167+H168+H169+H170+H171+H172+H174+H175+H177+H178+H179+H181+H182+H184+H185+H187+H189+H190+H191+H192+H194+H195+H196+H197+H199+H200+H202+H203+H204+H205+H206+H208+H209+H211+H213+H214+H215+H216+H219+H221+H224</f>
        <v>621892283.0699999</v>
      </c>
      <c r="I232" s="131">
        <f>I11+I12+I15+I17+I19+I20+I22+I23+I25+I27+I28+I30+I31+I33+I34+I36+I37+I38+I40+I41+I43+I45+I46+I47+I48+I50+I51+I52+I53+I54+I56+I57+I58+I59+I60+I61+I62+I63+I65+I66+I67+I68+I70+I71+I72+I73+I74+I75+I76+I77+I78+I79+I80+I81+I82+I83+I84+I85+I86+I88+I89+I90+I91+I93+I94+I95+I96+I98+I99+I100+I101+I102+I103+I104+I105+I106+I107+I108+I109+I111+I114+I116+I117+I118+I119+I120+I121+I123+I124+I125+I127+I128+I129+I130+I131+I133+I134+I135+I137+I140+I142+I143+I144+I145+I146+I148+I149+I150+I151+I153+I154+I155+I156+I158+I159+I160+I161+I162+I163+I164+I166+I167+I168+I169+I170+I171+I172+I174+I175+I177+I178+I179+I181+I182+I184+I185+I187+I189+I190+I191+I192+I194+I195+I196+I197+I199+I200+I202+I203+I204+I205+I206+I208+I209+I211+I213+I214+I215+I216+I219+I221+I224</f>
        <v>959010853.9199998</v>
      </c>
      <c r="J232" s="148"/>
    </row>
    <row r="233" spans="2:10" ht="91.5" customHeight="1">
      <c r="B233" s="111"/>
      <c r="C233" s="111"/>
      <c r="E233" s="122"/>
      <c r="F233" s="122"/>
      <c r="G233" s="129">
        <f>G225-G232</f>
        <v>0</v>
      </c>
      <c r="H233" s="129">
        <f>H225-H232</f>
        <v>0</v>
      </c>
      <c r="I233" s="129">
        <f>I225-I232</f>
        <v>0</v>
      </c>
      <c r="J233" s="148"/>
    </row>
    <row r="234" spans="2:10" ht="55.5" customHeight="1">
      <c r="B234" s="170"/>
      <c r="C234" s="170"/>
      <c r="D234" s="170"/>
      <c r="E234" s="124"/>
      <c r="F234" s="124"/>
      <c r="G234" s="39"/>
      <c r="H234" s="39"/>
      <c r="I234" s="39"/>
      <c r="J234" s="148"/>
    </row>
    <row r="235" spans="2:10" ht="59.25" customHeight="1">
      <c r="B235" s="111"/>
      <c r="C235" s="111"/>
      <c r="D235" s="111"/>
      <c r="E235" s="125"/>
      <c r="G235" s="129"/>
      <c r="H235" s="129"/>
      <c r="I235" s="129"/>
      <c r="J235" s="148"/>
    </row>
    <row r="236" spans="2:10" ht="72.75" customHeight="1">
      <c r="B236" s="169"/>
      <c r="C236" s="169"/>
      <c r="D236" s="169"/>
      <c r="E236" s="169"/>
      <c r="F236" s="119"/>
      <c r="G236" s="130"/>
      <c r="H236" s="130"/>
      <c r="I236" s="130"/>
      <c r="J236" s="148"/>
    </row>
    <row r="237" spans="1:17" s="15" customFormat="1" ht="69.75" customHeight="1">
      <c r="A237" s="12"/>
      <c r="B237" s="111"/>
      <c r="C237" s="111"/>
      <c r="D237" s="29"/>
      <c r="E237" s="28"/>
      <c r="F237" s="29"/>
      <c r="G237" s="99"/>
      <c r="H237" s="99"/>
      <c r="I237" s="99"/>
      <c r="J237" s="148"/>
      <c r="K237" s="81"/>
      <c r="L237" s="13"/>
      <c r="M237" s="13"/>
      <c r="N237" s="13"/>
      <c r="O237" s="14"/>
      <c r="P237" s="14"/>
      <c r="Q237" s="11"/>
    </row>
    <row r="238" spans="2:10" ht="50.25">
      <c r="B238" s="111"/>
      <c r="C238" s="111"/>
      <c r="G238" s="99"/>
      <c r="H238" s="99"/>
      <c r="I238" s="99"/>
      <c r="J238" s="148"/>
    </row>
    <row r="239" spans="2:10" ht="44.25">
      <c r="B239" s="111"/>
      <c r="C239" s="111"/>
      <c r="G239" s="98"/>
      <c r="H239" s="98"/>
      <c r="I239" s="98"/>
      <c r="J239" s="148"/>
    </row>
    <row r="240" spans="2:10" ht="131.25" customHeight="1">
      <c r="B240" s="111"/>
      <c r="C240" s="111"/>
      <c r="G240" s="98"/>
      <c r="H240" s="98"/>
      <c r="I240" s="98"/>
      <c r="J240" s="148"/>
    </row>
    <row r="241" spans="7:9" ht="131.25" customHeight="1">
      <c r="G241" s="98"/>
      <c r="H241" s="98"/>
      <c r="I241" s="98"/>
    </row>
    <row r="242" ht="131.25" customHeight="1"/>
    <row r="245" spans="7:10" ht="64.5" customHeight="1">
      <c r="G245" s="126"/>
      <c r="H245" s="126"/>
      <c r="I245" s="172"/>
      <c r="J245" s="172"/>
    </row>
    <row r="246" spans="7:10" ht="64.5">
      <c r="G246" s="122"/>
      <c r="H246" s="122"/>
      <c r="I246" s="123"/>
      <c r="J246" s="133"/>
    </row>
    <row r="247" spans="7:10" ht="63.75">
      <c r="G247" s="124"/>
      <c r="H247" s="124"/>
      <c r="I247" s="39"/>
      <c r="J247" s="133"/>
    </row>
    <row r="248" spans="7:10" ht="50.25">
      <c r="G248" s="28"/>
      <c r="H248" s="29"/>
      <c r="I248" s="99"/>
      <c r="J248" s="134"/>
    </row>
  </sheetData>
  <sheetProtection/>
  <mergeCells count="138">
    <mergeCell ref="G1:I1"/>
    <mergeCell ref="G2:I2"/>
    <mergeCell ref="G3:I3"/>
    <mergeCell ref="B231:F231"/>
    <mergeCell ref="G231:I231"/>
    <mergeCell ref="D13:D14"/>
    <mergeCell ref="C11:C12"/>
    <mergeCell ref="C13:C14"/>
    <mergeCell ref="B7:I7"/>
    <mergeCell ref="E11:E12"/>
    <mergeCell ref="I245:J245"/>
    <mergeCell ref="B230:E230"/>
    <mergeCell ref="B232:D232"/>
    <mergeCell ref="F13:F14"/>
    <mergeCell ref="D112:D113"/>
    <mergeCell ref="D127:D128"/>
    <mergeCell ref="E127:E128"/>
    <mergeCell ref="H13:H14"/>
    <mergeCell ref="I13:I14"/>
    <mergeCell ref="E159:E161"/>
    <mergeCell ref="B11:B12"/>
    <mergeCell ref="G13:G14"/>
    <mergeCell ref="D11:D12"/>
    <mergeCell ref="C155:C156"/>
    <mergeCell ref="D155:D156"/>
    <mergeCell ref="C153:C154"/>
    <mergeCell ref="D153:D154"/>
    <mergeCell ref="E155:E156"/>
    <mergeCell ref="E124:E125"/>
    <mergeCell ref="E149:E150"/>
    <mergeCell ref="E153:E154"/>
    <mergeCell ref="B236:E236"/>
    <mergeCell ref="B214:B216"/>
    <mergeCell ref="C214:C216"/>
    <mergeCell ref="D214:D216"/>
    <mergeCell ref="E214:E215"/>
    <mergeCell ref="B234:D234"/>
    <mergeCell ref="C191:C192"/>
    <mergeCell ref="B191:B192"/>
    <mergeCell ref="E170:E171"/>
    <mergeCell ref="B101:B102"/>
    <mergeCell ref="C101:C102"/>
    <mergeCell ref="C114:C115"/>
    <mergeCell ref="B114:B115"/>
    <mergeCell ref="B103:B104"/>
    <mergeCell ref="C105:C106"/>
    <mergeCell ref="C103:C104"/>
    <mergeCell ref="B105:B106"/>
    <mergeCell ref="C112:C113"/>
    <mergeCell ref="B112:B113"/>
    <mergeCell ref="C127:C128"/>
    <mergeCell ref="D124:D125"/>
    <mergeCell ref="D114:D115"/>
    <mergeCell ref="B149:B150"/>
    <mergeCell ref="D149:D150"/>
    <mergeCell ref="C85:C86"/>
    <mergeCell ref="B83:B84"/>
    <mergeCell ref="B99:B100"/>
    <mergeCell ref="B89:B91"/>
    <mergeCell ref="C89:C91"/>
    <mergeCell ref="C99:C100"/>
    <mergeCell ref="C83:C84"/>
    <mergeCell ref="B85:B86"/>
    <mergeCell ref="D81:D82"/>
    <mergeCell ref="D75:D80"/>
    <mergeCell ref="B52:B54"/>
    <mergeCell ref="C52:C54"/>
    <mergeCell ref="D52:D54"/>
    <mergeCell ref="B71:B74"/>
    <mergeCell ref="C71:C74"/>
    <mergeCell ref="F112:F113"/>
    <mergeCell ref="E52:E54"/>
    <mergeCell ref="E101:E102"/>
    <mergeCell ref="E81:E82"/>
    <mergeCell ref="E103:E104"/>
    <mergeCell ref="E71:E74"/>
    <mergeCell ref="E75:E78"/>
    <mergeCell ref="E47:E48"/>
    <mergeCell ref="B81:B82"/>
    <mergeCell ref="C81:C82"/>
    <mergeCell ref="B13:B14"/>
    <mergeCell ref="C75:C80"/>
    <mergeCell ref="C47:C48"/>
    <mergeCell ref="B75:B80"/>
    <mergeCell ref="D71:D74"/>
    <mergeCell ref="D47:D48"/>
    <mergeCell ref="B47:B48"/>
    <mergeCell ref="D105:D106"/>
    <mergeCell ref="D103:D104"/>
    <mergeCell ref="D85:D86"/>
    <mergeCell ref="D89:D91"/>
    <mergeCell ref="D101:D102"/>
    <mergeCell ref="I112:I113"/>
    <mergeCell ref="D99:D100"/>
    <mergeCell ref="D83:D84"/>
    <mergeCell ref="E83:E84"/>
    <mergeCell ref="E85:E86"/>
    <mergeCell ref="H112:H113"/>
    <mergeCell ref="G112:G113"/>
    <mergeCell ref="E99:E100"/>
    <mergeCell ref="E89:E91"/>
    <mergeCell ref="E105:E106"/>
    <mergeCell ref="D170:D171"/>
    <mergeCell ref="B170:B171"/>
    <mergeCell ref="E191:E192"/>
    <mergeCell ref="D191:D192"/>
    <mergeCell ref="I114:I115"/>
    <mergeCell ref="F114:F115"/>
    <mergeCell ref="G114:G115"/>
    <mergeCell ref="H114:H115"/>
    <mergeCell ref="D159:D161"/>
    <mergeCell ref="C170:C171"/>
    <mergeCell ref="B124:B125"/>
    <mergeCell ref="C124:C125"/>
    <mergeCell ref="B127:B128"/>
    <mergeCell ref="B159:B161"/>
    <mergeCell ref="C149:C150"/>
    <mergeCell ref="C159:C161"/>
    <mergeCell ref="B155:B156"/>
    <mergeCell ref="B153:B154"/>
    <mergeCell ref="J1:J18"/>
    <mergeCell ref="J19:J35"/>
    <mergeCell ref="J36:J50"/>
    <mergeCell ref="J51:J62"/>
    <mergeCell ref="J63:J76"/>
    <mergeCell ref="J77:J86"/>
    <mergeCell ref="J87:J99"/>
    <mergeCell ref="J100:J110"/>
    <mergeCell ref="J111:J119"/>
    <mergeCell ref="J120:J133"/>
    <mergeCell ref="J134:J144"/>
    <mergeCell ref="J145:J156"/>
    <mergeCell ref="J204:J219"/>
    <mergeCell ref="J220:J240"/>
    <mergeCell ref="J157:J168"/>
    <mergeCell ref="J169:J180"/>
    <mergeCell ref="J181:J191"/>
    <mergeCell ref="J192:J203"/>
  </mergeCells>
  <printOptions horizontalCentered="1"/>
  <pageMargins left="0.2755905511811024" right="0.1968503937007874" top="0.63" bottom="0.56" header="0.3937007874015748" footer="0.37"/>
  <pageSetup firstPageNumber="1" useFirstPageNumber="1" fitToHeight="18" fitToWidth="1" horizontalDpi="600" verticalDpi="600" orientation="landscape" paperSize="9" scale="22" r:id="rId1"/>
  <headerFooter alignWithMargins="0">
    <oddHeader>&amp;L &amp;R&amp;50Продовження додатку 6</oddHeader>
  </headerFooter>
  <rowBreaks count="3" manualBreakCount="3">
    <brk id="76" max="9" man="1"/>
    <brk id="100" max="9" man="1"/>
    <brk id="22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2017-11-24T13:04:46Z</cp:lastPrinted>
  <dcterms:created xsi:type="dcterms:W3CDTF">2014-01-17T10:52:16Z</dcterms:created>
  <dcterms:modified xsi:type="dcterms:W3CDTF">2017-12-06T14:05:25Z</dcterms:modified>
  <cp:category/>
  <cp:version/>
  <cp:contentType/>
  <cp:contentStatus/>
</cp:coreProperties>
</file>